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Cornelia.Klueter\sciebo\StEAM - share\2_Arbeitspakete\AP 2.2\"/>
    </mc:Choice>
  </mc:AlternateContent>
  <xr:revisionPtr revIDLastSave="0" documentId="13_ncr:1_{75617522-E041-4EE0-824C-53BB562163D8}" xr6:coauthVersionLast="47" xr6:coauthVersionMax="47" xr10:uidLastSave="{00000000-0000-0000-0000-000000000000}"/>
  <bookViews>
    <workbookView xWindow="-108" yWindow="-108" windowWidth="30936" windowHeight="16776" firstSheet="2" activeTab="2" xr2:uid="{00000000-000D-0000-FFFF-FFFF00000000}"/>
  </bookViews>
  <sheets>
    <sheet name="Übersicht" sheetId="1" r:id="rId1"/>
    <sheet name="Arbeitskosten Berechnung" sheetId="2" r:id="rId2"/>
    <sheet name="Strom-&amp; Wärmeerzeugung" sheetId="3" r:id="rId3"/>
    <sheet name="Entsalzung" sheetId="4" r:id="rId4"/>
    <sheet name="Elektrolyse" sheetId="5" r:id="rId5"/>
    <sheet name="Umwandlung" sheetId="6" r:id="rId6"/>
    <sheet name="Transport" sheetId="7" r:id="rId7"/>
    <sheet name="Speicherung" sheetId="8" r:id="rId8"/>
    <sheet name="H2 to electricity" sheetId="13" r:id="rId9"/>
    <sheet name="Nutzung" sheetId="9" r:id="rId10"/>
  </sheets>
  <definedNames>
    <definedName name="_xlnm._FilterDatabase" localSheetId="1" hidden="1">'Arbeitskosten Berechnung'!$A$2:$E$61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9" i="13" l="1"/>
  <c r="R49" i="13"/>
  <c r="Q49" i="13"/>
  <c r="P49" i="13"/>
  <c r="O49" i="13"/>
  <c r="N50" i="13"/>
  <c r="N49" i="13"/>
  <c r="T42" i="13"/>
  <c r="S42" i="13"/>
  <c r="R42" i="13"/>
  <c r="R46" i="13" s="1"/>
  <c r="Q42" i="13"/>
  <c r="Q46" i="13" s="1"/>
  <c r="P42" i="13"/>
  <c r="P45" i="13" s="1"/>
  <c r="O42" i="13"/>
  <c r="O45" i="13" s="1"/>
  <c r="N42" i="13"/>
  <c r="N47" i="13"/>
  <c r="T36" i="13"/>
  <c r="T39" i="13" s="1"/>
  <c r="S36" i="13"/>
  <c r="R36" i="13"/>
  <c r="Q36" i="13"/>
  <c r="P36" i="13"/>
  <c r="O36" i="13"/>
  <c r="N37" i="13"/>
  <c r="N36" i="13"/>
  <c r="T29" i="13"/>
  <c r="T32" i="13" s="1"/>
  <c r="S29" i="13"/>
  <c r="S33" i="13" s="1"/>
  <c r="R29" i="13"/>
  <c r="Q29" i="13"/>
  <c r="Q32" i="13" s="1"/>
  <c r="P29" i="13"/>
  <c r="O29" i="13"/>
  <c r="N29" i="13"/>
  <c r="N34" i="13"/>
  <c r="T23" i="13"/>
  <c r="S23" i="13"/>
  <c r="R23" i="13"/>
  <c r="Q23" i="13"/>
  <c r="P23" i="13"/>
  <c r="O23" i="13"/>
  <c r="N24" i="13"/>
  <c r="N23" i="13"/>
  <c r="S22" i="13"/>
  <c r="R22" i="13"/>
  <c r="Q22" i="13"/>
  <c r="P22" i="13"/>
  <c r="T26" i="13"/>
  <c r="O22" i="13"/>
  <c r="N22" i="13"/>
  <c r="T16" i="13"/>
  <c r="T19" i="13" s="1"/>
  <c r="S16" i="13"/>
  <c r="R16" i="13"/>
  <c r="Q16" i="13"/>
  <c r="P16" i="13"/>
  <c r="O16" i="13"/>
  <c r="N16" i="13"/>
  <c r="N3" i="13"/>
  <c r="AB53" i="13"/>
  <c r="T53" i="13"/>
  <c r="M53" i="13"/>
  <c r="AI52" i="13"/>
  <c r="AB52" i="13"/>
  <c r="T52" i="13"/>
  <c r="M52" i="13"/>
  <c r="AB51" i="13"/>
  <c r="T51" i="13"/>
  <c r="M51" i="13"/>
  <c r="G50" i="13"/>
  <c r="AA48" i="13"/>
  <c r="Z48" i="13"/>
  <c r="Y48" i="13"/>
  <c r="X48" i="13"/>
  <c r="W48" i="13"/>
  <c r="V48" i="13"/>
  <c r="U48" i="13"/>
  <c r="L48" i="13"/>
  <c r="L51" i="13" s="1"/>
  <c r="K48" i="13"/>
  <c r="R48" i="13" s="1"/>
  <c r="J48" i="13"/>
  <c r="J51" i="13" s="1"/>
  <c r="I48" i="13"/>
  <c r="P48" i="13" s="1"/>
  <c r="H48" i="13"/>
  <c r="O48" i="13" s="1"/>
  <c r="G48" i="13"/>
  <c r="N48" i="13" s="1"/>
  <c r="AH47" i="13"/>
  <c r="AG47" i="13"/>
  <c r="AF47" i="13"/>
  <c r="AE47" i="13"/>
  <c r="AD47" i="13"/>
  <c r="AC47" i="13"/>
  <c r="AB47" i="13"/>
  <c r="T47" i="13"/>
  <c r="M47" i="13"/>
  <c r="H47" i="13"/>
  <c r="G47" i="13"/>
  <c r="AH46" i="13"/>
  <c r="AG46" i="13"/>
  <c r="AF46" i="13"/>
  <c r="AE46" i="13"/>
  <c r="AD46" i="13"/>
  <c r="AC46" i="13"/>
  <c r="AB46" i="13"/>
  <c r="T46" i="13"/>
  <c r="M46" i="13"/>
  <c r="G46" i="13"/>
  <c r="AH45" i="13"/>
  <c r="AG45" i="13"/>
  <c r="AF45" i="13"/>
  <c r="AE45" i="13"/>
  <c r="AD45" i="13"/>
  <c r="AC45" i="13"/>
  <c r="AB45" i="13"/>
  <c r="T45" i="13"/>
  <c r="M45" i="13"/>
  <c r="J45" i="13"/>
  <c r="G45" i="13"/>
  <c r="L44" i="13"/>
  <c r="K44" i="13"/>
  <c r="J44" i="13"/>
  <c r="H44" i="13"/>
  <c r="L43" i="13"/>
  <c r="L47" i="13" s="1"/>
  <c r="K43" i="13"/>
  <c r="K46" i="13" s="1"/>
  <c r="J43" i="13"/>
  <c r="J46" i="13" s="1"/>
  <c r="I43" i="13"/>
  <c r="I46" i="13" s="1"/>
  <c r="H43" i="13"/>
  <c r="H45" i="13" s="1"/>
  <c r="S46" i="13"/>
  <c r="O46" i="13"/>
  <c r="AB40" i="13"/>
  <c r="T40" i="13"/>
  <c r="M40" i="13"/>
  <c r="AI39" i="13"/>
  <c r="AB39" i="13"/>
  <c r="M39" i="13"/>
  <c r="AB38" i="13"/>
  <c r="T38" i="13"/>
  <c r="M38" i="13"/>
  <c r="G37" i="13"/>
  <c r="AA35" i="13"/>
  <c r="Z35" i="13"/>
  <c r="Y35" i="13"/>
  <c r="X35" i="13"/>
  <c r="W35" i="13"/>
  <c r="V35" i="13"/>
  <c r="U35" i="13"/>
  <c r="L35" i="13"/>
  <c r="L38" i="13" s="1"/>
  <c r="K35" i="13"/>
  <c r="R35" i="13" s="1"/>
  <c r="J35" i="13"/>
  <c r="Q35" i="13" s="1"/>
  <c r="I35" i="13"/>
  <c r="I38" i="13" s="1"/>
  <c r="H35" i="13"/>
  <c r="O35" i="13" s="1"/>
  <c r="G35" i="13"/>
  <c r="N35" i="13" s="1"/>
  <c r="AH34" i="13"/>
  <c r="AG34" i="13"/>
  <c r="AF34" i="13"/>
  <c r="AE34" i="13"/>
  <c r="AD34" i="13"/>
  <c r="AC34" i="13"/>
  <c r="AB34" i="13"/>
  <c r="T34" i="13"/>
  <c r="M34" i="13"/>
  <c r="G34" i="13"/>
  <c r="AH33" i="13"/>
  <c r="AG33" i="13"/>
  <c r="AF33" i="13"/>
  <c r="AE33" i="13"/>
  <c r="AD33" i="13"/>
  <c r="AC33" i="13"/>
  <c r="AB33" i="13"/>
  <c r="T33" i="13"/>
  <c r="R33" i="13"/>
  <c r="M33" i="13"/>
  <c r="L33" i="13"/>
  <c r="J33" i="13"/>
  <c r="G33" i="13"/>
  <c r="AH32" i="13"/>
  <c r="AG32" i="13"/>
  <c r="AF32" i="13"/>
  <c r="AE32" i="13"/>
  <c r="AD32" i="13"/>
  <c r="AC32" i="13"/>
  <c r="AB32" i="13"/>
  <c r="M32" i="13"/>
  <c r="J32" i="13"/>
  <c r="I32" i="13"/>
  <c r="G32" i="13"/>
  <c r="L31" i="13"/>
  <c r="K31" i="13"/>
  <c r="J31" i="13"/>
  <c r="H31" i="13"/>
  <c r="L30" i="13"/>
  <c r="L34" i="13" s="1"/>
  <c r="K30" i="13"/>
  <c r="K33" i="13" s="1"/>
  <c r="J30" i="13"/>
  <c r="J34" i="13" s="1"/>
  <c r="I30" i="13"/>
  <c r="I33" i="13" s="1"/>
  <c r="H30" i="13"/>
  <c r="H32" i="13" s="1"/>
  <c r="R34" i="13"/>
  <c r="Q33" i="13"/>
  <c r="P32" i="13"/>
  <c r="O32" i="13"/>
  <c r="AB27" i="13"/>
  <c r="M27" i="13"/>
  <c r="G27" i="13"/>
  <c r="AI26" i="13"/>
  <c r="AB26" i="13"/>
  <c r="M26" i="13"/>
  <c r="G26" i="13"/>
  <c r="AB25" i="13"/>
  <c r="M25" i="13"/>
  <c r="G24" i="13"/>
  <c r="AA22" i="13"/>
  <c r="Z22" i="13"/>
  <c r="Y22" i="13"/>
  <c r="X22" i="13"/>
  <c r="W22" i="13"/>
  <c r="V22" i="13"/>
  <c r="U22" i="13"/>
  <c r="L22" i="13"/>
  <c r="L25" i="13" s="1"/>
  <c r="K22" i="13"/>
  <c r="J22" i="13"/>
  <c r="I22" i="13"/>
  <c r="H22" i="13"/>
  <c r="G22" i="13"/>
  <c r="AH21" i="13"/>
  <c r="AG21" i="13"/>
  <c r="AF21" i="13"/>
  <c r="AE21" i="13"/>
  <c r="AD21" i="13"/>
  <c r="AC21" i="13"/>
  <c r="AB21" i="13"/>
  <c r="M21" i="13"/>
  <c r="H21" i="13"/>
  <c r="G21" i="13"/>
  <c r="AH20" i="13"/>
  <c r="AG20" i="13"/>
  <c r="AF20" i="13"/>
  <c r="AE20" i="13"/>
  <c r="AD20" i="13"/>
  <c r="AC20" i="13"/>
  <c r="AB20" i="13"/>
  <c r="T20" i="13"/>
  <c r="M20" i="13"/>
  <c r="G20" i="13"/>
  <c r="AH19" i="13"/>
  <c r="AG19" i="13"/>
  <c r="AF19" i="13"/>
  <c r="AE19" i="13"/>
  <c r="AD19" i="13"/>
  <c r="AC19" i="13"/>
  <c r="AB19" i="13"/>
  <c r="R19" i="13"/>
  <c r="M19" i="13"/>
  <c r="J19" i="13"/>
  <c r="G19" i="13"/>
  <c r="L18" i="13"/>
  <c r="K18" i="13"/>
  <c r="J18" i="13"/>
  <c r="H18" i="13"/>
  <c r="L17" i="13"/>
  <c r="L21" i="13" s="1"/>
  <c r="K17" i="13"/>
  <c r="K20" i="13" s="1"/>
  <c r="J17" i="13"/>
  <c r="J20" i="13" s="1"/>
  <c r="I17" i="13"/>
  <c r="I20" i="13" s="1"/>
  <c r="H17" i="13"/>
  <c r="H19" i="13" s="1"/>
  <c r="S20" i="13"/>
  <c r="R20" i="13"/>
  <c r="Q20" i="13"/>
  <c r="P19" i="13"/>
  <c r="O19" i="13"/>
  <c r="N21" i="13"/>
  <c r="AC6" i="13"/>
  <c r="AD6" i="13"/>
  <c r="AE6" i="13"/>
  <c r="AF6" i="13"/>
  <c r="AG6" i="13"/>
  <c r="AH6" i="13"/>
  <c r="AC7" i="13"/>
  <c r="AD7" i="13"/>
  <c r="AE7" i="13"/>
  <c r="AF7" i="13"/>
  <c r="AG7" i="13"/>
  <c r="AH7" i="13"/>
  <c r="AC8" i="13"/>
  <c r="AD8" i="13"/>
  <c r="AE8" i="13"/>
  <c r="AF8" i="13"/>
  <c r="AG8" i="13"/>
  <c r="AH8" i="13"/>
  <c r="AB8" i="13"/>
  <c r="AB7" i="13"/>
  <c r="AB6" i="13"/>
  <c r="T6" i="13"/>
  <c r="T7" i="13"/>
  <c r="T8" i="13"/>
  <c r="M6" i="13"/>
  <c r="M7" i="13"/>
  <c r="M8" i="13"/>
  <c r="G8" i="13"/>
  <c r="G7" i="13"/>
  <c r="G6" i="13"/>
  <c r="H5" i="13"/>
  <c r="L137" i="13"/>
  <c r="K137" i="13"/>
  <c r="D80" i="13"/>
  <c r="I4" i="13" s="1"/>
  <c r="I7" i="13" s="1"/>
  <c r="E80" i="13"/>
  <c r="J5" i="13" s="1"/>
  <c r="F80" i="13"/>
  <c r="K4" i="13" s="1"/>
  <c r="G80" i="13"/>
  <c r="L5" i="13" s="1"/>
  <c r="C80" i="13"/>
  <c r="H4" i="13" s="1"/>
  <c r="AI13" i="13"/>
  <c r="AB14" i="13"/>
  <c r="AB13" i="13"/>
  <c r="AB12" i="13"/>
  <c r="T12" i="13"/>
  <c r="T13" i="13"/>
  <c r="T14" i="13"/>
  <c r="M12" i="13"/>
  <c r="M13" i="13"/>
  <c r="M14" i="13"/>
  <c r="AA9" i="13"/>
  <c r="G11" i="13"/>
  <c r="N11" i="13"/>
  <c r="Z9" i="13"/>
  <c r="Y9" i="13"/>
  <c r="X9" i="13"/>
  <c r="W9" i="13"/>
  <c r="V9" i="13"/>
  <c r="U9" i="13"/>
  <c r="AI71" i="13"/>
  <c r="AH71" i="13"/>
  <c r="AG71" i="13"/>
  <c r="AF71" i="13"/>
  <c r="AG65" i="13"/>
  <c r="K9" i="13" s="1"/>
  <c r="R9" i="13" s="1"/>
  <c r="R12" i="13" s="1"/>
  <c r="AI65" i="13"/>
  <c r="AH65" i="13"/>
  <c r="L9" i="13" s="1"/>
  <c r="AF65" i="13"/>
  <c r="I9" i="13" s="1"/>
  <c r="P9" i="13" s="1"/>
  <c r="P14" i="13" s="1"/>
  <c r="AE65" i="13"/>
  <c r="H9" i="13" s="1"/>
  <c r="AE71" i="13"/>
  <c r="S3" i="13"/>
  <c r="S8" i="13" s="1"/>
  <c r="R3" i="13"/>
  <c r="R7" i="13" s="1"/>
  <c r="Q3" i="13"/>
  <c r="Q6" i="13" s="1"/>
  <c r="P3" i="13"/>
  <c r="P8" i="13" s="1"/>
  <c r="O3" i="13"/>
  <c r="O8" i="13" s="1"/>
  <c r="N8" i="13"/>
  <c r="G52" i="13" l="1"/>
  <c r="K38" i="13"/>
  <c r="G53" i="13"/>
  <c r="L39" i="13"/>
  <c r="Q48" i="13"/>
  <c r="Q52" i="13" s="1"/>
  <c r="S35" i="13"/>
  <c r="S38" i="13" s="1"/>
  <c r="S48" i="13"/>
  <c r="P35" i="13"/>
  <c r="P40" i="13" s="1"/>
  <c r="R45" i="13"/>
  <c r="T27" i="13"/>
  <c r="T25" i="13"/>
  <c r="T21" i="13"/>
  <c r="P51" i="13"/>
  <c r="P53" i="13"/>
  <c r="P52" i="13"/>
  <c r="R51" i="13"/>
  <c r="R53" i="13"/>
  <c r="R52" i="13"/>
  <c r="N51" i="13"/>
  <c r="N53" i="13"/>
  <c r="N52" i="13"/>
  <c r="O52" i="13"/>
  <c r="O53" i="13"/>
  <c r="O51" i="13"/>
  <c r="I45" i="13"/>
  <c r="Q45" i="13"/>
  <c r="L46" i="13"/>
  <c r="O47" i="13"/>
  <c r="K45" i="13"/>
  <c r="S45" i="13"/>
  <c r="N46" i="13"/>
  <c r="I47" i="13"/>
  <c r="Q47" i="13"/>
  <c r="G51" i="13"/>
  <c r="H52" i="13"/>
  <c r="H53" i="13"/>
  <c r="P47" i="13"/>
  <c r="L45" i="13"/>
  <c r="J47" i="13"/>
  <c r="R47" i="13"/>
  <c r="H51" i="13"/>
  <c r="I52" i="13"/>
  <c r="I53" i="13"/>
  <c r="H46" i="13"/>
  <c r="P46" i="13"/>
  <c r="K47" i="13"/>
  <c r="S47" i="13"/>
  <c r="I51" i="13"/>
  <c r="J52" i="13"/>
  <c r="J53" i="13"/>
  <c r="N45" i="13"/>
  <c r="K52" i="13"/>
  <c r="K53" i="13"/>
  <c r="K51" i="13"/>
  <c r="L52" i="13"/>
  <c r="L53" i="13"/>
  <c r="Q38" i="13"/>
  <c r="Q40" i="13"/>
  <c r="Q39" i="13"/>
  <c r="R38" i="13"/>
  <c r="R40" i="13"/>
  <c r="R39" i="13"/>
  <c r="N39" i="13"/>
  <c r="N38" i="13"/>
  <c r="N40" i="13"/>
  <c r="O38" i="13"/>
  <c r="O40" i="13"/>
  <c r="O39" i="13"/>
  <c r="R32" i="13"/>
  <c r="H34" i="13"/>
  <c r="P34" i="13"/>
  <c r="G39" i="13"/>
  <c r="G40" i="13"/>
  <c r="K32" i="13"/>
  <c r="S32" i="13"/>
  <c r="N33" i="13"/>
  <c r="I34" i="13"/>
  <c r="Q34" i="13"/>
  <c r="G38" i="13"/>
  <c r="H39" i="13"/>
  <c r="H40" i="13"/>
  <c r="L32" i="13"/>
  <c r="O33" i="13"/>
  <c r="H38" i="13"/>
  <c r="I39" i="13"/>
  <c r="I40" i="13"/>
  <c r="O34" i="13"/>
  <c r="H33" i="13"/>
  <c r="P33" i="13"/>
  <c r="K34" i="13"/>
  <c r="S34" i="13"/>
  <c r="J39" i="13"/>
  <c r="J40" i="13"/>
  <c r="N32" i="13"/>
  <c r="J38" i="13"/>
  <c r="K39" i="13"/>
  <c r="S39" i="13"/>
  <c r="K40" i="13"/>
  <c r="S40" i="13"/>
  <c r="L40" i="13"/>
  <c r="Q25" i="13"/>
  <c r="Q27" i="13"/>
  <c r="Q26" i="13"/>
  <c r="R25" i="13"/>
  <c r="R27" i="13"/>
  <c r="R26" i="13"/>
  <c r="N25" i="13"/>
  <c r="N27" i="13"/>
  <c r="N26" i="13"/>
  <c r="O26" i="13"/>
  <c r="O25" i="13"/>
  <c r="O27" i="13"/>
  <c r="P25" i="13"/>
  <c r="P27" i="13"/>
  <c r="P26" i="13"/>
  <c r="I19" i="13"/>
  <c r="Q19" i="13"/>
  <c r="L20" i="13"/>
  <c r="O21" i="13"/>
  <c r="K19" i="13"/>
  <c r="S19" i="13"/>
  <c r="N20" i="13"/>
  <c r="I21" i="13"/>
  <c r="Q21" i="13"/>
  <c r="G25" i="13"/>
  <c r="H26" i="13"/>
  <c r="H27" i="13"/>
  <c r="L19" i="13"/>
  <c r="O20" i="13"/>
  <c r="J21" i="13"/>
  <c r="R21" i="13"/>
  <c r="H25" i="13"/>
  <c r="I26" i="13"/>
  <c r="I27" i="13"/>
  <c r="H20" i="13"/>
  <c r="P20" i="13"/>
  <c r="K21" i="13"/>
  <c r="S21" i="13"/>
  <c r="I25" i="13"/>
  <c r="J26" i="13"/>
  <c r="J27" i="13"/>
  <c r="P21" i="13"/>
  <c r="N19" i="13"/>
  <c r="J25" i="13"/>
  <c r="K26" i="13"/>
  <c r="K27" i="13"/>
  <c r="K25" i="13"/>
  <c r="L26" i="13"/>
  <c r="L27" i="13"/>
  <c r="S9" i="13"/>
  <c r="S13" i="13" s="1"/>
  <c r="O9" i="13"/>
  <c r="O14" i="13" s="1"/>
  <c r="P7" i="13"/>
  <c r="O6" i="13"/>
  <c r="Q8" i="13"/>
  <c r="J9" i="13"/>
  <c r="J13" i="13" s="1"/>
  <c r="H7" i="13"/>
  <c r="H6" i="13"/>
  <c r="H8" i="13"/>
  <c r="G9" i="13"/>
  <c r="N9" i="13" s="1"/>
  <c r="N14" i="13" s="1"/>
  <c r="J4" i="13"/>
  <c r="K5" i="13"/>
  <c r="K8" i="13" s="1"/>
  <c r="I8" i="13"/>
  <c r="R8" i="13"/>
  <c r="Q7" i="13"/>
  <c r="P6" i="13"/>
  <c r="O7" i="13"/>
  <c r="N6" i="13"/>
  <c r="N7" i="13"/>
  <c r="I6" i="13"/>
  <c r="S6" i="13"/>
  <c r="I14" i="13"/>
  <c r="L4" i="13"/>
  <c r="S7" i="13"/>
  <c r="R6" i="13"/>
  <c r="J14" i="13"/>
  <c r="H13" i="13"/>
  <c r="S14" i="13"/>
  <c r="R13" i="13"/>
  <c r="H14" i="13"/>
  <c r="L12" i="13"/>
  <c r="P13" i="13"/>
  <c r="R14" i="13"/>
  <c r="P12" i="13"/>
  <c r="K12" i="13"/>
  <c r="L13" i="13"/>
  <c r="K13" i="13"/>
  <c r="I12" i="13"/>
  <c r="L14" i="13"/>
  <c r="H12" i="13"/>
  <c r="S12" i="13"/>
  <c r="K14" i="13"/>
  <c r="I13" i="13"/>
  <c r="L183" i="8"/>
  <c r="L182" i="8"/>
  <c r="L181" i="8"/>
  <c r="AU125" i="8"/>
  <c r="AT125" i="8"/>
  <c r="AS125" i="8"/>
  <c r="AR125" i="8"/>
  <c r="AQ125" i="8"/>
  <c r="AP125" i="8"/>
  <c r="Y125" i="8"/>
  <c r="U125" i="8"/>
  <c r="AV124" i="8"/>
  <c r="AU124" i="8"/>
  <c r="AT124" i="8"/>
  <c r="AS124" i="8"/>
  <c r="AR124" i="8"/>
  <c r="AQ124" i="8"/>
  <c r="AP124" i="8"/>
  <c r="Y124" i="8"/>
  <c r="L124" i="8"/>
  <c r="AU123" i="8"/>
  <c r="AT123" i="8"/>
  <c r="AS123" i="8"/>
  <c r="AR123" i="8"/>
  <c r="AQ123" i="8"/>
  <c r="AP123" i="8"/>
  <c r="Y123" i="8"/>
  <c r="W123" i="8"/>
  <c r="U123" i="8"/>
  <c r="Z122" i="8"/>
  <c r="L122" i="8"/>
  <c r="Z121" i="8"/>
  <c r="L121" i="8"/>
  <c r="AV120" i="8"/>
  <c r="AV125" i="8" s="1"/>
  <c r="Z120" i="8"/>
  <c r="Y120" i="8"/>
  <c r="AA120" i="8" s="1"/>
  <c r="W120" i="8"/>
  <c r="W124" i="8" s="1"/>
  <c r="V120" i="8"/>
  <c r="V124" i="8" s="1"/>
  <c r="U120" i="8"/>
  <c r="U124" i="8" s="1"/>
  <c r="M120" i="8"/>
  <c r="L120" i="8"/>
  <c r="L123" i="8" s="1"/>
  <c r="J120" i="8"/>
  <c r="X120" i="8" s="1"/>
  <c r="I120" i="8"/>
  <c r="H120" i="8"/>
  <c r="AU119" i="8"/>
  <c r="AT119" i="8"/>
  <c r="AS119" i="8"/>
  <c r="AR119" i="8"/>
  <c r="AQ119" i="8"/>
  <c r="AP119" i="8"/>
  <c r="AN119" i="8"/>
  <c r="AI119" i="8"/>
  <c r="AG119" i="8"/>
  <c r="P119" i="8"/>
  <c r="AV118" i="8"/>
  <c r="AU118" i="8"/>
  <c r="AT118" i="8"/>
  <c r="AS118" i="8"/>
  <c r="AR118" i="8"/>
  <c r="AQ118" i="8"/>
  <c r="AP118" i="8"/>
  <c r="AN118" i="8"/>
  <c r="AI118" i="8"/>
  <c r="AU117" i="8"/>
  <c r="AS117" i="8"/>
  <c r="AR117" i="8"/>
  <c r="AQ117" i="8"/>
  <c r="AP117" i="8"/>
  <c r="AN117" i="8"/>
  <c r="AI117" i="8"/>
  <c r="AG117" i="8"/>
  <c r="P117" i="8"/>
  <c r="AV116" i="8"/>
  <c r="AT116" i="8"/>
  <c r="AT117" i="8" s="1"/>
  <c r="AA116" i="8"/>
  <c r="Z116" i="8"/>
  <c r="Y116" i="8"/>
  <c r="X116" i="8"/>
  <c r="W116" i="8"/>
  <c r="V116" i="8"/>
  <c r="U116" i="8"/>
  <c r="R116" i="8"/>
  <c r="W115" i="8"/>
  <c r="U115" i="8"/>
  <c r="S115" i="8"/>
  <c r="P115" i="8"/>
  <c r="O115" i="8"/>
  <c r="V115" i="8" s="1"/>
  <c r="N115" i="8"/>
  <c r="W114" i="8"/>
  <c r="U114" i="8"/>
  <c r="S114" i="8"/>
  <c r="Z114" i="8" s="1"/>
  <c r="Q114" i="8"/>
  <c r="P114" i="8"/>
  <c r="O114" i="8"/>
  <c r="V114" i="8" s="1"/>
  <c r="N114" i="8"/>
  <c r="W113" i="8"/>
  <c r="U113" i="8"/>
  <c r="S113" i="8"/>
  <c r="P113" i="8"/>
  <c r="O113" i="8"/>
  <c r="V113" i="8" s="1"/>
  <c r="N113" i="8"/>
  <c r="W112" i="8"/>
  <c r="U112" i="8"/>
  <c r="S112" i="8"/>
  <c r="Q112" i="8"/>
  <c r="P112" i="8"/>
  <c r="P118" i="8" s="1"/>
  <c r="O112" i="8"/>
  <c r="V112" i="8" s="1"/>
  <c r="N112" i="8"/>
  <c r="AA111" i="8"/>
  <c r="Z111" i="8"/>
  <c r="Y111" i="8"/>
  <c r="X111" i="8"/>
  <c r="W111" i="8"/>
  <c r="U111" i="8"/>
  <c r="T111" i="8"/>
  <c r="R111" i="8"/>
  <c r="O111" i="8"/>
  <c r="Z110" i="8"/>
  <c r="Y110" i="8"/>
  <c r="X110" i="8"/>
  <c r="W110" i="8"/>
  <c r="V110" i="8"/>
  <c r="U110" i="8"/>
  <c r="T110" i="8"/>
  <c r="AA110" i="8" s="1"/>
  <c r="R110" i="8"/>
  <c r="O110" i="8"/>
  <c r="AA109" i="8"/>
  <c r="Z109" i="8"/>
  <c r="Y109" i="8"/>
  <c r="X109" i="8"/>
  <c r="W109" i="8"/>
  <c r="V109" i="8"/>
  <c r="V119" i="8" s="1"/>
  <c r="U109" i="8"/>
  <c r="O109" i="8"/>
  <c r="O119" i="8" s="1"/>
  <c r="AV108" i="8"/>
  <c r="AV117" i="8" s="1"/>
  <c r="AA108" i="8"/>
  <c r="Z108" i="8"/>
  <c r="Y108" i="8"/>
  <c r="X108" i="8"/>
  <c r="W108" i="8"/>
  <c r="V108" i="8"/>
  <c r="T108" i="8"/>
  <c r="N108" i="8"/>
  <c r="AG107" i="8"/>
  <c r="AG118" i="8" s="1"/>
  <c r="Z107" i="8"/>
  <c r="S107" i="8"/>
  <c r="S119" i="8" s="1"/>
  <c r="L107" i="8"/>
  <c r="L118" i="8" s="1"/>
  <c r="AU106" i="8"/>
  <c r="AT106" i="8"/>
  <c r="AS106" i="8"/>
  <c r="AR106" i="8"/>
  <c r="AQ106" i="8"/>
  <c r="AP106" i="8"/>
  <c r="AH106" i="8"/>
  <c r="AG106" i="8"/>
  <c r="AF106" i="8"/>
  <c r="AE106" i="8"/>
  <c r="AD106" i="8"/>
  <c r="AC106" i="8"/>
  <c r="AB106" i="8"/>
  <c r="V106" i="8"/>
  <c r="T106" i="8"/>
  <c r="R106" i="8"/>
  <c r="Q106" i="8"/>
  <c r="P106" i="8"/>
  <c r="O106" i="8"/>
  <c r="AU105" i="8"/>
  <c r="AT105" i="8"/>
  <c r="AS105" i="8"/>
  <c r="AR105" i="8"/>
  <c r="AQ105" i="8"/>
  <c r="AP105" i="8"/>
  <c r="AH105" i="8"/>
  <c r="AG105" i="8"/>
  <c r="AF105" i="8"/>
  <c r="AE105" i="8"/>
  <c r="AD105" i="8"/>
  <c r="AC105" i="8"/>
  <c r="AB105" i="8"/>
  <c r="AA105" i="8"/>
  <c r="T105" i="8"/>
  <c r="S105" i="8"/>
  <c r="R105" i="8"/>
  <c r="Q105" i="8"/>
  <c r="P105" i="8"/>
  <c r="O105" i="8"/>
  <c r="AU104" i="8"/>
  <c r="AT104" i="8"/>
  <c r="AS104" i="8"/>
  <c r="AR104" i="8"/>
  <c r="AQ104" i="8"/>
  <c r="AP104" i="8"/>
  <c r="AH104" i="8"/>
  <c r="AG104" i="8"/>
  <c r="AF104" i="8"/>
  <c r="AE104" i="8"/>
  <c r="AD104" i="8"/>
  <c r="AC104" i="8"/>
  <c r="AB104" i="8"/>
  <c r="Y104" i="8"/>
  <c r="X104" i="8"/>
  <c r="V104" i="8"/>
  <c r="T104" i="8"/>
  <c r="R104" i="8"/>
  <c r="Q104" i="8"/>
  <c r="P104" i="8"/>
  <c r="O104" i="8"/>
  <c r="W100" i="8"/>
  <c r="W99" i="8"/>
  <c r="W98" i="8"/>
  <c r="AV97" i="8"/>
  <c r="AV105" i="8" s="1"/>
  <c r="AH97" i="8"/>
  <c r="AA97" i="8"/>
  <c r="Z97" i="8"/>
  <c r="Y97" i="8"/>
  <c r="Y105" i="8" s="1"/>
  <c r="X97" i="8"/>
  <c r="X105" i="8" s="1"/>
  <c r="W97" i="8"/>
  <c r="W105" i="8" s="1"/>
  <c r="V97" i="8"/>
  <c r="V105" i="8" s="1"/>
  <c r="U97" i="8"/>
  <c r="U106" i="8" s="1"/>
  <c r="T97" i="8"/>
  <c r="Z96" i="8"/>
  <c r="S96" i="8"/>
  <c r="S106" i="8" s="1"/>
  <c r="L96" i="8"/>
  <c r="L106" i="8" s="1"/>
  <c r="AU94" i="8"/>
  <c r="AT94" i="8"/>
  <c r="AS94" i="8"/>
  <c r="AR94" i="8"/>
  <c r="AQ94" i="8"/>
  <c r="AP94" i="8"/>
  <c r="Y94" i="8"/>
  <c r="U94" i="8"/>
  <c r="AU93" i="8"/>
  <c r="AT93" i="8"/>
  <c r="AS93" i="8"/>
  <c r="AR93" i="8"/>
  <c r="AQ93" i="8"/>
  <c r="AP93" i="8"/>
  <c r="Y93" i="8"/>
  <c r="L93" i="8"/>
  <c r="AU92" i="8"/>
  <c r="AT92" i="8"/>
  <c r="AS92" i="8"/>
  <c r="AR92" i="8"/>
  <c r="AQ92" i="8"/>
  <c r="AP92" i="8"/>
  <c r="Y92" i="8"/>
  <c r="W92" i="8"/>
  <c r="Z91" i="8"/>
  <c r="L91" i="8"/>
  <c r="L90" i="8"/>
  <c r="Z90" i="8" s="1"/>
  <c r="AV89" i="8"/>
  <c r="Z89" i="8"/>
  <c r="AA89" i="8" s="1"/>
  <c r="AA92" i="8" s="1"/>
  <c r="Y89" i="8"/>
  <c r="X89" i="8"/>
  <c r="U89" i="8"/>
  <c r="U92" i="8" s="1"/>
  <c r="M89" i="8"/>
  <c r="L89" i="8"/>
  <c r="L92" i="8" s="1"/>
  <c r="J89" i="8"/>
  <c r="I89" i="8"/>
  <c r="W89" i="8" s="1"/>
  <c r="H89" i="8"/>
  <c r="V89" i="8" s="1"/>
  <c r="AU88" i="8"/>
  <c r="AT88" i="8"/>
  <c r="AS88" i="8"/>
  <c r="AR88" i="8"/>
  <c r="AQ88" i="8"/>
  <c r="AP88" i="8"/>
  <c r="AN88" i="8"/>
  <c r="AI88" i="8"/>
  <c r="N88" i="8"/>
  <c r="AU87" i="8"/>
  <c r="AT87" i="8"/>
  <c r="AS87" i="8"/>
  <c r="AR87" i="8"/>
  <c r="AQ87" i="8"/>
  <c r="AP87" i="8"/>
  <c r="AN87" i="8"/>
  <c r="AI87" i="8"/>
  <c r="W87" i="8"/>
  <c r="AU86" i="8"/>
  <c r="AS86" i="8"/>
  <c r="AR86" i="8"/>
  <c r="AQ86" i="8"/>
  <c r="AP86" i="8"/>
  <c r="AN86" i="8"/>
  <c r="AI86" i="8"/>
  <c r="AG86" i="8"/>
  <c r="P86" i="8"/>
  <c r="L86" i="8"/>
  <c r="AV85" i="8"/>
  <c r="AT85" i="8"/>
  <c r="AT86" i="8" s="1"/>
  <c r="AA85" i="8"/>
  <c r="Z85" i="8"/>
  <c r="Y85" i="8"/>
  <c r="X85" i="8"/>
  <c r="W85" i="8"/>
  <c r="V85" i="8"/>
  <c r="U85" i="8"/>
  <c r="R85" i="8"/>
  <c r="W84" i="8"/>
  <c r="U84" i="8"/>
  <c r="S84" i="8"/>
  <c r="Z84" i="8" s="1"/>
  <c r="Q84" i="8"/>
  <c r="P84" i="8"/>
  <c r="N84" i="8"/>
  <c r="O84" i="8" s="1"/>
  <c r="V84" i="8" s="1"/>
  <c r="W83" i="8"/>
  <c r="U83" i="8"/>
  <c r="S83" i="8"/>
  <c r="P83" i="8"/>
  <c r="O83" i="8"/>
  <c r="V83" i="8" s="1"/>
  <c r="N83" i="8"/>
  <c r="Z82" i="8"/>
  <c r="W82" i="8"/>
  <c r="U82" i="8"/>
  <c r="S82" i="8"/>
  <c r="Q82" i="8"/>
  <c r="P82" i="8"/>
  <c r="O82" i="8"/>
  <c r="V82" i="8" s="1"/>
  <c r="N82" i="8"/>
  <c r="W81" i="8"/>
  <c r="U81" i="8"/>
  <c r="S81" i="8"/>
  <c r="P81" i="8"/>
  <c r="P88" i="8" s="1"/>
  <c r="O81" i="8"/>
  <c r="V81" i="8" s="1"/>
  <c r="N81" i="8"/>
  <c r="Z80" i="8"/>
  <c r="Y80" i="8"/>
  <c r="AA80" i="8" s="1"/>
  <c r="X80" i="8"/>
  <c r="W80" i="8"/>
  <c r="U80" i="8"/>
  <c r="T80" i="8"/>
  <c r="R80" i="8"/>
  <c r="O80" i="8"/>
  <c r="Z79" i="8"/>
  <c r="X79" i="8"/>
  <c r="W79" i="8"/>
  <c r="U79" i="8"/>
  <c r="T79" i="8"/>
  <c r="AA79" i="8" s="1"/>
  <c r="R79" i="8"/>
  <c r="O79" i="8"/>
  <c r="V79" i="8" s="1"/>
  <c r="AA78" i="8"/>
  <c r="Z78" i="8"/>
  <c r="Y78" i="8"/>
  <c r="X78" i="8"/>
  <c r="W78" i="8"/>
  <c r="U78" i="8"/>
  <c r="O78" i="8"/>
  <c r="AV77" i="8"/>
  <c r="AV88" i="8" s="1"/>
  <c r="AA77" i="8"/>
  <c r="Z77" i="8"/>
  <c r="Y77" i="8"/>
  <c r="X77" i="8"/>
  <c r="W77" i="8"/>
  <c r="W88" i="8" s="1"/>
  <c r="V77" i="8"/>
  <c r="U77" i="8"/>
  <c r="T77" i="8"/>
  <c r="N77" i="8"/>
  <c r="N87" i="8" s="1"/>
  <c r="AG76" i="8"/>
  <c r="AG88" i="8" s="1"/>
  <c r="Z76" i="8"/>
  <c r="S76" i="8"/>
  <c r="S86" i="8" s="1"/>
  <c r="L76" i="8"/>
  <c r="L88" i="8" s="1"/>
  <c r="AU75" i="8"/>
  <c r="AT75" i="8"/>
  <c r="AS75" i="8"/>
  <c r="AR75" i="8"/>
  <c r="AQ75" i="8"/>
  <c r="AP75" i="8"/>
  <c r="AH75" i="8"/>
  <c r="AG75" i="8"/>
  <c r="AF75" i="8"/>
  <c r="AE75" i="8"/>
  <c r="AD75" i="8"/>
  <c r="AC75" i="8"/>
  <c r="AB75" i="8"/>
  <c r="X75" i="8"/>
  <c r="T75" i="8"/>
  <c r="S75" i="8"/>
  <c r="R75" i="8"/>
  <c r="Q75" i="8"/>
  <c r="P75" i="8"/>
  <c r="O75" i="8"/>
  <c r="AV74" i="8"/>
  <c r="AU74" i="8"/>
  <c r="AT74" i="8"/>
  <c r="AS74" i="8"/>
  <c r="AR74" i="8"/>
  <c r="AQ74" i="8"/>
  <c r="AP74" i="8"/>
  <c r="AH74" i="8"/>
  <c r="AG74" i="8"/>
  <c r="AF74" i="8"/>
  <c r="AE74" i="8"/>
  <c r="AD74" i="8"/>
  <c r="AC74" i="8"/>
  <c r="AB74" i="8"/>
  <c r="Z74" i="8"/>
  <c r="X74" i="8"/>
  <c r="S74" i="8"/>
  <c r="R74" i="8"/>
  <c r="Q74" i="8"/>
  <c r="P74" i="8"/>
  <c r="O74" i="8"/>
  <c r="AU73" i="8"/>
  <c r="AT73" i="8"/>
  <c r="AS73" i="8"/>
  <c r="AR73" i="8"/>
  <c r="AQ73" i="8"/>
  <c r="AP73" i="8"/>
  <c r="AH73" i="8"/>
  <c r="AG73" i="8"/>
  <c r="AF73" i="8"/>
  <c r="AE73" i="8"/>
  <c r="AD73" i="8"/>
  <c r="AC73" i="8"/>
  <c r="AB73" i="8"/>
  <c r="Z73" i="8"/>
  <c r="X73" i="8"/>
  <c r="V73" i="8"/>
  <c r="T73" i="8"/>
  <c r="R73" i="8"/>
  <c r="Q73" i="8"/>
  <c r="P73" i="8"/>
  <c r="O73" i="8"/>
  <c r="W69" i="8"/>
  <c r="W68" i="8"/>
  <c r="W67" i="8"/>
  <c r="W74" i="8" s="1"/>
  <c r="AV66" i="8"/>
  <c r="AH66" i="8"/>
  <c r="Z66" i="8"/>
  <c r="Y66" i="8"/>
  <c r="Y74" i="8" s="1"/>
  <c r="X66" i="8"/>
  <c r="W66" i="8"/>
  <c r="W75" i="8" s="1"/>
  <c r="V66" i="8"/>
  <c r="U66" i="8"/>
  <c r="U73" i="8" s="1"/>
  <c r="T66" i="8"/>
  <c r="T74" i="8" s="1"/>
  <c r="Z65" i="8"/>
  <c r="Z75" i="8" s="1"/>
  <c r="S65" i="8"/>
  <c r="S73" i="8" s="1"/>
  <c r="L65" i="8"/>
  <c r="L73" i="8" s="1"/>
  <c r="AU63" i="8"/>
  <c r="AT63" i="8"/>
  <c r="AS63" i="8"/>
  <c r="AR63" i="8"/>
  <c r="AQ63" i="8"/>
  <c r="AP63" i="8"/>
  <c r="Y63" i="8"/>
  <c r="U63" i="8"/>
  <c r="AV62" i="8"/>
  <c r="AU62" i="8"/>
  <c r="AT62" i="8"/>
  <c r="AS62" i="8"/>
  <c r="AR62" i="8"/>
  <c r="AQ62" i="8"/>
  <c r="AP62" i="8"/>
  <c r="V62" i="8"/>
  <c r="U62" i="8"/>
  <c r="AU61" i="8"/>
  <c r="AT61" i="8"/>
  <c r="AS61" i="8"/>
  <c r="AR61" i="8"/>
  <c r="AQ61" i="8"/>
  <c r="AP61" i="8"/>
  <c r="Y61" i="8"/>
  <c r="V61" i="8"/>
  <c r="U61" i="8"/>
  <c r="Z60" i="8"/>
  <c r="L60" i="8"/>
  <c r="Z59" i="8"/>
  <c r="L59" i="8"/>
  <c r="AV58" i="8"/>
  <c r="AV61" i="8" s="1"/>
  <c r="Z58" i="8"/>
  <c r="Y58" i="8"/>
  <c r="Y62" i="8" s="1"/>
  <c r="V58" i="8"/>
  <c r="V63" i="8" s="1"/>
  <c r="U58" i="8"/>
  <c r="L58" i="8"/>
  <c r="J58" i="8"/>
  <c r="X58" i="8" s="1"/>
  <c r="I58" i="8"/>
  <c r="W58" i="8" s="1"/>
  <c r="W61" i="8" s="1"/>
  <c r="H58" i="8"/>
  <c r="AU57" i="8"/>
  <c r="AS57" i="8"/>
  <c r="AR57" i="8"/>
  <c r="AQ57" i="8"/>
  <c r="AP57" i="8"/>
  <c r="AN57" i="8"/>
  <c r="AI57" i="8"/>
  <c r="AG57" i="8"/>
  <c r="P57" i="8"/>
  <c r="AU56" i="8"/>
  <c r="AS56" i="8"/>
  <c r="AR56" i="8"/>
  <c r="AQ56" i="8"/>
  <c r="AP56" i="8"/>
  <c r="AN56" i="8"/>
  <c r="AI56" i="8"/>
  <c r="AU55" i="8"/>
  <c r="AT55" i="8"/>
  <c r="AS55" i="8"/>
  <c r="AR55" i="8"/>
  <c r="AQ55" i="8"/>
  <c r="AP55" i="8"/>
  <c r="AN55" i="8"/>
  <c r="AI55" i="8"/>
  <c r="AG55" i="8"/>
  <c r="AT54" i="8"/>
  <c r="AA54" i="8"/>
  <c r="Z54" i="8"/>
  <c r="Y54" i="8"/>
  <c r="X54" i="8"/>
  <c r="W54" i="8"/>
  <c r="V54" i="8"/>
  <c r="U54" i="8"/>
  <c r="R54" i="8"/>
  <c r="W53" i="8"/>
  <c r="U53" i="8"/>
  <c r="S53" i="8"/>
  <c r="P53" i="8"/>
  <c r="O53" i="8"/>
  <c r="V53" i="8" s="1"/>
  <c r="N53" i="8"/>
  <c r="Z52" i="8"/>
  <c r="W52" i="8"/>
  <c r="U52" i="8"/>
  <c r="S52" i="8"/>
  <c r="R52" i="8"/>
  <c r="T52" i="8" s="1"/>
  <c r="AA52" i="8" s="1"/>
  <c r="Q52" i="8"/>
  <c r="X52" i="8" s="1"/>
  <c r="P52" i="8"/>
  <c r="O52" i="8"/>
  <c r="V52" i="8" s="1"/>
  <c r="N52" i="8"/>
  <c r="W51" i="8"/>
  <c r="U51" i="8"/>
  <c r="S51" i="8"/>
  <c r="Z51" i="8" s="1"/>
  <c r="P51" i="8"/>
  <c r="O51" i="8" s="1"/>
  <c r="V51" i="8" s="1"/>
  <c r="N51" i="8"/>
  <c r="W50" i="8"/>
  <c r="U50" i="8"/>
  <c r="S50" i="8"/>
  <c r="Z50" i="8" s="1"/>
  <c r="Q50" i="8"/>
  <c r="P50" i="8"/>
  <c r="N50" i="8"/>
  <c r="O50" i="8" s="1"/>
  <c r="V50" i="8" s="1"/>
  <c r="V55" i="8" s="1"/>
  <c r="AA49" i="8"/>
  <c r="Z49" i="8"/>
  <c r="Y49" i="8"/>
  <c r="X49" i="8"/>
  <c r="W49" i="8"/>
  <c r="U49" i="8"/>
  <c r="R49" i="8"/>
  <c r="O49" i="8"/>
  <c r="Z48" i="8"/>
  <c r="X48" i="8"/>
  <c r="W48" i="8"/>
  <c r="U48" i="8"/>
  <c r="T48" i="8"/>
  <c r="R48" i="8"/>
  <c r="Y48" i="8" s="1"/>
  <c r="O48" i="8"/>
  <c r="V48" i="8" s="1"/>
  <c r="AA47" i="8"/>
  <c r="Z47" i="8"/>
  <c r="Y47" i="8"/>
  <c r="X47" i="8"/>
  <c r="W47" i="8"/>
  <c r="V47" i="8"/>
  <c r="U47" i="8"/>
  <c r="O47" i="8"/>
  <c r="AV46" i="8"/>
  <c r="AA46" i="8"/>
  <c r="Z46" i="8"/>
  <c r="Y46" i="8"/>
  <c r="X46" i="8"/>
  <c r="W46" i="8"/>
  <c r="V46" i="8"/>
  <c r="T46" i="8"/>
  <c r="N46" i="8"/>
  <c r="N55" i="8" s="1"/>
  <c r="AG45" i="8"/>
  <c r="AG56" i="8" s="1"/>
  <c r="Z45" i="8"/>
  <c r="S45" i="8"/>
  <c r="L45" i="8"/>
  <c r="AU44" i="8"/>
  <c r="AT44" i="8"/>
  <c r="AS44" i="8"/>
  <c r="AR44" i="8"/>
  <c r="AQ44" i="8"/>
  <c r="AP44" i="8"/>
  <c r="AH44" i="8"/>
  <c r="AG44" i="8"/>
  <c r="AF44" i="8"/>
  <c r="AE44" i="8"/>
  <c r="AD44" i="8"/>
  <c r="AC44" i="8"/>
  <c r="AB44" i="8"/>
  <c r="Z44" i="8"/>
  <c r="X44" i="8"/>
  <c r="V44" i="8"/>
  <c r="S44" i="8"/>
  <c r="R44" i="8"/>
  <c r="Q44" i="8"/>
  <c r="P44" i="8"/>
  <c r="O44" i="8"/>
  <c r="AU43" i="8"/>
  <c r="AT43" i="8"/>
  <c r="AS43" i="8"/>
  <c r="AR43" i="8"/>
  <c r="AQ43" i="8"/>
  <c r="AP43" i="8"/>
  <c r="AG43" i="8"/>
  <c r="AF43" i="8"/>
  <c r="AE43" i="8"/>
  <c r="AD43" i="8"/>
  <c r="AC43" i="8"/>
  <c r="AB43" i="8"/>
  <c r="X43" i="8"/>
  <c r="V43" i="8"/>
  <c r="U43" i="8"/>
  <c r="S43" i="8"/>
  <c r="R43" i="8"/>
  <c r="Q43" i="8"/>
  <c r="P43" i="8"/>
  <c r="O43" i="8"/>
  <c r="AU42" i="8"/>
  <c r="AT42" i="8"/>
  <c r="AS42" i="8"/>
  <c r="AR42" i="8"/>
  <c r="AQ42" i="8"/>
  <c r="AP42" i="8"/>
  <c r="AG42" i="8"/>
  <c r="AF42" i="8"/>
  <c r="AE42" i="8"/>
  <c r="AD42" i="8"/>
  <c r="AC42" i="8"/>
  <c r="AB42" i="8"/>
  <c r="X42" i="8"/>
  <c r="V42" i="8"/>
  <c r="U42" i="8"/>
  <c r="T42" i="8"/>
  <c r="R42" i="8"/>
  <c r="Q42" i="8"/>
  <c r="P42" i="8"/>
  <c r="O42" i="8"/>
  <c r="W38" i="8"/>
  <c r="W37" i="8"/>
  <c r="W36" i="8"/>
  <c r="AV35" i="8"/>
  <c r="AV44" i="8" s="1"/>
  <c r="AH35" i="8"/>
  <c r="Z35" i="8"/>
  <c r="Y35" i="8"/>
  <c r="X35" i="8"/>
  <c r="W35" i="8"/>
  <c r="V35" i="8"/>
  <c r="U35" i="8"/>
  <c r="U44" i="8" s="1"/>
  <c r="T35" i="8"/>
  <c r="Z34" i="8"/>
  <c r="S34" i="8"/>
  <c r="S42" i="8" s="1"/>
  <c r="L34" i="8"/>
  <c r="AU32" i="8"/>
  <c r="AT32" i="8"/>
  <c r="AS32" i="8"/>
  <c r="AR32" i="8"/>
  <c r="AQ32" i="8"/>
  <c r="AP32" i="8"/>
  <c r="Y32" i="8"/>
  <c r="U32" i="8"/>
  <c r="AU31" i="8"/>
  <c r="AT31" i="8"/>
  <c r="AS31" i="8"/>
  <c r="AR31" i="8"/>
  <c r="AQ31" i="8"/>
  <c r="AP31" i="8"/>
  <c r="U31" i="8"/>
  <c r="L31" i="8"/>
  <c r="AU30" i="8"/>
  <c r="AT30" i="8"/>
  <c r="AS30" i="8"/>
  <c r="AR30" i="8"/>
  <c r="AQ30" i="8"/>
  <c r="AP30" i="8"/>
  <c r="Y30" i="8"/>
  <c r="U30" i="8"/>
  <c r="L30" i="8"/>
  <c r="Z29" i="8"/>
  <c r="L29" i="8"/>
  <c r="Z28" i="8"/>
  <c r="Z31" i="8" s="1"/>
  <c r="L28" i="8"/>
  <c r="AV27" i="8"/>
  <c r="Z27" i="8"/>
  <c r="Y27" i="8"/>
  <c r="X27" i="8"/>
  <c r="X31" i="8" s="1"/>
  <c r="V27" i="8"/>
  <c r="U27" i="8"/>
  <c r="M27" i="8"/>
  <c r="L27" i="8"/>
  <c r="L32" i="8" s="1"/>
  <c r="J27" i="8"/>
  <c r="I27" i="8"/>
  <c r="W27" i="8" s="1"/>
  <c r="H27" i="8"/>
  <c r="AU26" i="8"/>
  <c r="AS26" i="8"/>
  <c r="AR26" i="8"/>
  <c r="AQ26" i="8"/>
  <c r="AP26" i="8"/>
  <c r="AN26" i="8"/>
  <c r="AI26" i="8"/>
  <c r="AU25" i="8"/>
  <c r="AT25" i="8"/>
  <c r="AS25" i="8"/>
  <c r="AR25" i="8"/>
  <c r="AQ25" i="8"/>
  <c r="AP25" i="8"/>
  <c r="AN25" i="8"/>
  <c r="AI25" i="8"/>
  <c r="AU24" i="8"/>
  <c r="AS24" i="8"/>
  <c r="AR24" i="8"/>
  <c r="AQ24" i="8"/>
  <c r="AP24" i="8"/>
  <c r="AN24" i="8"/>
  <c r="AI24" i="8"/>
  <c r="N24" i="8"/>
  <c r="AV23" i="8"/>
  <c r="AT23" i="8"/>
  <c r="AT26" i="8" s="1"/>
  <c r="Z23" i="8"/>
  <c r="AA23" i="8" s="1"/>
  <c r="X23" i="8"/>
  <c r="W23" i="8"/>
  <c r="V23" i="8"/>
  <c r="U23" i="8"/>
  <c r="R23" i="8"/>
  <c r="W22" i="8"/>
  <c r="U22" i="8"/>
  <c r="S22" i="8"/>
  <c r="Q22" i="8" s="1"/>
  <c r="P22" i="8"/>
  <c r="O22" i="8"/>
  <c r="V22" i="8" s="1"/>
  <c r="N22" i="8"/>
  <c r="S21" i="8"/>
  <c r="Z21" i="8" s="1"/>
  <c r="P21" i="8"/>
  <c r="Q21" i="8" s="1"/>
  <c r="O21" i="8"/>
  <c r="V21" i="8" s="1"/>
  <c r="N21" i="8"/>
  <c r="U21" i="8" s="1"/>
  <c r="U20" i="8"/>
  <c r="S20" i="8"/>
  <c r="Z20" i="8" s="1"/>
  <c r="P20" i="8"/>
  <c r="Q20" i="8" s="1"/>
  <c r="N20" i="8"/>
  <c r="Z19" i="8"/>
  <c r="S19" i="8"/>
  <c r="Q19" i="8" s="1"/>
  <c r="P19" i="8"/>
  <c r="P26" i="8" s="1"/>
  <c r="N19" i="8"/>
  <c r="O19" i="8" s="1"/>
  <c r="V19" i="8" s="1"/>
  <c r="AA18" i="8"/>
  <c r="Y18" i="8"/>
  <c r="R18" i="8"/>
  <c r="O18" i="8"/>
  <c r="Z17" i="8"/>
  <c r="Y17" i="8"/>
  <c r="X17" i="8"/>
  <c r="W17" i="8"/>
  <c r="V17" i="8"/>
  <c r="U17" i="8"/>
  <c r="T17" i="8"/>
  <c r="AA17" i="8" s="1"/>
  <c r="R17" i="8"/>
  <c r="O17" i="8"/>
  <c r="AA16" i="8"/>
  <c r="Z16" i="8"/>
  <c r="Y16" i="8"/>
  <c r="X16" i="8"/>
  <c r="W16" i="8"/>
  <c r="V16" i="8"/>
  <c r="U16" i="8"/>
  <c r="O16" i="8"/>
  <c r="AV15" i="8"/>
  <c r="AV25" i="8" s="1"/>
  <c r="Z15" i="8"/>
  <c r="Y15" i="8"/>
  <c r="X15" i="8"/>
  <c r="W15" i="8"/>
  <c r="V15" i="8"/>
  <c r="T15" i="8"/>
  <c r="AA15" i="8" s="1"/>
  <c r="N15" i="8"/>
  <c r="AG14" i="8"/>
  <c r="AG25" i="8" s="1"/>
  <c r="Z14" i="8"/>
  <c r="S14" i="8"/>
  <c r="L14" i="8"/>
  <c r="AU13" i="8"/>
  <c r="AT13" i="8"/>
  <c r="AS13" i="8"/>
  <c r="AR13" i="8"/>
  <c r="AQ13" i="8"/>
  <c r="AP13" i="8"/>
  <c r="AG13" i="8"/>
  <c r="AF13" i="8"/>
  <c r="AE13" i="8"/>
  <c r="AD13" i="8"/>
  <c r="AC13" i="8"/>
  <c r="AB13" i="8"/>
  <c r="AA13" i="8"/>
  <c r="Z13" i="8"/>
  <c r="Y13" i="8"/>
  <c r="X13" i="8"/>
  <c r="V13" i="8"/>
  <c r="U13" i="8"/>
  <c r="T13" i="8"/>
  <c r="S13" i="8"/>
  <c r="R13" i="8"/>
  <c r="Q13" i="8"/>
  <c r="P13" i="8"/>
  <c r="O13" i="8"/>
  <c r="AU12" i="8"/>
  <c r="AT12" i="8"/>
  <c r="AS12" i="8"/>
  <c r="AR12" i="8"/>
  <c r="AQ12" i="8"/>
  <c r="AP12" i="8"/>
  <c r="AG12" i="8"/>
  <c r="AF12" i="8"/>
  <c r="AE12" i="8"/>
  <c r="AD12" i="8"/>
  <c r="AC12" i="8"/>
  <c r="AB12" i="8"/>
  <c r="Z12" i="8"/>
  <c r="Y12" i="8"/>
  <c r="X12" i="8"/>
  <c r="V12" i="8"/>
  <c r="U12" i="8"/>
  <c r="T12" i="8"/>
  <c r="R12" i="8"/>
  <c r="Q12" i="8"/>
  <c r="P12" i="8"/>
  <c r="O12" i="8"/>
  <c r="AU11" i="8"/>
  <c r="AT11" i="8"/>
  <c r="AS11" i="8"/>
  <c r="AR11" i="8"/>
  <c r="AQ11" i="8"/>
  <c r="AP11" i="8"/>
  <c r="AG11" i="8"/>
  <c r="AF11" i="8"/>
  <c r="AE11" i="8"/>
  <c r="AD11" i="8"/>
  <c r="AC11" i="8"/>
  <c r="AB11" i="8"/>
  <c r="Y11" i="8"/>
  <c r="X11" i="8"/>
  <c r="V11" i="8"/>
  <c r="U11" i="8"/>
  <c r="T11" i="8"/>
  <c r="R11" i="8"/>
  <c r="Q11" i="8"/>
  <c r="P11" i="8"/>
  <c r="O11" i="8"/>
  <c r="N11" i="8"/>
  <c r="L11" i="8"/>
  <c r="N10" i="8"/>
  <c r="N72" i="8" s="1"/>
  <c r="N9" i="8"/>
  <c r="N8" i="8"/>
  <c r="N101" i="8" s="1"/>
  <c r="W7" i="8"/>
  <c r="W6" i="8"/>
  <c r="W13" i="8" s="1"/>
  <c r="W5" i="8"/>
  <c r="W11" i="8" s="1"/>
  <c r="AV4" i="8"/>
  <c r="AV13" i="8" s="1"/>
  <c r="AH4" i="8"/>
  <c r="AH11" i="8" s="1"/>
  <c r="AA4" i="8"/>
  <c r="AA11" i="8" s="1"/>
  <c r="T4" i="8"/>
  <c r="Z3" i="8"/>
  <c r="Z11" i="8" s="1"/>
  <c r="S3" i="8"/>
  <c r="S11" i="8" s="1"/>
  <c r="L3" i="8"/>
  <c r="L12" i="8" s="1"/>
  <c r="U311" i="7"/>
  <c r="T311" i="7"/>
  <c r="S311" i="7"/>
  <c r="U310" i="7"/>
  <c r="T310" i="7"/>
  <c r="S310" i="7"/>
  <c r="U309" i="7"/>
  <c r="T309" i="7"/>
  <c r="S309" i="7"/>
  <c r="U308" i="7"/>
  <c r="T308" i="7"/>
  <c r="S308" i="7"/>
  <c r="U307" i="7"/>
  <c r="T307" i="7"/>
  <c r="S307" i="7"/>
  <c r="U298" i="7"/>
  <c r="T298" i="7"/>
  <c r="S298" i="7"/>
  <c r="U297" i="7"/>
  <c r="T297" i="7"/>
  <c r="S297" i="7"/>
  <c r="U296" i="7"/>
  <c r="T296" i="7"/>
  <c r="S296" i="7"/>
  <c r="U295" i="7"/>
  <c r="T295" i="7"/>
  <c r="S295" i="7"/>
  <c r="U294" i="7"/>
  <c r="T294" i="7"/>
  <c r="S294" i="7"/>
  <c r="AN227" i="7"/>
  <c r="AM227" i="7"/>
  <c r="AL227" i="7"/>
  <c r="AK227" i="7"/>
  <c r="AG227" i="7"/>
  <c r="AE227" i="7"/>
  <c r="AD227" i="7"/>
  <c r="AC227" i="7"/>
  <c r="AB227" i="7"/>
  <c r="P227" i="7"/>
  <c r="AN226" i="7"/>
  <c r="AL226" i="7"/>
  <c r="AK226" i="7"/>
  <c r="AG226" i="7"/>
  <c r="AF226" i="7"/>
  <c r="AE226" i="7"/>
  <c r="AD226" i="7"/>
  <c r="AC226" i="7"/>
  <c r="AB226" i="7"/>
  <c r="AN225" i="7"/>
  <c r="AM225" i="7"/>
  <c r="AL225" i="7"/>
  <c r="AK225" i="7"/>
  <c r="AG225" i="7"/>
  <c r="AE225" i="7"/>
  <c r="AD225" i="7"/>
  <c r="AC225" i="7"/>
  <c r="AB225" i="7"/>
  <c r="AO224" i="7"/>
  <c r="AM224" i="7"/>
  <c r="AM226" i="7" s="1"/>
  <c r="AJ224" i="7"/>
  <c r="AI224" i="7" s="1"/>
  <c r="P224" i="7"/>
  <c r="L224" i="7"/>
  <c r="S224" i="7" s="1"/>
  <c r="J224" i="7"/>
  <c r="I224" i="7"/>
  <c r="AO223" i="7"/>
  <c r="AO227" i="7" s="1"/>
  <c r="AM223" i="7"/>
  <c r="AJ223" i="7"/>
  <c r="AJ226" i="7" s="1"/>
  <c r="L223" i="7"/>
  <c r="S223" i="7" s="1"/>
  <c r="J223" i="7"/>
  <c r="I223" i="7"/>
  <c r="P223" i="7" s="1"/>
  <c r="P225" i="7" s="1"/>
  <c r="AH222" i="7"/>
  <c r="AH227" i="7" s="1"/>
  <c r="AF222" i="7"/>
  <c r="AF227" i="7" s="1"/>
  <c r="Q222" i="7"/>
  <c r="L222" i="7"/>
  <c r="J222" i="7"/>
  <c r="J227" i="7" s="1"/>
  <c r="I222" i="7"/>
  <c r="P222" i="7" s="1"/>
  <c r="H222" i="7"/>
  <c r="G222" i="7"/>
  <c r="AN221" i="7"/>
  <c r="AL221" i="7"/>
  <c r="AK221" i="7"/>
  <c r="AG221" i="7"/>
  <c r="AE221" i="7"/>
  <c r="AD221" i="7"/>
  <c r="AC221" i="7"/>
  <c r="AB221" i="7"/>
  <c r="AN220" i="7"/>
  <c r="AL220" i="7"/>
  <c r="AK220" i="7"/>
  <c r="AG220" i="7"/>
  <c r="AF220" i="7"/>
  <c r="AE220" i="7"/>
  <c r="AD220" i="7"/>
  <c r="AC220" i="7"/>
  <c r="AB220" i="7"/>
  <c r="S220" i="7"/>
  <c r="AN219" i="7"/>
  <c r="AL219" i="7"/>
  <c r="AK219" i="7"/>
  <c r="AJ219" i="7"/>
  <c r="AG219" i="7"/>
  <c r="AE219" i="7"/>
  <c r="AD219" i="7"/>
  <c r="AC219" i="7"/>
  <c r="AB219" i="7"/>
  <c r="L219" i="7"/>
  <c r="AM218" i="7"/>
  <c r="AO218" i="7" s="1"/>
  <c r="AJ218" i="7"/>
  <c r="AI218" i="7" s="1"/>
  <c r="AI219" i="7" s="1"/>
  <c r="S218" i="7"/>
  <c r="Q218" i="7"/>
  <c r="M218" i="7"/>
  <c r="T218" i="7" s="1"/>
  <c r="L218" i="7"/>
  <c r="K218" i="7"/>
  <c r="R218" i="7" s="1"/>
  <c r="J218" i="7"/>
  <c r="I218" i="7"/>
  <c r="AM217" i="7"/>
  <c r="AM221" i="7" s="1"/>
  <c r="AJ217" i="7"/>
  <c r="AJ220" i="7" s="1"/>
  <c r="AI217" i="7"/>
  <c r="S217" i="7"/>
  <c r="Q217" i="7"/>
  <c r="L217" i="7"/>
  <c r="K217" i="7"/>
  <c r="J217" i="7"/>
  <c r="I217" i="7"/>
  <c r="P217" i="7" s="1"/>
  <c r="AF216" i="7"/>
  <c r="AH216" i="7" s="1"/>
  <c r="AH220" i="7" s="1"/>
  <c r="S216" i="7"/>
  <c r="Q216" i="7"/>
  <c r="Q221" i="7" s="1"/>
  <c r="L216" i="7"/>
  <c r="L220" i="7" s="1"/>
  <c r="K216" i="7"/>
  <c r="J216" i="7"/>
  <c r="J221" i="7" s="1"/>
  <c r="I216" i="7"/>
  <c r="I221" i="7" s="1"/>
  <c r="H216" i="7"/>
  <c r="O216" i="7" s="1"/>
  <c r="G216" i="7"/>
  <c r="AN215" i="7"/>
  <c r="AL215" i="7"/>
  <c r="AK215" i="7"/>
  <c r="AG215" i="7"/>
  <c r="AE215" i="7"/>
  <c r="AD215" i="7"/>
  <c r="AB215" i="7"/>
  <c r="AN214" i="7"/>
  <c r="AL214" i="7"/>
  <c r="AK214" i="7"/>
  <c r="AG214" i="7"/>
  <c r="AE214" i="7"/>
  <c r="AD214" i="7"/>
  <c r="AB214" i="7"/>
  <c r="AN213" i="7"/>
  <c r="AL213" i="7"/>
  <c r="AK213" i="7"/>
  <c r="AG213" i="7"/>
  <c r="AE213" i="7"/>
  <c r="AD213" i="7"/>
  <c r="AC213" i="7"/>
  <c r="AB213" i="7"/>
  <c r="AO212" i="7"/>
  <c r="AM212" i="7"/>
  <c r="AJ212" i="7"/>
  <c r="AI212" i="7" s="1"/>
  <c r="AI213" i="7" s="1"/>
  <c r="S212" i="7"/>
  <c r="Q212" i="7"/>
  <c r="P212" i="7"/>
  <c r="M212" i="7"/>
  <c r="T212" i="7" s="1"/>
  <c r="L212" i="7"/>
  <c r="K212" i="7"/>
  <c r="R212" i="7" s="1"/>
  <c r="J212" i="7"/>
  <c r="I212" i="7"/>
  <c r="H212" i="7"/>
  <c r="AO211" i="7"/>
  <c r="AM211" i="7"/>
  <c r="AJ211" i="7"/>
  <c r="AI211" i="7"/>
  <c r="AI214" i="7" s="1"/>
  <c r="S211" i="7"/>
  <c r="P211" i="7"/>
  <c r="L211" i="7"/>
  <c r="K211" i="7"/>
  <c r="M211" i="7" s="1"/>
  <c r="T211" i="7" s="1"/>
  <c r="J211" i="7"/>
  <c r="Q211" i="7" s="1"/>
  <c r="I211" i="7"/>
  <c r="H211" i="7"/>
  <c r="G211" i="7" s="1"/>
  <c r="N211" i="7" s="1"/>
  <c r="AF210" i="7"/>
  <c r="AC210" i="7"/>
  <c r="AC214" i="7" s="1"/>
  <c r="L210" i="7"/>
  <c r="S210" i="7" s="1"/>
  <c r="J210" i="7"/>
  <c r="I210" i="7"/>
  <c r="P210" i="7" s="1"/>
  <c r="G210" i="7"/>
  <c r="AH209" i="7"/>
  <c r="AF209" i="7"/>
  <c r="AF215" i="7" s="1"/>
  <c r="Q209" i="7"/>
  <c r="N209" i="7"/>
  <c r="L209" i="7"/>
  <c r="J209" i="7"/>
  <c r="J215" i="7" s="1"/>
  <c r="I209" i="7"/>
  <c r="H209" i="7"/>
  <c r="G209" i="7"/>
  <c r="N208" i="7"/>
  <c r="G208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G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G174" i="7"/>
  <c r="AN170" i="7"/>
  <c r="AL170" i="7"/>
  <c r="AK170" i="7"/>
  <c r="AG170" i="7"/>
  <c r="AF170" i="7"/>
  <c r="AE170" i="7"/>
  <c r="AD170" i="7"/>
  <c r="AC170" i="7"/>
  <c r="AB170" i="7"/>
  <c r="AN169" i="7"/>
  <c r="AL169" i="7"/>
  <c r="AK169" i="7"/>
  <c r="AG169" i="7"/>
  <c r="AE169" i="7"/>
  <c r="AD169" i="7"/>
  <c r="AC169" i="7"/>
  <c r="AB169" i="7"/>
  <c r="AN168" i="7"/>
  <c r="AL168" i="7"/>
  <c r="AK168" i="7"/>
  <c r="AG168" i="7"/>
  <c r="AE168" i="7"/>
  <c r="AD168" i="7"/>
  <c r="AC168" i="7"/>
  <c r="AB168" i="7"/>
  <c r="AM167" i="7"/>
  <c r="AO167" i="7" s="1"/>
  <c r="AO169" i="7" s="1"/>
  <c r="AJ167" i="7"/>
  <c r="AI167" i="7" s="1"/>
  <c r="S167" i="7"/>
  <c r="L167" i="7"/>
  <c r="K167" i="7"/>
  <c r="M167" i="7" s="1"/>
  <c r="T167" i="7" s="1"/>
  <c r="J167" i="7"/>
  <c r="J168" i="7" s="1"/>
  <c r="I167" i="7"/>
  <c r="P167" i="7" s="1"/>
  <c r="AO166" i="7"/>
  <c r="AM166" i="7"/>
  <c r="AM170" i="7" s="1"/>
  <c r="AJ166" i="7"/>
  <c r="AI166" i="7"/>
  <c r="AI168" i="7" s="1"/>
  <c r="Q166" i="7"/>
  <c r="L166" i="7"/>
  <c r="S166" i="7" s="1"/>
  <c r="J166" i="7"/>
  <c r="I166" i="7"/>
  <c r="AF165" i="7"/>
  <c r="AF169" i="7" s="1"/>
  <c r="Q165" i="7"/>
  <c r="P165" i="7"/>
  <c r="M165" i="7"/>
  <c r="L165" i="7"/>
  <c r="L169" i="7" s="1"/>
  <c r="J165" i="7"/>
  <c r="J169" i="7" s="1"/>
  <c r="I165" i="7"/>
  <c r="H165" i="7"/>
  <c r="G165" i="7"/>
  <c r="N165" i="7" s="1"/>
  <c r="AN164" i="7"/>
  <c r="AL164" i="7"/>
  <c r="AK164" i="7"/>
  <c r="AG164" i="7"/>
  <c r="AE164" i="7"/>
  <c r="AD164" i="7"/>
  <c r="AC164" i="7"/>
  <c r="AB164" i="7"/>
  <c r="L164" i="7"/>
  <c r="AN163" i="7"/>
  <c r="AM163" i="7"/>
  <c r="AL163" i="7"/>
  <c r="AK163" i="7"/>
  <c r="AG163" i="7"/>
  <c r="AE163" i="7"/>
  <c r="AD163" i="7"/>
  <c r="AC163" i="7"/>
  <c r="AB163" i="7"/>
  <c r="AN162" i="7"/>
  <c r="AL162" i="7"/>
  <c r="AK162" i="7"/>
  <c r="AG162" i="7"/>
  <c r="AE162" i="7"/>
  <c r="AD162" i="7"/>
  <c r="AC162" i="7"/>
  <c r="AB162" i="7"/>
  <c r="L162" i="7"/>
  <c r="AO161" i="7"/>
  <c r="AM161" i="7"/>
  <c r="AJ161" i="7"/>
  <c r="AI161" i="7" s="1"/>
  <c r="AI163" i="7" s="1"/>
  <c r="S161" i="7"/>
  <c r="L161" i="7"/>
  <c r="J161" i="7"/>
  <c r="K161" i="7" s="1"/>
  <c r="I161" i="7"/>
  <c r="I162" i="7" s="1"/>
  <c r="AO160" i="7"/>
  <c r="AM160" i="7"/>
  <c r="AM164" i="7" s="1"/>
  <c r="AJ160" i="7"/>
  <c r="AJ163" i="7" s="1"/>
  <c r="AI160" i="7"/>
  <c r="P160" i="7"/>
  <c r="L160" i="7"/>
  <c r="S160" i="7" s="1"/>
  <c r="J160" i="7"/>
  <c r="Q160" i="7" s="1"/>
  <c r="I160" i="7"/>
  <c r="H160" i="7"/>
  <c r="AF159" i="7"/>
  <c r="AH159" i="7" s="1"/>
  <c r="P159" i="7"/>
  <c r="L159" i="7"/>
  <c r="L163" i="7" s="1"/>
  <c r="K159" i="7"/>
  <c r="J159" i="7"/>
  <c r="J164" i="7" s="1"/>
  <c r="I159" i="7"/>
  <c r="I164" i="7" s="1"/>
  <c r="H159" i="7"/>
  <c r="G159" i="7"/>
  <c r="AN158" i="7"/>
  <c r="AL158" i="7"/>
  <c r="AK158" i="7"/>
  <c r="AG158" i="7"/>
  <c r="AE158" i="7"/>
  <c r="AD158" i="7"/>
  <c r="AB158" i="7"/>
  <c r="L158" i="7"/>
  <c r="AN157" i="7"/>
  <c r="AM157" i="7"/>
  <c r="AL157" i="7"/>
  <c r="AK157" i="7"/>
  <c r="AG157" i="7"/>
  <c r="AE157" i="7"/>
  <c r="AD157" i="7"/>
  <c r="AB157" i="7"/>
  <c r="AN156" i="7"/>
  <c r="AM156" i="7"/>
  <c r="AL156" i="7"/>
  <c r="AK156" i="7"/>
  <c r="AG156" i="7"/>
  <c r="AE156" i="7"/>
  <c r="AD156" i="7"/>
  <c r="AB156" i="7"/>
  <c r="L156" i="7"/>
  <c r="AO155" i="7"/>
  <c r="AM155" i="7"/>
  <c r="AJ155" i="7"/>
  <c r="AI155" i="7" s="1"/>
  <c r="AI157" i="7" s="1"/>
  <c r="S155" i="7"/>
  <c r="L155" i="7"/>
  <c r="J155" i="7"/>
  <c r="K155" i="7" s="1"/>
  <c r="I155" i="7"/>
  <c r="P155" i="7" s="1"/>
  <c r="AO154" i="7"/>
  <c r="AM154" i="7"/>
  <c r="AM158" i="7" s="1"/>
  <c r="AJ154" i="7"/>
  <c r="AJ157" i="7" s="1"/>
  <c r="AI154" i="7"/>
  <c r="P154" i="7"/>
  <c r="L154" i="7"/>
  <c r="L157" i="7" s="1"/>
  <c r="J154" i="7"/>
  <c r="Q154" i="7" s="1"/>
  <c r="I154" i="7"/>
  <c r="H154" i="7"/>
  <c r="AF153" i="7"/>
  <c r="AH153" i="7" s="1"/>
  <c r="AC153" i="7"/>
  <c r="AC157" i="7" s="1"/>
  <c r="S153" i="7"/>
  <c r="P153" i="7"/>
  <c r="L153" i="7"/>
  <c r="K153" i="7"/>
  <c r="J153" i="7"/>
  <c r="Q153" i="7" s="1"/>
  <c r="R153" i="7" s="1"/>
  <c r="I153" i="7"/>
  <c r="G153" i="7"/>
  <c r="AH152" i="7"/>
  <c r="AH158" i="7" s="1"/>
  <c r="AF152" i="7"/>
  <c r="AF158" i="7" s="1"/>
  <c r="S152" i="7"/>
  <c r="O152" i="7"/>
  <c r="N152" i="7"/>
  <c r="L152" i="7"/>
  <c r="M152" i="7" s="1"/>
  <c r="J152" i="7"/>
  <c r="J158" i="7" s="1"/>
  <c r="I152" i="7"/>
  <c r="I158" i="7" s="1"/>
  <c r="H152" i="7"/>
  <c r="G152" i="7"/>
  <c r="N151" i="7"/>
  <c r="G151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G117" i="7"/>
  <c r="AN113" i="7"/>
  <c r="AL113" i="7"/>
  <c r="AK113" i="7"/>
  <c r="AJ113" i="7"/>
  <c r="AG113" i="7"/>
  <c r="AF113" i="7"/>
  <c r="AE113" i="7"/>
  <c r="AD113" i="7"/>
  <c r="AC113" i="7"/>
  <c r="AB113" i="7"/>
  <c r="Q113" i="7"/>
  <c r="I113" i="7"/>
  <c r="AN112" i="7"/>
  <c r="AL112" i="7"/>
  <c r="AK112" i="7"/>
  <c r="AJ112" i="7"/>
  <c r="AG112" i="7"/>
  <c r="AE112" i="7"/>
  <c r="AD112" i="7"/>
  <c r="AC112" i="7"/>
  <c r="AB112" i="7"/>
  <c r="AN111" i="7"/>
  <c r="AL111" i="7"/>
  <c r="AK111" i="7"/>
  <c r="AJ111" i="7"/>
  <c r="AG111" i="7"/>
  <c r="AE111" i="7"/>
  <c r="AD111" i="7"/>
  <c r="AC111" i="7"/>
  <c r="AB111" i="7"/>
  <c r="Q111" i="7"/>
  <c r="I111" i="7"/>
  <c r="AM110" i="7"/>
  <c r="AO110" i="7" s="1"/>
  <c r="AJ110" i="7"/>
  <c r="AI110" i="7"/>
  <c r="S110" i="7"/>
  <c r="P110" i="7"/>
  <c r="L110" i="7"/>
  <c r="K110" i="7"/>
  <c r="J110" i="7"/>
  <c r="Q110" i="7" s="1"/>
  <c r="I110" i="7"/>
  <c r="AM109" i="7"/>
  <c r="AM113" i="7" s="1"/>
  <c r="AJ109" i="7"/>
  <c r="AI109" i="7"/>
  <c r="Q109" i="7"/>
  <c r="M109" i="7"/>
  <c r="T109" i="7" s="1"/>
  <c r="L109" i="7"/>
  <c r="S109" i="7" s="1"/>
  <c r="J109" i="7"/>
  <c r="K109" i="7" s="1"/>
  <c r="I109" i="7"/>
  <c r="I112" i="7" s="1"/>
  <c r="AF108" i="7"/>
  <c r="Q108" i="7"/>
  <c r="P108" i="7"/>
  <c r="M108" i="7"/>
  <c r="L108" i="7"/>
  <c r="L112" i="7" s="1"/>
  <c r="J108" i="7"/>
  <c r="J112" i="7" s="1"/>
  <c r="I108" i="7"/>
  <c r="H108" i="7"/>
  <c r="G108" i="7"/>
  <c r="AN107" i="7"/>
  <c r="AM107" i="7"/>
  <c r="AL107" i="7"/>
  <c r="AK107" i="7"/>
  <c r="AG107" i="7"/>
  <c r="AE107" i="7"/>
  <c r="AD107" i="7"/>
  <c r="AC107" i="7"/>
  <c r="AB107" i="7"/>
  <c r="AN106" i="7"/>
  <c r="AM106" i="7"/>
  <c r="AL106" i="7"/>
  <c r="AK106" i="7"/>
  <c r="AG106" i="7"/>
  <c r="AE106" i="7"/>
  <c r="AD106" i="7"/>
  <c r="AC106" i="7"/>
  <c r="AB106" i="7"/>
  <c r="AN105" i="7"/>
  <c r="AM105" i="7"/>
  <c r="AL105" i="7"/>
  <c r="AK105" i="7"/>
  <c r="AG105" i="7"/>
  <c r="AE105" i="7"/>
  <c r="AD105" i="7"/>
  <c r="AC105" i="7"/>
  <c r="AB105" i="7"/>
  <c r="AM104" i="7"/>
  <c r="AO104" i="7" s="1"/>
  <c r="AJ104" i="7"/>
  <c r="AI104" i="7" s="1"/>
  <c r="L104" i="7"/>
  <c r="S104" i="7" s="1"/>
  <c r="J104" i="7"/>
  <c r="I104" i="7"/>
  <c r="P104" i="7" s="1"/>
  <c r="AO103" i="7"/>
  <c r="AM103" i="7"/>
  <c r="AJ103" i="7"/>
  <c r="AJ107" i="7" s="1"/>
  <c r="Q103" i="7"/>
  <c r="P103" i="7"/>
  <c r="L103" i="7"/>
  <c r="J103" i="7"/>
  <c r="I103" i="7"/>
  <c r="H103" i="7"/>
  <c r="AH102" i="7"/>
  <c r="AF102" i="7"/>
  <c r="AF106" i="7" s="1"/>
  <c r="Q102" i="7"/>
  <c r="P102" i="7"/>
  <c r="N102" i="7"/>
  <c r="L102" i="7"/>
  <c r="S102" i="7" s="1"/>
  <c r="K102" i="7"/>
  <c r="J102" i="7"/>
  <c r="J106" i="7" s="1"/>
  <c r="I102" i="7"/>
  <c r="I106" i="7" s="1"/>
  <c r="H102" i="7"/>
  <c r="O102" i="7" s="1"/>
  <c r="G102" i="7"/>
  <c r="AN101" i="7"/>
  <c r="AL101" i="7"/>
  <c r="AK101" i="7"/>
  <c r="AG101" i="7"/>
  <c r="AE101" i="7"/>
  <c r="AD101" i="7"/>
  <c r="AB101" i="7"/>
  <c r="AN100" i="7"/>
  <c r="AL100" i="7"/>
  <c r="AK100" i="7"/>
  <c r="AG100" i="7"/>
  <c r="AE100" i="7"/>
  <c r="AD100" i="7"/>
  <c r="AB100" i="7"/>
  <c r="AN99" i="7"/>
  <c r="AM99" i="7"/>
  <c r="AL99" i="7"/>
  <c r="AK99" i="7"/>
  <c r="AJ99" i="7"/>
  <c r="AG99" i="7"/>
  <c r="AE99" i="7"/>
  <c r="AD99" i="7"/>
  <c r="AB99" i="7"/>
  <c r="L99" i="7"/>
  <c r="AM98" i="7"/>
  <c r="AO98" i="7" s="1"/>
  <c r="AJ98" i="7"/>
  <c r="AI98" i="7" s="1"/>
  <c r="L98" i="7"/>
  <c r="S98" i="7" s="1"/>
  <c r="J98" i="7"/>
  <c r="I98" i="7"/>
  <c r="AM97" i="7"/>
  <c r="AM100" i="7" s="1"/>
  <c r="AJ97" i="7"/>
  <c r="S97" i="7"/>
  <c r="Q97" i="7"/>
  <c r="P97" i="7"/>
  <c r="M97" i="7"/>
  <c r="T97" i="7" s="1"/>
  <c r="L97" i="7"/>
  <c r="K97" i="7"/>
  <c r="R97" i="7" s="1"/>
  <c r="J97" i="7"/>
  <c r="I97" i="7"/>
  <c r="H97" i="7"/>
  <c r="AF96" i="7"/>
  <c r="AH96" i="7" s="1"/>
  <c r="AC96" i="7"/>
  <c r="P96" i="7"/>
  <c r="L96" i="7"/>
  <c r="S96" i="7" s="1"/>
  <c r="J96" i="7"/>
  <c r="K96" i="7" s="1"/>
  <c r="I96" i="7"/>
  <c r="G96" i="7"/>
  <c r="AH95" i="7"/>
  <c r="AH99" i="7" s="1"/>
  <c r="AF95" i="7"/>
  <c r="Q95" i="7"/>
  <c r="O95" i="7"/>
  <c r="N95" i="7"/>
  <c r="L95" i="7"/>
  <c r="L100" i="7" s="1"/>
  <c r="J95" i="7"/>
  <c r="J101" i="7" s="1"/>
  <c r="I95" i="7"/>
  <c r="P95" i="7" s="1"/>
  <c r="H95" i="7"/>
  <c r="G95" i="7"/>
  <c r="N94" i="7"/>
  <c r="G94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G60" i="7"/>
  <c r="AN56" i="7"/>
  <c r="AL56" i="7"/>
  <c r="AK56" i="7"/>
  <c r="AG56" i="7"/>
  <c r="AF56" i="7"/>
  <c r="AE56" i="7"/>
  <c r="AD56" i="7"/>
  <c r="AC56" i="7"/>
  <c r="AB56" i="7"/>
  <c r="I56" i="7"/>
  <c r="AN55" i="7"/>
  <c r="AL55" i="7"/>
  <c r="AK55" i="7"/>
  <c r="AJ55" i="7"/>
  <c r="AG55" i="7"/>
  <c r="AE55" i="7"/>
  <c r="AD55" i="7"/>
  <c r="AC55" i="7"/>
  <c r="AB55" i="7"/>
  <c r="AN54" i="7"/>
  <c r="AL54" i="7"/>
  <c r="AK54" i="7"/>
  <c r="AG54" i="7"/>
  <c r="AE54" i="7"/>
  <c r="AD54" i="7"/>
  <c r="AC54" i="7"/>
  <c r="AB54" i="7"/>
  <c r="I54" i="7"/>
  <c r="AO53" i="7"/>
  <c r="AM53" i="7"/>
  <c r="AJ53" i="7"/>
  <c r="AJ56" i="7" s="1"/>
  <c r="AI53" i="7"/>
  <c r="S53" i="7"/>
  <c r="P53" i="7"/>
  <c r="L53" i="7"/>
  <c r="K53" i="7"/>
  <c r="J53" i="7"/>
  <c r="Q53" i="7" s="1"/>
  <c r="I53" i="7"/>
  <c r="H53" i="7"/>
  <c r="O53" i="7" s="1"/>
  <c r="AM52" i="7"/>
  <c r="AM56" i="7" s="1"/>
  <c r="AJ52" i="7"/>
  <c r="AI52" i="7"/>
  <c r="L52" i="7"/>
  <c r="S52" i="7" s="1"/>
  <c r="J52" i="7"/>
  <c r="K52" i="7" s="1"/>
  <c r="I52" i="7"/>
  <c r="P52" i="7" s="1"/>
  <c r="AF51" i="7"/>
  <c r="Q51" i="7"/>
  <c r="O51" i="7"/>
  <c r="M51" i="7"/>
  <c r="L51" i="7"/>
  <c r="L55" i="7" s="1"/>
  <c r="J51" i="7"/>
  <c r="J56" i="7" s="1"/>
  <c r="I51" i="7"/>
  <c r="I55" i="7" s="1"/>
  <c r="H51" i="7"/>
  <c r="G51" i="7"/>
  <c r="AN50" i="7"/>
  <c r="AM50" i="7"/>
  <c r="AL50" i="7"/>
  <c r="AK50" i="7"/>
  <c r="AG50" i="7"/>
  <c r="AE50" i="7"/>
  <c r="AD50" i="7"/>
  <c r="AC50" i="7"/>
  <c r="AB50" i="7"/>
  <c r="AN49" i="7"/>
  <c r="AL49" i="7"/>
  <c r="AK49" i="7"/>
  <c r="AG49" i="7"/>
  <c r="AF49" i="7"/>
  <c r="AE49" i="7"/>
  <c r="AD49" i="7"/>
  <c r="AC49" i="7"/>
  <c r="AB49" i="7"/>
  <c r="AN48" i="7"/>
  <c r="AM48" i="7"/>
  <c r="AL48" i="7"/>
  <c r="AK48" i="7"/>
  <c r="AG48" i="7"/>
  <c r="AE48" i="7"/>
  <c r="AD48" i="7"/>
  <c r="AC48" i="7"/>
  <c r="AB48" i="7"/>
  <c r="AM47" i="7"/>
  <c r="AO47" i="7" s="1"/>
  <c r="AJ47" i="7"/>
  <c r="AI47" i="7" s="1"/>
  <c r="L47" i="7"/>
  <c r="S47" i="7" s="1"/>
  <c r="J47" i="7"/>
  <c r="I47" i="7"/>
  <c r="P47" i="7" s="1"/>
  <c r="AO46" i="7"/>
  <c r="AM46" i="7"/>
  <c r="AM49" i="7" s="1"/>
  <c r="AJ46" i="7"/>
  <c r="AJ50" i="7" s="1"/>
  <c r="Q46" i="7"/>
  <c r="L46" i="7"/>
  <c r="J46" i="7"/>
  <c r="I46" i="7"/>
  <c r="P46" i="7" s="1"/>
  <c r="AH45" i="7"/>
  <c r="AH49" i="7" s="1"/>
  <c r="AF45" i="7"/>
  <c r="AF50" i="7" s="1"/>
  <c r="Q45" i="7"/>
  <c r="N45" i="7"/>
  <c r="L45" i="7"/>
  <c r="K45" i="7"/>
  <c r="J45" i="7"/>
  <c r="I45" i="7"/>
  <c r="I49" i="7" s="1"/>
  <c r="H45" i="7"/>
  <c r="G45" i="7"/>
  <c r="AN44" i="7"/>
  <c r="AM44" i="7"/>
  <c r="AL44" i="7"/>
  <c r="AK44" i="7"/>
  <c r="AG44" i="7"/>
  <c r="AE44" i="7"/>
  <c r="AD44" i="7"/>
  <c r="AB44" i="7"/>
  <c r="AN43" i="7"/>
  <c r="AL43" i="7"/>
  <c r="AK43" i="7"/>
  <c r="AG43" i="7"/>
  <c r="AE43" i="7"/>
  <c r="AD43" i="7"/>
  <c r="AB43" i="7"/>
  <c r="AN42" i="7"/>
  <c r="AM42" i="7"/>
  <c r="AL42" i="7"/>
  <c r="AK42" i="7"/>
  <c r="AG42" i="7"/>
  <c r="AE42" i="7"/>
  <c r="AD42" i="7"/>
  <c r="AB42" i="7"/>
  <c r="AM41" i="7"/>
  <c r="AO41" i="7" s="1"/>
  <c r="AJ41" i="7"/>
  <c r="AI41" i="7" s="1"/>
  <c r="L41" i="7"/>
  <c r="S41" i="7" s="1"/>
  <c r="J41" i="7"/>
  <c r="I41" i="7"/>
  <c r="P41" i="7" s="1"/>
  <c r="AO40" i="7"/>
  <c r="AM40" i="7"/>
  <c r="AM43" i="7" s="1"/>
  <c r="AJ40" i="7"/>
  <c r="AJ44" i="7" s="1"/>
  <c r="Q40" i="7"/>
  <c r="L40" i="7"/>
  <c r="J40" i="7"/>
  <c r="I40" i="7"/>
  <c r="P40" i="7" s="1"/>
  <c r="P42" i="7" s="1"/>
  <c r="AH39" i="7"/>
  <c r="AF39" i="7"/>
  <c r="AC39" i="7"/>
  <c r="S39" i="7"/>
  <c r="Q39" i="7"/>
  <c r="R39" i="7" s="1"/>
  <c r="P39" i="7"/>
  <c r="L39" i="7"/>
  <c r="K39" i="7"/>
  <c r="J39" i="7"/>
  <c r="I39" i="7"/>
  <c r="G39" i="7"/>
  <c r="H39" i="7" s="1"/>
  <c r="AF38" i="7"/>
  <c r="AF43" i="7" s="1"/>
  <c r="S38" i="7"/>
  <c r="P38" i="7"/>
  <c r="P43" i="7" s="1"/>
  <c r="O38" i="7"/>
  <c r="M38" i="7"/>
  <c r="L38" i="7"/>
  <c r="J38" i="7"/>
  <c r="I38" i="7"/>
  <c r="I43" i="7" s="1"/>
  <c r="H38" i="7"/>
  <c r="G38" i="7"/>
  <c r="N38" i="7" s="1"/>
  <c r="N37" i="7"/>
  <c r="G37" i="7"/>
  <c r="N34" i="7"/>
  <c r="G34" i="7"/>
  <c r="N33" i="7"/>
  <c r="G33" i="7"/>
  <c r="G90" i="7" s="1"/>
  <c r="N32" i="7"/>
  <c r="G32" i="7"/>
  <c r="G89" i="7" s="1"/>
  <c r="N31" i="7"/>
  <c r="G31" i="7"/>
  <c r="N30" i="7"/>
  <c r="G30" i="7"/>
  <c r="N29" i="7"/>
  <c r="G29" i="7"/>
  <c r="G86" i="7" s="1"/>
  <c r="N28" i="7"/>
  <c r="G28" i="7"/>
  <c r="G85" i="7" s="1"/>
  <c r="N27" i="7"/>
  <c r="G27" i="7"/>
  <c r="G141" i="7" s="1"/>
  <c r="N26" i="7"/>
  <c r="G26" i="7"/>
  <c r="N25" i="7"/>
  <c r="G25" i="7"/>
  <c r="G82" i="7" s="1"/>
  <c r="N24" i="7"/>
  <c r="G24" i="7"/>
  <c r="G81" i="7" s="1"/>
  <c r="N23" i="7"/>
  <c r="G23" i="7"/>
  <c r="N22" i="7"/>
  <c r="G22" i="7"/>
  <c r="N21" i="7"/>
  <c r="G21" i="7"/>
  <c r="G78" i="7" s="1"/>
  <c r="N20" i="7"/>
  <c r="G20" i="7"/>
  <c r="G77" i="7" s="1"/>
  <c r="N19" i="7"/>
  <c r="G19" i="7"/>
  <c r="N18" i="7"/>
  <c r="G18" i="7"/>
  <c r="G132" i="7" s="1"/>
  <c r="N17" i="7"/>
  <c r="G17" i="7"/>
  <c r="G74" i="7" s="1"/>
  <c r="N16" i="7"/>
  <c r="G16" i="7"/>
  <c r="G73" i="7" s="1"/>
  <c r="N15" i="7"/>
  <c r="G15" i="7"/>
  <c r="N14" i="7"/>
  <c r="G14" i="7"/>
  <c r="N13" i="7"/>
  <c r="G13" i="7"/>
  <c r="G70" i="7" s="1"/>
  <c r="N12" i="7"/>
  <c r="G12" i="7"/>
  <c r="G69" i="7" s="1"/>
  <c r="N11" i="7"/>
  <c r="G11" i="7"/>
  <c r="N10" i="7"/>
  <c r="G10" i="7"/>
  <c r="N9" i="7"/>
  <c r="G9" i="7"/>
  <c r="G123" i="7" s="1"/>
  <c r="N8" i="7"/>
  <c r="G8" i="7"/>
  <c r="G65" i="7" s="1"/>
  <c r="N7" i="7"/>
  <c r="G7" i="7"/>
  <c r="N6" i="7"/>
  <c r="G6" i="7"/>
  <c r="N5" i="7"/>
  <c r="G5" i="7"/>
  <c r="G62" i="7" s="1"/>
  <c r="G3" i="7"/>
  <c r="N218" i="6"/>
  <c r="N217" i="6"/>
  <c r="G216" i="6"/>
  <c r="N216" i="6" s="1"/>
  <c r="G215" i="6"/>
  <c r="N215" i="6" s="1"/>
  <c r="G214" i="6"/>
  <c r="G219" i="6" s="1"/>
  <c r="AN213" i="6"/>
  <c r="AL213" i="6"/>
  <c r="AK213" i="6"/>
  <c r="AJ213" i="6"/>
  <c r="AH213" i="6"/>
  <c r="AG213" i="6"/>
  <c r="AF213" i="6"/>
  <c r="AE213" i="6"/>
  <c r="AD213" i="6"/>
  <c r="AC213" i="6"/>
  <c r="AB213" i="6"/>
  <c r="S213" i="6"/>
  <c r="AN212" i="6"/>
  <c r="AL212" i="6"/>
  <c r="AK212" i="6"/>
  <c r="AH212" i="6"/>
  <c r="AG212" i="6"/>
  <c r="AF212" i="6"/>
  <c r="AE212" i="6"/>
  <c r="AD212" i="6"/>
  <c r="AC212" i="6"/>
  <c r="AB212" i="6"/>
  <c r="L212" i="6"/>
  <c r="I212" i="6"/>
  <c r="AN211" i="6"/>
  <c r="AL211" i="6"/>
  <c r="AK211" i="6"/>
  <c r="AJ211" i="6"/>
  <c r="AG211" i="6"/>
  <c r="AF211" i="6"/>
  <c r="AE211" i="6"/>
  <c r="AD211" i="6"/>
  <c r="AC211" i="6"/>
  <c r="AB211" i="6"/>
  <c r="S211" i="6"/>
  <c r="AM210" i="6"/>
  <c r="AO210" i="6" s="1"/>
  <c r="AJ210" i="6"/>
  <c r="AI210" i="6"/>
  <c r="S210" i="6"/>
  <c r="Q210" i="6"/>
  <c r="R210" i="6" s="1"/>
  <c r="P210" i="6"/>
  <c r="O210" i="6" s="1"/>
  <c r="N210" i="6" s="1"/>
  <c r="L210" i="6"/>
  <c r="K210" i="6"/>
  <c r="J210" i="6"/>
  <c r="I210" i="6"/>
  <c r="H210" i="6"/>
  <c r="G210" i="6"/>
  <c r="AO209" i="6"/>
  <c r="AM209" i="6"/>
  <c r="AJ209" i="6"/>
  <c r="AJ212" i="6" s="1"/>
  <c r="AI209" i="6"/>
  <c r="S209" i="6"/>
  <c r="S212" i="6" s="1"/>
  <c r="Q209" i="6"/>
  <c r="R209" i="6" s="1"/>
  <c r="P209" i="6"/>
  <c r="L209" i="6"/>
  <c r="L213" i="6" s="1"/>
  <c r="J209" i="6"/>
  <c r="I209" i="6"/>
  <c r="I213" i="6" s="1"/>
  <c r="H209" i="6"/>
  <c r="G209" i="6" s="1"/>
  <c r="AH208" i="6"/>
  <c r="AH211" i="6" s="1"/>
  <c r="T208" i="6"/>
  <c r="S208" i="6"/>
  <c r="R208" i="6"/>
  <c r="Q208" i="6"/>
  <c r="P208" i="6"/>
  <c r="O208" i="6"/>
  <c r="N208" i="6"/>
  <c r="M208" i="6"/>
  <c r="AN207" i="6"/>
  <c r="AL207" i="6"/>
  <c r="AK207" i="6"/>
  <c r="AG207" i="6"/>
  <c r="AF207" i="6"/>
  <c r="AE207" i="6"/>
  <c r="AD207" i="6"/>
  <c r="AC207" i="6"/>
  <c r="AB207" i="6"/>
  <c r="AN206" i="6"/>
  <c r="AL206" i="6"/>
  <c r="AK206" i="6"/>
  <c r="AG206" i="6"/>
  <c r="AF206" i="6"/>
  <c r="AE206" i="6"/>
  <c r="AD206" i="6"/>
  <c r="AC206" i="6"/>
  <c r="AB206" i="6"/>
  <c r="Q206" i="6"/>
  <c r="I206" i="6"/>
  <c r="AN205" i="6"/>
  <c r="AL205" i="6"/>
  <c r="AK205" i="6"/>
  <c r="AG205" i="6"/>
  <c r="AF205" i="6"/>
  <c r="AE205" i="6"/>
  <c r="AD205" i="6"/>
  <c r="AC205" i="6"/>
  <c r="AB205" i="6"/>
  <c r="M205" i="6"/>
  <c r="AM204" i="6"/>
  <c r="AJ204" i="6"/>
  <c r="AI204" i="6" s="1"/>
  <c r="Q204" i="6"/>
  <c r="L204" i="6"/>
  <c r="S204" i="6" s="1"/>
  <c r="J204" i="6"/>
  <c r="K204" i="6" s="1"/>
  <c r="I204" i="6"/>
  <c r="P204" i="6" s="1"/>
  <c r="O204" i="6" s="1"/>
  <c r="N204" i="6" s="1"/>
  <c r="H204" i="6"/>
  <c r="H205" i="6" s="1"/>
  <c r="AM203" i="6"/>
  <c r="AM207" i="6" s="1"/>
  <c r="AJ203" i="6"/>
  <c r="Q203" i="6"/>
  <c r="P203" i="6"/>
  <c r="P205" i="6" s="1"/>
  <c r="L203" i="6"/>
  <c r="J203" i="6"/>
  <c r="J205" i="6" s="1"/>
  <c r="I203" i="6"/>
  <c r="I207" i="6" s="1"/>
  <c r="H203" i="6"/>
  <c r="H207" i="6" s="1"/>
  <c r="G203" i="6"/>
  <c r="AH202" i="6"/>
  <c r="AH205" i="6" s="1"/>
  <c r="S202" i="6"/>
  <c r="R202" i="6"/>
  <c r="Q202" i="6"/>
  <c r="Q205" i="6" s="1"/>
  <c r="P202" i="6"/>
  <c r="P207" i="6" s="1"/>
  <c r="O202" i="6"/>
  <c r="N202" i="6"/>
  <c r="M202" i="6"/>
  <c r="M207" i="6" s="1"/>
  <c r="G201" i="6"/>
  <c r="AN200" i="6"/>
  <c r="AL200" i="6"/>
  <c r="AK200" i="6"/>
  <c r="AH200" i="6"/>
  <c r="AG200" i="6"/>
  <c r="AF200" i="6"/>
  <c r="AE200" i="6"/>
  <c r="AD200" i="6"/>
  <c r="AC200" i="6"/>
  <c r="AB200" i="6"/>
  <c r="T200" i="6"/>
  <c r="S200" i="6"/>
  <c r="AN199" i="6"/>
  <c r="AL199" i="6"/>
  <c r="AK199" i="6"/>
  <c r="AG199" i="6"/>
  <c r="AF199" i="6"/>
  <c r="AE199" i="6"/>
  <c r="AD199" i="6"/>
  <c r="AC199" i="6"/>
  <c r="AB199" i="6"/>
  <c r="T199" i="6"/>
  <c r="J199" i="6"/>
  <c r="AN198" i="6"/>
  <c r="AL198" i="6"/>
  <c r="AK198" i="6"/>
  <c r="AH198" i="6"/>
  <c r="AG198" i="6"/>
  <c r="AF198" i="6"/>
  <c r="AE198" i="6"/>
  <c r="AD198" i="6"/>
  <c r="AC198" i="6"/>
  <c r="AB198" i="6"/>
  <c r="T198" i="6"/>
  <c r="S198" i="6"/>
  <c r="AH197" i="6"/>
  <c r="AH199" i="6" s="1"/>
  <c r="S197" i="6"/>
  <c r="R197" i="6"/>
  <c r="Q197" i="6"/>
  <c r="P197" i="6"/>
  <c r="O197" i="6"/>
  <c r="N197" i="6"/>
  <c r="M197" i="6"/>
  <c r="M199" i="6" s="1"/>
  <c r="AO196" i="6"/>
  <c r="AM196" i="6"/>
  <c r="AJ196" i="6"/>
  <c r="AI196" i="6"/>
  <c r="S196" i="6"/>
  <c r="P196" i="6"/>
  <c r="L196" i="6"/>
  <c r="K196" i="6"/>
  <c r="K200" i="6" s="1"/>
  <c r="J196" i="6"/>
  <c r="Q196" i="6" s="1"/>
  <c r="I196" i="6"/>
  <c r="AO195" i="6"/>
  <c r="AO199" i="6" s="1"/>
  <c r="AM195" i="6"/>
  <c r="AM200" i="6" s="1"/>
  <c r="AJ195" i="6"/>
  <c r="AJ199" i="6" s="1"/>
  <c r="AI195" i="6"/>
  <c r="S195" i="6"/>
  <c r="S199" i="6" s="1"/>
  <c r="P195" i="6"/>
  <c r="P200" i="6" s="1"/>
  <c r="L195" i="6"/>
  <c r="L199" i="6" s="1"/>
  <c r="K195" i="6"/>
  <c r="J195" i="6"/>
  <c r="Q195" i="6" s="1"/>
  <c r="I195" i="6"/>
  <c r="I200" i="6" s="1"/>
  <c r="AO194" i="6"/>
  <c r="AN194" i="6"/>
  <c r="AL194" i="6"/>
  <c r="AK194" i="6"/>
  <c r="AG194" i="6"/>
  <c r="AF194" i="6"/>
  <c r="AE194" i="6"/>
  <c r="AD194" i="6"/>
  <c r="AC194" i="6"/>
  <c r="AB194" i="6"/>
  <c r="Z194" i="6"/>
  <c r="Y194" i="6"/>
  <c r="X194" i="6"/>
  <c r="W194" i="6"/>
  <c r="V194" i="6"/>
  <c r="U194" i="6"/>
  <c r="I194" i="6"/>
  <c r="AO193" i="6"/>
  <c r="AN193" i="6"/>
  <c r="AL193" i="6"/>
  <c r="AK193" i="6"/>
  <c r="AJ193" i="6"/>
  <c r="AG193" i="6"/>
  <c r="AF193" i="6"/>
  <c r="AE193" i="6"/>
  <c r="AD193" i="6"/>
  <c r="AC193" i="6"/>
  <c r="AB193" i="6"/>
  <c r="Z193" i="6"/>
  <c r="Y193" i="6"/>
  <c r="X193" i="6"/>
  <c r="W193" i="6"/>
  <c r="V193" i="6"/>
  <c r="U193" i="6"/>
  <c r="L193" i="6"/>
  <c r="I193" i="6"/>
  <c r="AN192" i="6"/>
  <c r="AM192" i="6"/>
  <c r="AL192" i="6"/>
  <c r="AK192" i="6"/>
  <c r="AJ192" i="6"/>
  <c r="AG192" i="6"/>
  <c r="AF192" i="6"/>
  <c r="AE192" i="6"/>
  <c r="AD192" i="6"/>
  <c r="AC192" i="6"/>
  <c r="AB192" i="6"/>
  <c r="Z192" i="6"/>
  <c r="Y192" i="6"/>
  <c r="X192" i="6"/>
  <c r="W192" i="6"/>
  <c r="V192" i="6"/>
  <c r="U192" i="6"/>
  <c r="L192" i="6"/>
  <c r="AH191" i="6"/>
  <c r="AH192" i="6" s="1"/>
  <c r="AA191" i="6"/>
  <c r="AA194" i="6" s="1"/>
  <c r="T191" i="6"/>
  <c r="S191" i="6"/>
  <c r="R191" i="6"/>
  <c r="Q191" i="6"/>
  <c r="P191" i="6"/>
  <c r="O191" i="6"/>
  <c r="M191" i="6"/>
  <c r="M193" i="6" s="1"/>
  <c r="G191" i="6"/>
  <c r="N191" i="6" s="1"/>
  <c r="AO190" i="6"/>
  <c r="AM190" i="6"/>
  <c r="AJ190" i="6"/>
  <c r="AI190" i="6"/>
  <c r="S190" i="6"/>
  <c r="P190" i="6"/>
  <c r="L190" i="6"/>
  <c r="J190" i="6"/>
  <c r="K190" i="6" s="1"/>
  <c r="I190" i="6"/>
  <c r="AO189" i="6"/>
  <c r="AO192" i="6" s="1"/>
  <c r="AM189" i="6"/>
  <c r="AM193" i="6" s="1"/>
  <c r="AJ189" i="6"/>
  <c r="AJ194" i="6" s="1"/>
  <c r="AI189" i="6"/>
  <c r="AI194" i="6" s="1"/>
  <c r="S189" i="6"/>
  <c r="P189" i="6"/>
  <c r="L189" i="6"/>
  <c r="L194" i="6" s="1"/>
  <c r="J189" i="6"/>
  <c r="J192" i="6" s="1"/>
  <c r="I189" i="6"/>
  <c r="I192" i="6" s="1"/>
  <c r="S188" i="6"/>
  <c r="S194" i="6" s="1"/>
  <c r="Q188" i="6"/>
  <c r="P188" i="6"/>
  <c r="N188" i="6"/>
  <c r="AN187" i="6"/>
  <c r="AL187" i="6"/>
  <c r="AK187" i="6"/>
  <c r="AJ187" i="6"/>
  <c r="AI187" i="6"/>
  <c r="AG187" i="6"/>
  <c r="AE187" i="6"/>
  <c r="AD187" i="6"/>
  <c r="AC187" i="6"/>
  <c r="AB187" i="6"/>
  <c r="AN186" i="6"/>
  <c r="AL186" i="6"/>
  <c r="AK186" i="6"/>
  <c r="AJ186" i="6"/>
  <c r="AI186" i="6"/>
  <c r="AG186" i="6"/>
  <c r="AF186" i="6"/>
  <c r="AE186" i="6"/>
  <c r="AD186" i="6"/>
  <c r="AC186" i="6"/>
  <c r="AB186" i="6"/>
  <c r="AN185" i="6"/>
  <c r="AL185" i="6"/>
  <c r="AK185" i="6"/>
  <c r="AJ185" i="6"/>
  <c r="AI185" i="6"/>
  <c r="AG185" i="6"/>
  <c r="AE185" i="6"/>
  <c r="AD185" i="6"/>
  <c r="AC185" i="6"/>
  <c r="AB185" i="6"/>
  <c r="AM184" i="6"/>
  <c r="AM187" i="6" s="1"/>
  <c r="AF184" i="6"/>
  <c r="AH184" i="6" s="1"/>
  <c r="P184" i="6"/>
  <c r="L184" i="6"/>
  <c r="I184" i="6"/>
  <c r="G184" i="6"/>
  <c r="H184" i="6" s="1"/>
  <c r="S183" i="6"/>
  <c r="Q183" i="6"/>
  <c r="R183" i="6" s="1"/>
  <c r="P183" i="6"/>
  <c r="O183" i="6" s="1"/>
  <c r="N183" i="6"/>
  <c r="J183" i="6"/>
  <c r="K183" i="6" s="1"/>
  <c r="I183" i="6"/>
  <c r="H183" i="6"/>
  <c r="AO182" i="6"/>
  <c r="AH182" i="6"/>
  <c r="AH186" i="6" s="1"/>
  <c r="R182" i="6"/>
  <c r="Q182" i="6"/>
  <c r="O182" i="6"/>
  <c r="N182" i="6"/>
  <c r="M182" i="6"/>
  <c r="L182" i="6"/>
  <c r="L186" i="6" s="1"/>
  <c r="K182" i="6"/>
  <c r="J182" i="6"/>
  <c r="I182" i="6"/>
  <c r="I186" i="6" s="1"/>
  <c r="H182" i="6"/>
  <c r="G182" i="6"/>
  <c r="G187" i="6" s="1"/>
  <c r="AN181" i="6"/>
  <c r="AL181" i="6"/>
  <c r="AK181" i="6"/>
  <c r="AJ181" i="6"/>
  <c r="T181" i="6"/>
  <c r="M181" i="6"/>
  <c r="K181" i="6"/>
  <c r="AN180" i="6"/>
  <c r="AL180" i="6"/>
  <c r="AK180" i="6"/>
  <c r="T180" i="6"/>
  <c r="M180" i="6"/>
  <c r="AN179" i="6"/>
  <c r="AL179" i="6"/>
  <c r="AK179" i="6"/>
  <c r="T179" i="6"/>
  <c r="M179" i="6"/>
  <c r="AM178" i="6"/>
  <c r="AO178" i="6" s="1"/>
  <c r="AJ178" i="6"/>
  <c r="AI178" i="6" s="1"/>
  <c r="Q178" i="6"/>
  <c r="L178" i="6"/>
  <c r="K178" i="6" s="1"/>
  <c r="J178" i="6"/>
  <c r="I178" i="6"/>
  <c r="P178" i="6" s="1"/>
  <c r="O178" i="6" s="1"/>
  <c r="N178" i="6" s="1"/>
  <c r="H178" i="6"/>
  <c r="G178" i="6" s="1"/>
  <c r="AM177" i="6"/>
  <c r="AJ177" i="6"/>
  <c r="AJ180" i="6" s="1"/>
  <c r="Q177" i="6"/>
  <c r="Q181" i="6" s="1"/>
  <c r="L177" i="6"/>
  <c r="K177" i="6" s="1"/>
  <c r="J177" i="6"/>
  <c r="J179" i="6" s="1"/>
  <c r="I177" i="6"/>
  <c r="I181" i="6" s="1"/>
  <c r="H177" i="6"/>
  <c r="H180" i="6" s="1"/>
  <c r="AO176" i="6"/>
  <c r="AN176" i="6"/>
  <c r="AL176" i="6"/>
  <c r="AK176" i="6"/>
  <c r="AG176" i="6"/>
  <c r="AF176" i="6"/>
  <c r="AE176" i="6"/>
  <c r="AD176" i="6"/>
  <c r="AC176" i="6"/>
  <c r="AB176" i="6"/>
  <c r="I176" i="6"/>
  <c r="AO175" i="6"/>
  <c r="AN175" i="6"/>
  <c r="AL175" i="6"/>
  <c r="AK175" i="6"/>
  <c r="AG175" i="6"/>
  <c r="AE175" i="6"/>
  <c r="AD175" i="6"/>
  <c r="AC175" i="6"/>
  <c r="AB175" i="6"/>
  <c r="AO174" i="6"/>
  <c r="AN174" i="6"/>
  <c r="AL174" i="6"/>
  <c r="AK174" i="6"/>
  <c r="AG174" i="6"/>
  <c r="AF174" i="6"/>
  <c r="AE174" i="6"/>
  <c r="AD174" i="6"/>
  <c r="AC174" i="6"/>
  <c r="AB174" i="6"/>
  <c r="L174" i="6"/>
  <c r="AH173" i="6"/>
  <c r="S173" i="6"/>
  <c r="R173" i="6"/>
  <c r="Q173" i="6"/>
  <c r="P173" i="6"/>
  <c r="O173" i="6"/>
  <c r="N173" i="6"/>
  <c r="I173" i="6"/>
  <c r="H173" i="6"/>
  <c r="G173" i="6"/>
  <c r="AM172" i="6"/>
  <c r="AM175" i="6" s="1"/>
  <c r="AJ172" i="6"/>
  <c r="AI172" i="6"/>
  <c r="S172" i="6"/>
  <c r="L172" i="6"/>
  <c r="J172" i="6"/>
  <c r="I172" i="6"/>
  <c r="H172" i="6" s="1"/>
  <c r="G172" i="6" s="1"/>
  <c r="AM171" i="6"/>
  <c r="AM176" i="6" s="1"/>
  <c r="AJ171" i="6"/>
  <c r="L171" i="6"/>
  <c r="S171" i="6" s="1"/>
  <c r="J171" i="6"/>
  <c r="K171" i="6" s="1"/>
  <c r="I171" i="6"/>
  <c r="G169" i="6"/>
  <c r="N169" i="6" s="1"/>
  <c r="AH168" i="6"/>
  <c r="AF168" i="6"/>
  <c r="AF175" i="6" s="1"/>
  <c r="S168" i="6"/>
  <c r="P168" i="6"/>
  <c r="N168" i="6"/>
  <c r="L168" i="6"/>
  <c r="L175" i="6" s="1"/>
  <c r="K168" i="6"/>
  <c r="J168" i="6"/>
  <c r="Q168" i="6" s="1"/>
  <c r="I168" i="6"/>
  <c r="I175" i="6" s="1"/>
  <c r="G168" i="6"/>
  <c r="N163" i="6"/>
  <c r="N162" i="6"/>
  <c r="N161" i="6"/>
  <c r="G161" i="6"/>
  <c r="G160" i="6"/>
  <c r="N160" i="6" s="1"/>
  <c r="N165" i="6" s="1"/>
  <c r="N159" i="6"/>
  <c r="N164" i="6" s="1"/>
  <c r="G159" i="6"/>
  <c r="AN158" i="6"/>
  <c r="AL158" i="6"/>
  <c r="AK158" i="6"/>
  <c r="AG158" i="6"/>
  <c r="AF158" i="6"/>
  <c r="AE158" i="6"/>
  <c r="AD158" i="6"/>
  <c r="AC158" i="6"/>
  <c r="AB158" i="6"/>
  <c r="M158" i="6"/>
  <c r="AN157" i="6"/>
  <c r="AL157" i="6"/>
  <c r="AK157" i="6"/>
  <c r="AG157" i="6"/>
  <c r="AF157" i="6"/>
  <c r="AE157" i="6"/>
  <c r="AD157" i="6"/>
  <c r="AC157" i="6"/>
  <c r="AB157" i="6"/>
  <c r="J157" i="6"/>
  <c r="I157" i="6"/>
  <c r="AN156" i="6"/>
  <c r="AM156" i="6"/>
  <c r="AL156" i="6"/>
  <c r="AK156" i="6"/>
  <c r="AH156" i="6"/>
  <c r="AG156" i="6"/>
  <c r="AF156" i="6"/>
  <c r="AE156" i="6"/>
  <c r="AD156" i="6"/>
  <c r="AC156" i="6"/>
  <c r="AB156" i="6"/>
  <c r="M156" i="6"/>
  <c r="AM155" i="6"/>
  <c r="AO155" i="6" s="1"/>
  <c r="AO157" i="6" s="1"/>
  <c r="AJ155" i="6"/>
  <c r="AI155" i="6"/>
  <c r="Q155" i="6"/>
  <c r="P155" i="6"/>
  <c r="O155" i="6" s="1"/>
  <c r="N155" i="6" s="1"/>
  <c r="L155" i="6"/>
  <c r="S155" i="6" s="1"/>
  <c r="K155" i="6"/>
  <c r="J155" i="6"/>
  <c r="I155" i="6"/>
  <c r="H155" i="6"/>
  <c r="G155" i="6"/>
  <c r="AM154" i="6"/>
  <c r="AO154" i="6" s="1"/>
  <c r="AJ154" i="6"/>
  <c r="AJ158" i="6" s="1"/>
  <c r="AI154" i="6"/>
  <c r="AI158" i="6" s="1"/>
  <c r="Q154" i="6"/>
  <c r="P154" i="6"/>
  <c r="L154" i="6"/>
  <c r="L157" i="6" s="1"/>
  <c r="K154" i="6"/>
  <c r="J154" i="6"/>
  <c r="J158" i="6" s="1"/>
  <c r="I154" i="6"/>
  <c r="I158" i="6" s="1"/>
  <c r="H154" i="6"/>
  <c r="H157" i="6" s="1"/>
  <c r="G154" i="6"/>
  <c r="G156" i="6" s="1"/>
  <c r="AH153" i="6"/>
  <c r="S153" i="6"/>
  <c r="R153" i="6"/>
  <c r="Q153" i="6"/>
  <c r="Q158" i="6" s="1"/>
  <c r="P153" i="6"/>
  <c r="P158" i="6" s="1"/>
  <c r="O153" i="6"/>
  <c r="N153" i="6"/>
  <c r="M153" i="6"/>
  <c r="M157" i="6" s="1"/>
  <c r="AN152" i="6"/>
  <c r="AL152" i="6"/>
  <c r="AK152" i="6"/>
  <c r="AI152" i="6"/>
  <c r="AG152" i="6"/>
  <c r="AF152" i="6"/>
  <c r="AE152" i="6"/>
  <c r="AD152" i="6"/>
  <c r="AC152" i="6"/>
  <c r="AB152" i="6"/>
  <c r="AN151" i="6"/>
  <c r="AM151" i="6"/>
  <c r="AL151" i="6"/>
  <c r="AK151" i="6"/>
  <c r="AG151" i="6"/>
  <c r="AF151" i="6"/>
  <c r="AE151" i="6"/>
  <c r="AD151" i="6"/>
  <c r="AC151" i="6"/>
  <c r="AB151" i="6"/>
  <c r="M151" i="6"/>
  <c r="H151" i="6"/>
  <c r="AN150" i="6"/>
  <c r="AM150" i="6"/>
  <c r="AL150" i="6"/>
  <c r="AK150" i="6"/>
  <c r="AG150" i="6"/>
  <c r="AF150" i="6"/>
  <c r="AE150" i="6"/>
  <c r="AD150" i="6"/>
  <c r="AC150" i="6"/>
  <c r="AB150" i="6"/>
  <c r="M150" i="6"/>
  <c r="AM149" i="6"/>
  <c r="AM152" i="6" s="1"/>
  <c r="AJ149" i="6"/>
  <c r="AI149" i="6" s="1"/>
  <c r="Q149" i="6"/>
  <c r="L149" i="6"/>
  <c r="J149" i="6"/>
  <c r="I149" i="6"/>
  <c r="I152" i="6" s="1"/>
  <c r="H149" i="6"/>
  <c r="H150" i="6" s="1"/>
  <c r="AM148" i="6"/>
  <c r="AJ148" i="6"/>
  <c r="AJ151" i="6" s="1"/>
  <c r="AI148" i="6"/>
  <c r="AI151" i="6" s="1"/>
  <c r="Q148" i="6"/>
  <c r="P148" i="6"/>
  <c r="L148" i="6"/>
  <c r="S148" i="6" s="1"/>
  <c r="K148" i="6"/>
  <c r="J148" i="6"/>
  <c r="I148" i="6"/>
  <c r="H148" i="6"/>
  <c r="H152" i="6" s="1"/>
  <c r="G148" i="6"/>
  <c r="AH147" i="6"/>
  <c r="AH152" i="6" s="1"/>
  <c r="S147" i="6"/>
  <c r="R147" i="6"/>
  <c r="Q147" i="6"/>
  <c r="P147" i="6"/>
  <c r="O147" i="6"/>
  <c r="N147" i="6"/>
  <c r="M147" i="6"/>
  <c r="M152" i="6" s="1"/>
  <c r="G146" i="6"/>
  <c r="AO145" i="6"/>
  <c r="AN145" i="6"/>
  <c r="AL145" i="6"/>
  <c r="AK145" i="6"/>
  <c r="AG145" i="6"/>
  <c r="AF145" i="6"/>
  <c r="AE145" i="6"/>
  <c r="AD145" i="6"/>
  <c r="AC145" i="6"/>
  <c r="AB145" i="6"/>
  <c r="T145" i="6"/>
  <c r="AN144" i="6"/>
  <c r="AL144" i="6"/>
  <c r="AK144" i="6"/>
  <c r="AG144" i="6"/>
  <c r="AF144" i="6"/>
  <c r="AE144" i="6"/>
  <c r="AD144" i="6"/>
  <c r="AC144" i="6"/>
  <c r="AB144" i="6"/>
  <c r="T144" i="6"/>
  <c r="I144" i="6"/>
  <c r="AO143" i="6"/>
  <c r="AN143" i="6"/>
  <c r="AL143" i="6"/>
  <c r="AK143" i="6"/>
  <c r="AJ143" i="6"/>
  <c r="AG143" i="6"/>
  <c r="AF143" i="6"/>
  <c r="AE143" i="6"/>
  <c r="AD143" i="6"/>
  <c r="AC143" i="6"/>
  <c r="AB143" i="6"/>
  <c r="T143" i="6"/>
  <c r="AH142" i="6"/>
  <c r="AH144" i="6" s="1"/>
  <c r="S142" i="6"/>
  <c r="R142" i="6"/>
  <c r="Q142" i="6"/>
  <c r="P142" i="6"/>
  <c r="O142" i="6"/>
  <c r="N142" i="6"/>
  <c r="M142" i="6"/>
  <c r="M144" i="6" s="1"/>
  <c r="AO141" i="6"/>
  <c r="AM141" i="6"/>
  <c r="AJ141" i="6"/>
  <c r="AI141" i="6"/>
  <c r="S141" i="6"/>
  <c r="P141" i="6"/>
  <c r="L141" i="6"/>
  <c r="J141" i="6"/>
  <c r="I141" i="6"/>
  <c r="AO140" i="6"/>
  <c r="AO144" i="6" s="1"/>
  <c r="AM140" i="6"/>
  <c r="AM145" i="6" s="1"/>
  <c r="AJ140" i="6"/>
  <c r="AJ144" i="6" s="1"/>
  <c r="AI140" i="6"/>
  <c r="AI144" i="6" s="1"/>
  <c r="S140" i="6"/>
  <c r="P140" i="6"/>
  <c r="P145" i="6" s="1"/>
  <c r="L140" i="6"/>
  <c r="L144" i="6" s="1"/>
  <c r="J140" i="6"/>
  <c r="I140" i="6"/>
  <c r="I145" i="6" s="1"/>
  <c r="AN139" i="6"/>
  <c r="AL139" i="6"/>
  <c r="AK139" i="6"/>
  <c r="AG139" i="6"/>
  <c r="AF139" i="6"/>
  <c r="AE139" i="6"/>
  <c r="AD139" i="6"/>
  <c r="AC139" i="6"/>
  <c r="AB139" i="6"/>
  <c r="Z139" i="6"/>
  <c r="Y139" i="6"/>
  <c r="X139" i="6"/>
  <c r="W139" i="6"/>
  <c r="V139" i="6"/>
  <c r="U139" i="6"/>
  <c r="M139" i="6"/>
  <c r="I139" i="6"/>
  <c r="AN138" i="6"/>
  <c r="AL138" i="6"/>
  <c r="AK138" i="6"/>
  <c r="AJ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P138" i="6"/>
  <c r="M138" i="6"/>
  <c r="L138" i="6"/>
  <c r="I138" i="6"/>
  <c r="AN137" i="6"/>
  <c r="AM137" i="6"/>
  <c r="AL137" i="6"/>
  <c r="AK137" i="6"/>
  <c r="AJ137" i="6"/>
  <c r="AI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L137" i="6"/>
  <c r="AH136" i="6"/>
  <c r="AH137" i="6" s="1"/>
  <c r="AA136" i="6"/>
  <c r="AA139" i="6" s="1"/>
  <c r="S136" i="6"/>
  <c r="R136" i="6"/>
  <c r="Q136" i="6"/>
  <c r="P136" i="6"/>
  <c r="O136" i="6"/>
  <c r="M136" i="6"/>
  <c r="M137" i="6" s="1"/>
  <c r="G136" i="6"/>
  <c r="N136" i="6" s="1"/>
  <c r="AO135" i="6"/>
  <c r="AM135" i="6"/>
  <c r="AJ135" i="6"/>
  <c r="AI135" i="6"/>
  <c r="S135" i="6"/>
  <c r="P135" i="6"/>
  <c r="L135" i="6"/>
  <c r="J135" i="6"/>
  <c r="K135" i="6" s="1"/>
  <c r="I135" i="6"/>
  <c r="H135" i="6" s="1"/>
  <c r="G135" i="6" s="1"/>
  <c r="AO134" i="6"/>
  <c r="AM134" i="6"/>
  <c r="AM138" i="6" s="1"/>
  <c r="AJ134" i="6"/>
  <c r="AJ139" i="6" s="1"/>
  <c r="AI134" i="6"/>
  <c r="AI139" i="6" s="1"/>
  <c r="S134" i="6"/>
  <c r="P134" i="6"/>
  <c r="L134" i="6"/>
  <c r="L139" i="6" s="1"/>
  <c r="J134" i="6"/>
  <c r="J137" i="6" s="1"/>
  <c r="I134" i="6"/>
  <c r="I137" i="6" s="1"/>
  <c r="S133" i="6"/>
  <c r="Q133" i="6"/>
  <c r="P133" i="6"/>
  <c r="P137" i="6" s="1"/>
  <c r="N133" i="6"/>
  <c r="AN132" i="6"/>
  <c r="AL132" i="6"/>
  <c r="AK132" i="6"/>
  <c r="AJ132" i="6"/>
  <c r="AI132" i="6"/>
  <c r="AG132" i="6"/>
  <c r="AF132" i="6"/>
  <c r="AE132" i="6"/>
  <c r="AD132" i="6"/>
  <c r="AC132" i="6"/>
  <c r="AB132" i="6"/>
  <c r="I132" i="6"/>
  <c r="AN131" i="6"/>
  <c r="AL131" i="6"/>
  <c r="AK131" i="6"/>
  <c r="AJ131" i="6"/>
  <c r="AI131" i="6"/>
  <c r="AG131" i="6"/>
  <c r="AF131" i="6"/>
  <c r="AE131" i="6"/>
  <c r="AD131" i="6"/>
  <c r="AC131" i="6"/>
  <c r="AB131" i="6"/>
  <c r="AN130" i="6"/>
  <c r="AL130" i="6"/>
  <c r="AK130" i="6"/>
  <c r="AJ130" i="6"/>
  <c r="AI130" i="6"/>
  <c r="AG130" i="6"/>
  <c r="AF130" i="6"/>
  <c r="AE130" i="6"/>
  <c r="AD130" i="6"/>
  <c r="AC130" i="6"/>
  <c r="AB130" i="6"/>
  <c r="I130" i="6"/>
  <c r="AM129" i="6"/>
  <c r="AM132" i="6" s="1"/>
  <c r="AH129" i="6"/>
  <c r="AF129" i="6"/>
  <c r="S129" i="6"/>
  <c r="P129" i="6"/>
  <c r="L129" i="6"/>
  <c r="L130" i="6" s="1"/>
  <c r="I129" i="6"/>
  <c r="J129" i="6" s="1"/>
  <c r="K129" i="6" s="1"/>
  <c r="M129" i="6" s="1"/>
  <c r="M131" i="6" s="1"/>
  <c r="G129" i="6"/>
  <c r="G130" i="6" s="1"/>
  <c r="S128" i="6"/>
  <c r="P128" i="6"/>
  <c r="Q128" i="6" s="1"/>
  <c r="N128" i="6"/>
  <c r="J128" i="6"/>
  <c r="K128" i="6" s="1"/>
  <c r="I128" i="6"/>
  <c r="H128" i="6" s="1"/>
  <c r="AO127" i="6"/>
  <c r="AH127" i="6"/>
  <c r="S127" i="6"/>
  <c r="R127" i="6"/>
  <c r="T127" i="6" s="1"/>
  <c r="Q127" i="6"/>
  <c r="N127" i="6"/>
  <c r="M127" i="6"/>
  <c r="L127" i="6"/>
  <c r="L131" i="6" s="1"/>
  <c r="K127" i="6"/>
  <c r="J127" i="6"/>
  <c r="J131" i="6" s="1"/>
  <c r="I127" i="6"/>
  <c r="I131" i="6" s="1"/>
  <c r="H127" i="6"/>
  <c r="G127" i="6"/>
  <c r="G132" i="6" s="1"/>
  <c r="AN126" i="6"/>
  <c r="AL126" i="6"/>
  <c r="AK126" i="6"/>
  <c r="T126" i="6"/>
  <c r="M126" i="6"/>
  <c r="J126" i="6"/>
  <c r="AN125" i="6"/>
  <c r="AL125" i="6"/>
  <c r="AK125" i="6"/>
  <c r="T125" i="6"/>
  <c r="M125" i="6"/>
  <c r="AN124" i="6"/>
  <c r="AL124" i="6"/>
  <c r="AK124" i="6"/>
  <c r="T124" i="6"/>
  <c r="M124" i="6"/>
  <c r="AM123" i="6"/>
  <c r="AO123" i="6" s="1"/>
  <c r="AJ123" i="6"/>
  <c r="AI123" i="6" s="1"/>
  <c r="Q123" i="6"/>
  <c r="L123" i="6"/>
  <c r="S123" i="6" s="1"/>
  <c r="J123" i="6"/>
  <c r="I123" i="6"/>
  <c r="P123" i="6" s="1"/>
  <c r="O123" i="6" s="1"/>
  <c r="N123" i="6" s="1"/>
  <c r="H123" i="6"/>
  <c r="G123" i="6" s="1"/>
  <c r="AM122" i="6"/>
  <c r="AM126" i="6" s="1"/>
  <c r="AJ122" i="6"/>
  <c r="Q122" i="6"/>
  <c r="Q126" i="6" s="1"/>
  <c r="L122" i="6"/>
  <c r="J122" i="6"/>
  <c r="K122" i="6" s="1"/>
  <c r="I122" i="6"/>
  <c r="I126" i="6" s="1"/>
  <c r="H122" i="6"/>
  <c r="H126" i="6" s="1"/>
  <c r="AO121" i="6"/>
  <c r="AN121" i="6"/>
  <c r="AM121" i="6"/>
  <c r="AL121" i="6"/>
  <c r="AK121" i="6"/>
  <c r="AG121" i="6"/>
  <c r="AF121" i="6"/>
  <c r="AE121" i="6"/>
  <c r="AD121" i="6"/>
  <c r="AC121" i="6"/>
  <c r="AB121" i="6"/>
  <c r="AO120" i="6"/>
  <c r="AN120" i="6"/>
  <c r="AL120" i="6"/>
  <c r="AK120" i="6"/>
  <c r="AG120" i="6"/>
  <c r="AF120" i="6"/>
  <c r="AE120" i="6"/>
  <c r="AD120" i="6"/>
  <c r="AC120" i="6"/>
  <c r="AB120" i="6"/>
  <c r="L120" i="6"/>
  <c r="AO119" i="6"/>
  <c r="AN119" i="6"/>
  <c r="AM119" i="6"/>
  <c r="AL119" i="6"/>
  <c r="AK119" i="6"/>
  <c r="AG119" i="6"/>
  <c r="AF119" i="6"/>
  <c r="AE119" i="6"/>
  <c r="AD119" i="6"/>
  <c r="AC119" i="6"/>
  <c r="AB119" i="6"/>
  <c r="AH118" i="6"/>
  <c r="S118" i="6"/>
  <c r="R118" i="6"/>
  <c r="Q118" i="6"/>
  <c r="P118" i="6"/>
  <c r="O118" i="6"/>
  <c r="N118" i="6"/>
  <c r="I118" i="6"/>
  <c r="H118" i="6"/>
  <c r="G118" i="6"/>
  <c r="AM117" i="6"/>
  <c r="AJ117" i="6"/>
  <c r="AI117" i="6" s="1"/>
  <c r="S117" i="6"/>
  <c r="L117" i="6"/>
  <c r="J117" i="6"/>
  <c r="Q117" i="6" s="1"/>
  <c r="R117" i="6" s="1"/>
  <c r="I117" i="6"/>
  <c r="AM116" i="6"/>
  <c r="AM120" i="6" s="1"/>
  <c r="AJ116" i="6"/>
  <c r="AJ121" i="6" s="1"/>
  <c r="Q116" i="6"/>
  <c r="L116" i="6"/>
  <c r="L121" i="6" s="1"/>
  <c r="J116" i="6"/>
  <c r="I116" i="6"/>
  <c r="P116" i="6" s="1"/>
  <c r="H116" i="6"/>
  <c r="G116" i="6" s="1"/>
  <c r="G114" i="6"/>
  <c r="N114" i="6" s="1"/>
  <c r="AH113" i="6"/>
  <c r="AH120" i="6" s="1"/>
  <c r="AF113" i="6"/>
  <c r="S113" i="6"/>
  <c r="P113" i="6"/>
  <c r="N113" i="6"/>
  <c r="L113" i="6"/>
  <c r="J113" i="6"/>
  <c r="I113" i="6"/>
  <c r="G113" i="6"/>
  <c r="N108" i="6"/>
  <c r="N107" i="6"/>
  <c r="N106" i="6"/>
  <c r="G106" i="6"/>
  <c r="G105" i="6"/>
  <c r="G111" i="6" s="1"/>
  <c r="N104" i="6"/>
  <c r="G104" i="6"/>
  <c r="G109" i="6" s="1"/>
  <c r="AN103" i="6"/>
  <c r="AL103" i="6"/>
  <c r="AK103" i="6"/>
  <c r="AG103" i="6"/>
  <c r="AF103" i="6"/>
  <c r="AE103" i="6"/>
  <c r="AD103" i="6"/>
  <c r="AC103" i="6"/>
  <c r="AB103" i="6"/>
  <c r="M103" i="6"/>
  <c r="AN102" i="6"/>
  <c r="AM102" i="6"/>
  <c r="AL102" i="6"/>
  <c r="AK102" i="6"/>
  <c r="AH102" i="6"/>
  <c r="AG102" i="6"/>
  <c r="AF102" i="6"/>
  <c r="AE102" i="6"/>
  <c r="AD102" i="6"/>
  <c r="AC102" i="6"/>
  <c r="AB102" i="6"/>
  <c r="M102" i="6"/>
  <c r="H102" i="6"/>
  <c r="AN101" i="6"/>
  <c r="AM101" i="6"/>
  <c r="AL101" i="6"/>
  <c r="AK101" i="6"/>
  <c r="AG101" i="6"/>
  <c r="AF101" i="6"/>
  <c r="AE101" i="6"/>
  <c r="AD101" i="6"/>
  <c r="AC101" i="6"/>
  <c r="AB101" i="6"/>
  <c r="M101" i="6"/>
  <c r="AM100" i="6"/>
  <c r="AO100" i="6" s="1"/>
  <c r="AJ100" i="6"/>
  <c r="AI100" i="6" s="1"/>
  <c r="Q100" i="6"/>
  <c r="R100" i="6" s="1"/>
  <c r="L100" i="6"/>
  <c r="S100" i="6" s="1"/>
  <c r="J100" i="6"/>
  <c r="I100" i="6"/>
  <c r="P100" i="6" s="1"/>
  <c r="O100" i="6" s="1"/>
  <c r="N100" i="6" s="1"/>
  <c r="H100" i="6"/>
  <c r="G100" i="6" s="1"/>
  <c r="AM99" i="6"/>
  <c r="AM103" i="6" s="1"/>
  <c r="AJ99" i="6"/>
  <c r="Q99" i="6"/>
  <c r="Q103" i="6" s="1"/>
  <c r="L99" i="6"/>
  <c r="J99" i="6"/>
  <c r="I99" i="6"/>
  <c r="I103" i="6" s="1"/>
  <c r="H99" i="6"/>
  <c r="H103" i="6" s="1"/>
  <c r="AH98" i="6"/>
  <c r="AH103" i="6" s="1"/>
  <c r="S98" i="6"/>
  <c r="R98" i="6"/>
  <c r="Q98" i="6"/>
  <c r="P98" i="6"/>
  <c r="O98" i="6"/>
  <c r="N98" i="6"/>
  <c r="M98" i="6"/>
  <c r="AN97" i="6"/>
  <c r="AL97" i="6"/>
  <c r="AK97" i="6"/>
  <c r="AG97" i="6"/>
  <c r="AF97" i="6"/>
  <c r="AE97" i="6"/>
  <c r="AD97" i="6"/>
  <c r="AC97" i="6"/>
  <c r="AB97" i="6"/>
  <c r="M97" i="6"/>
  <c r="AN96" i="6"/>
  <c r="AL96" i="6"/>
  <c r="AK96" i="6"/>
  <c r="AJ96" i="6"/>
  <c r="AG96" i="6"/>
  <c r="AF96" i="6"/>
  <c r="AE96" i="6"/>
  <c r="AD96" i="6"/>
  <c r="AC96" i="6"/>
  <c r="AB96" i="6"/>
  <c r="M96" i="6"/>
  <c r="AN95" i="6"/>
  <c r="AL95" i="6"/>
  <c r="AK95" i="6"/>
  <c r="AG95" i="6"/>
  <c r="AF95" i="6"/>
  <c r="AE95" i="6"/>
  <c r="AD95" i="6"/>
  <c r="AC95" i="6"/>
  <c r="AB95" i="6"/>
  <c r="M95" i="6"/>
  <c r="I95" i="6"/>
  <c r="AM94" i="6"/>
  <c r="AO94" i="6" s="1"/>
  <c r="AJ94" i="6"/>
  <c r="AI94" i="6" s="1"/>
  <c r="S94" i="6"/>
  <c r="L94" i="6"/>
  <c r="J94" i="6"/>
  <c r="Q94" i="6" s="1"/>
  <c r="R94" i="6" s="1"/>
  <c r="I94" i="6"/>
  <c r="I97" i="6" s="1"/>
  <c r="AM93" i="6"/>
  <c r="AM97" i="6" s="1"/>
  <c r="AJ93" i="6"/>
  <c r="AJ97" i="6" s="1"/>
  <c r="Q93" i="6"/>
  <c r="L93" i="6"/>
  <c r="L96" i="6" s="1"/>
  <c r="J93" i="6"/>
  <c r="I93" i="6"/>
  <c r="P93" i="6" s="1"/>
  <c r="H93" i="6"/>
  <c r="AH92" i="6"/>
  <c r="AH96" i="6" s="1"/>
  <c r="S92" i="6"/>
  <c r="R92" i="6"/>
  <c r="Q92" i="6"/>
  <c r="P92" i="6"/>
  <c r="O92" i="6"/>
  <c r="N92" i="6"/>
  <c r="M92" i="6"/>
  <c r="G91" i="6"/>
  <c r="AN90" i="6"/>
  <c r="AM90" i="6"/>
  <c r="AL90" i="6"/>
  <c r="AK90" i="6"/>
  <c r="AH90" i="6"/>
  <c r="AG90" i="6"/>
  <c r="AF90" i="6"/>
  <c r="AE90" i="6"/>
  <c r="AD90" i="6"/>
  <c r="AC90" i="6"/>
  <c r="AB90" i="6"/>
  <c r="T90" i="6"/>
  <c r="AN89" i="6"/>
  <c r="AM89" i="6"/>
  <c r="AL89" i="6"/>
  <c r="AK89" i="6"/>
  <c r="AH89" i="6"/>
  <c r="AG89" i="6"/>
  <c r="AF89" i="6"/>
  <c r="AE89" i="6"/>
  <c r="AD89" i="6"/>
  <c r="AC89" i="6"/>
  <c r="AB89" i="6"/>
  <c r="T89" i="6"/>
  <c r="K89" i="6"/>
  <c r="I89" i="6"/>
  <c r="AN88" i="6"/>
  <c r="AM88" i="6"/>
  <c r="AL88" i="6"/>
  <c r="AK88" i="6"/>
  <c r="AH88" i="6"/>
  <c r="AG88" i="6"/>
  <c r="AF88" i="6"/>
  <c r="AE88" i="6"/>
  <c r="AD88" i="6"/>
  <c r="AC88" i="6"/>
  <c r="AB88" i="6"/>
  <c r="T88" i="6"/>
  <c r="AH87" i="6"/>
  <c r="S87" i="6"/>
  <c r="R87" i="6"/>
  <c r="Q87" i="6"/>
  <c r="P87" i="6"/>
  <c r="O87" i="6"/>
  <c r="N87" i="6"/>
  <c r="M87" i="6"/>
  <c r="AM86" i="6"/>
  <c r="AO86" i="6" s="1"/>
  <c r="AJ86" i="6"/>
  <c r="AI86" i="6"/>
  <c r="Q86" i="6"/>
  <c r="P86" i="6"/>
  <c r="O86" i="6" s="1"/>
  <c r="N86" i="6" s="1"/>
  <c r="L86" i="6"/>
  <c r="S86" i="6" s="1"/>
  <c r="K86" i="6"/>
  <c r="J86" i="6"/>
  <c r="I86" i="6"/>
  <c r="H86" i="6"/>
  <c r="G86" i="6"/>
  <c r="AM85" i="6"/>
  <c r="AO85" i="6" s="1"/>
  <c r="AJ85" i="6"/>
  <c r="AJ90" i="6" s="1"/>
  <c r="AI85" i="6"/>
  <c r="Q85" i="6"/>
  <c r="Q89" i="6" s="1"/>
  <c r="P85" i="6"/>
  <c r="L85" i="6"/>
  <c r="L90" i="6" s="1"/>
  <c r="K85" i="6"/>
  <c r="K90" i="6" s="1"/>
  <c r="J85" i="6"/>
  <c r="J89" i="6" s="1"/>
  <c r="I85" i="6"/>
  <c r="I90" i="6" s="1"/>
  <c r="H85" i="6"/>
  <c r="H89" i="6" s="1"/>
  <c r="G85" i="6"/>
  <c r="G90" i="6" s="1"/>
  <c r="AN84" i="6"/>
  <c r="AM84" i="6"/>
  <c r="AL84" i="6"/>
  <c r="AK84" i="6"/>
  <c r="AH84" i="6"/>
  <c r="AG84" i="6"/>
  <c r="AF84" i="6"/>
  <c r="AE84" i="6"/>
  <c r="AD84" i="6"/>
  <c r="AC84" i="6"/>
  <c r="AB84" i="6"/>
  <c r="Z84" i="6"/>
  <c r="Y84" i="6"/>
  <c r="X84" i="6"/>
  <c r="W84" i="6"/>
  <c r="V84" i="6"/>
  <c r="U84" i="6"/>
  <c r="J84" i="6"/>
  <c r="AO83" i="6"/>
  <c r="AN83" i="6"/>
  <c r="AL83" i="6"/>
  <c r="AK83" i="6"/>
  <c r="AH83" i="6"/>
  <c r="AG83" i="6"/>
  <c r="AF83" i="6"/>
  <c r="AE83" i="6"/>
  <c r="AD83" i="6"/>
  <c r="AC83" i="6"/>
  <c r="AB83" i="6"/>
  <c r="Z83" i="6"/>
  <c r="Y83" i="6"/>
  <c r="X83" i="6"/>
  <c r="W83" i="6"/>
  <c r="V83" i="6"/>
  <c r="U83" i="6"/>
  <c r="J83" i="6"/>
  <c r="I83" i="6"/>
  <c r="AO82" i="6"/>
  <c r="AN82" i="6"/>
  <c r="AL82" i="6"/>
  <c r="AK82" i="6"/>
  <c r="AG82" i="6"/>
  <c r="AF82" i="6"/>
  <c r="AE82" i="6"/>
  <c r="AD82" i="6"/>
  <c r="AC82" i="6"/>
  <c r="AB82" i="6"/>
  <c r="Z82" i="6"/>
  <c r="Y82" i="6"/>
  <c r="X82" i="6"/>
  <c r="W82" i="6"/>
  <c r="V82" i="6"/>
  <c r="U82" i="6"/>
  <c r="I82" i="6"/>
  <c r="AH81" i="6"/>
  <c r="AH82" i="6" s="1"/>
  <c r="AA81" i="6"/>
  <c r="T81" i="6"/>
  <c r="S81" i="6"/>
  <c r="R81" i="6"/>
  <c r="Q81" i="6"/>
  <c r="P81" i="6"/>
  <c r="O81" i="6"/>
  <c r="M81" i="6"/>
  <c r="G81" i="6"/>
  <c r="N81" i="6" s="1"/>
  <c r="AO80" i="6"/>
  <c r="AM80" i="6"/>
  <c r="AJ80" i="6"/>
  <c r="AI80" i="6"/>
  <c r="Q80" i="6"/>
  <c r="P80" i="6"/>
  <c r="L80" i="6"/>
  <c r="J80" i="6"/>
  <c r="I80" i="6"/>
  <c r="H80" i="6"/>
  <c r="G80" i="6"/>
  <c r="AO79" i="6"/>
  <c r="AO84" i="6" s="1"/>
  <c r="AM79" i="6"/>
  <c r="AM82" i="6" s="1"/>
  <c r="AJ79" i="6"/>
  <c r="Q79" i="6"/>
  <c r="P79" i="6"/>
  <c r="L79" i="6"/>
  <c r="K79" i="6"/>
  <c r="J79" i="6"/>
  <c r="J82" i="6" s="1"/>
  <c r="I79" i="6"/>
  <c r="I84" i="6" s="1"/>
  <c r="H79" i="6"/>
  <c r="S78" i="6"/>
  <c r="Q78" i="6"/>
  <c r="P78" i="6"/>
  <c r="N78" i="6"/>
  <c r="AN77" i="6"/>
  <c r="AL77" i="6"/>
  <c r="AK77" i="6"/>
  <c r="AJ77" i="6"/>
  <c r="AI77" i="6"/>
  <c r="AG77" i="6"/>
  <c r="AE77" i="6"/>
  <c r="AD77" i="6"/>
  <c r="AC77" i="6"/>
  <c r="AB77" i="6"/>
  <c r="G77" i="6"/>
  <c r="AN76" i="6"/>
  <c r="AM76" i="6"/>
  <c r="AL76" i="6"/>
  <c r="AK76" i="6"/>
  <c r="AJ76" i="6"/>
  <c r="AI76" i="6"/>
  <c r="AG76" i="6"/>
  <c r="AE76" i="6"/>
  <c r="AD76" i="6"/>
  <c r="AC76" i="6"/>
  <c r="AB76" i="6"/>
  <c r="G76" i="6"/>
  <c r="AN75" i="6"/>
  <c r="AL75" i="6"/>
  <c r="AK75" i="6"/>
  <c r="AJ75" i="6"/>
  <c r="AI75" i="6"/>
  <c r="AG75" i="6"/>
  <c r="AF75" i="6"/>
  <c r="AE75" i="6"/>
  <c r="AD75" i="6"/>
  <c r="AC75" i="6"/>
  <c r="AB75" i="6"/>
  <c r="L75" i="6"/>
  <c r="G75" i="6"/>
  <c r="AO74" i="6"/>
  <c r="AM74" i="6"/>
  <c r="AM77" i="6" s="1"/>
  <c r="AF74" i="6"/>
  <c r="S74" i="6"/>
  <c r="P74" i="6"/>
  <c r="Q74" i="6" s="1"/>
  <c r="R74" i="6" s="1"/>
  <c r="T74" i="6" s="1"/>
  <c r="N74" i="6"/>
  <c r="L74" i="6"/>
  <c r="L77" i="6" s="1"/>
  <c r="I74" i="6"/>
  <c r="J74" i="6" s="1"/>
  <c r="K74" i="6" s="1"/>
  <c r="M74" i="6" s="1"/>
  <c r="H74" i="6"/>
  <c r="G74" i="6"/>
  <c r="S73" i="6"/>
  <c r="N73" i="6"/>
  <c r="I73" i="6"/>
  <c r="I75" i="6" s="1"/>
  <c r="AO72" i="6"/>
  <c r="AH72" i="6"/>
  <c r="S72" i="6"/>
  <c r="S77" i="6" s="1"/>
  <c r="P72" i="6"/>
  <c r="N72" i="6"/>
  <c r="N76" i="6" s="1"/>
  <c r="L72" i="6"/>
  <c r="L76" i="6" s="1"/>
  <c r="K72" i="6"/>
  <c r="R72" i="6" s="1"/>
  <c r="J72" i="6"/>
  <c r="Q72" i="6" s="1"/>
  <c r="I72" i="6"/>
  <c r="H72" i="6"/>
  <c r="O72" i="6" s="1"/>
  <c r="G72" i="6"/>
  <c r="AN71" i="6"/>
  <c r="AL71" i="6"/>
  <c r="AK71" i="6"/>
  <c r="T71" i="6"/>
  <c r="M71" i="6"/>
  <c r="AN70" i="6"/>
  <c r="AL70" i="6"/>
  <c r="AK70" i="6"/>
  <c r="T70" i="6"/>
  <c r="P70" i="6"/>
  <c r="M70" i="6"/>
  <c r="J70" i="6"/>
  <c r="AN69" i="6"/>
  <c r="AL69" i="6"/>
  <c r="AK69" i="6"/>
  <c r="T69" i="6"/>
  <c r="M69" i="6"/>
  <c r="AM68" i="6"/>
  <c r="AO68" i="6" s="1"/>
  <c r="AJ68" i="6"/>
  <c r="AI68" i="6" s="1"/>
  <c r="Q68" i="6"/>
  <c r="P68" i="6"/>
  <c r="O68" i="6" s="1"/>
  <c r="N68" i="6"/>
  <c r="L68" i="6"/>
  <c r="K68" i="6" s="1"/>
  <c r="J68" i="6"/>
  <c r="I68" i="6"/>
  <c r="H68" i="6" s="1"/>
  <c r="G68" i="6" s="1"/>
  <c r="AM67" i="6"/>
  <c r="AJ67" i="6"/>
  <c r="AJ71" i="6" s="1"/>
  <c r="Q67" i="6"/>
  <c r="Q71" i="6" s="1"/>
  <c r="P67" i="6"/>
  <c r="P69" i="6" s="1"/>
  <c r="L67" i="6"/>
  <c r="K67" i="6" s="1"/>
  <c r="J67" i="6"/>
  <c r="J71" i="6" s="1"/>
  <c r="I67" i="6"/>
  <c r="I71" i="6" s="1"/>
  <c r="AO66" i="6"/>
  <c r="AN66" i="6"/>
  <c r="AM66" i="6"/>
  <c r="AL66" i="6"/>
  <c r="AK66" i="6"/>
  <c r="AG66" i="6"/>
  <c r="AF66" i="6"/>
  <c r="AE66" i="6"/>
  <c r="AD66" i="6"/>
  <c r="AC66" i="6"/>
  <c r="AB66" i="6"/>
  <c r="AO65" i="6"/>
  <c r="AN65" i="6"/>
  <c r="AL65" i="6"/>
  <c r="AK65" i="6"/>
  <c r="AJ65" i="6"/>
  <c r="AI65" i="6"/>
  <c r="AG65" i="6"/>
  <c r="AE65" i="6"/>
  <c r="AD65" i="6"/>
  <c r="AC65" i="6"/>
  <c r="AB65" i="6"/>
  <c r="L65" i="6"/>
  <c r="AO64" i="6"/>
  <c r="AN64" i="6"/>
  <c r="AM64" i="6"/>
  <c r="AL64" i="6"/>
  <c r="AK64" i="6"/>
  <c r="AG64" i="6"/>
  <c r="AF64" i="6"/>
  <c r="AE64" i="6"/>
  <c r="AD64" i="6"/>
  <c r="AC64" i="6"/>
  <c r="AB64" i="6"/>
  <c r="AH63" i="6"/>
  <c r="S63" i="6"/>
  <c r="R63" i="6"/>
  <c r="Q63" i="6"/>
  <c r="O63" i="6"/>
  <c r="N63" i="6"/>
  <c r="I63" i="6"/>
  <c r="P63" i="6" s="1"/>
  <c r="H63" i="6"/>
  <c r="G63" i="6"/>
  <c r="AM62" i="6"/>
  <c r="AJ62" i="6"/>
  <c r="AI62" i="6" s="1"/>
  <c r="S62" i="6"/>
  <c r="L62" i="6"/>
  <c r="J62" i="6"/>
  <c r="I62" i="6"/>
  <c r="AM61" i="6"/>
  <c r="AM65" i="6" s="1"/>
  <c r="AJ61" i="6"/>
  <c r="AJ66" i="6" s="1"/>
  <c r="AI61" i="6"/>
  <c r="AI66" i="6" s="1"/>
  <c r="Q61" i="6"/>
  <c r="L61" i="6"/>
  <c r="L66" i="6" s="1"/>
  <c r="K61" i="6"/>
  <c r="J61" i="6"/>
  <c r="I61" i="6"/>
  <c r="G59" i="6"/>
  <c r="N59" i="6" s="1"/>
  <c r="AF58" i="6"/>
  <c r="AF65" i="6" s="1"/>
  <c r="S58" i="6"/>
  <c r="L58" i="6"/>
  <c r="K58" i="6"/>
  <c r="J58" i="6"/>
  <c r="I58" i="6"/>
  <c r="P58" i="6" s="1"/>
  <c r="G58" i="6"/>
  <c r="N53" i="6"/>
  <c r="N52" i="6"/>
  <c r="G51" i="6"/>
  <c r="N51" i="6" s="1"/>
  <c r="G50" i="6"/>
  <c r="N49" i="6"/>
  <c r="G49" i="6"/>
  <c r="AN48" i="6"/>
  <c r="AL48" i="6"/>
  <c r="AK48" i="6"/>
  <c r="AG48" i="6"/>
  <c r="AF48" i="6"/>
  <c r="AE48" i="6"/>
  <c r="AD48" i="6"/>
  <c r="AC48" i="6"/>
  <c r="AB48" i="6"/>
  <c r="M48" i="6"/>
  <c r="L48" i="6"/>
  <c r="AN47" i="6"/>
  <c r="AL47" i="6"/>
  <c r="AK47" i="6"/>
  <c r="AH47" i="6"/>
  <c r="AG47" i="6"/>
  <c r="AF47" i="6"/>
  <c r="AE47" i="6"/>
  <c r="AD47" i="6"/>
  <c r="AC47" i="6"/>
  <c r="AB47" i="6"/>
  <c r="Q47" i="6"/>
  <c r="P47" i="6"/>
  <c r="M47" i="6"/>
  <c r="I47" i="6"/>
  <c r="AN46" i="6"/>
  <c r="AL46" i="6"/>
  <c r="AK46" i="6"/>
  <c r="AH46" i="6"/>
  <c r="AG46" i="6"/>
  <c r="AF46" i="6"/>
  <c r="AE46" i="6"/>
  <c r="AD46" i="6"/>
  <c r="AC46" i="6"/>
  <c r="AB46" i="6"/>
  <c r="T46" i="6"/>
  <c r="Q46" i="6"/>
  <c r="M46" i="6"/>
  <c r="L46" i="6"/>
  <c r="AM45" i="6"/>
  <c r="AO45" i="6" s="1"/>
  <c r="AJ45" i="6"/>
  <c r="AI45" i="6" s="1"/>
  <c r="Q45" i="6"/>
  <c r="P45" i="6"/>
  <c r="O45" i="6" s="1"/>
  <c r="N45" i="6"/>
  <c r="L45" i="6"/>
  <c r="J45" i="6"/>
  <c r="I45" i="6"/>
  <c r="H45" i="6" s="1"/>
  <c r="G45" i="6" s="1"/>
  <c r="AM44" i="6"/>
  <c r="AM47" i="6" s="1"/>
  <c r="AJ44" i="6"/>
  <c r="AJ46" i="6" s="1"/>
  <c r="Q44" i="6"/>
  <c r="Q48" i="6" s="1"/>
  <c r="P44" i="6"/>
  <c r="O44" i="6" s="1"/>
  <c r="N44" i="6"/>
  <c r="L44" i="6"/>
  <c r="J44" i="6"/>
  <c r="J48" i="6" s="1"/>
  <c r="I44" i="6"/>
  <c r="I48" i="6" s="1"/>
  <c r="AH43" i="6"/>
  <c r="AH48" i="6" s="1"/>
  <c r="T43" i="6"/>
  <c r="T47" i="6" s="1"/>
  <c r="S43" i="6"/>
  <c r="R43" i="6"/>
  <c r="Q43" i="6"/>
  <c r="P43" i="6"/>
  <c r="P48" i="6" s="1"/>
  <c r="O43" i="6"/>
  <c r="O47" i="6" s="1"/>
  <c r="N43" i="6"/>
  <c r="N47" i="6" s="1"/>
  <c r="M43" i="6"/>
  <c r="AO42" i="6"/>
  <c r="AN42" i="6"/>
  <c r="AL42" i="6"/>
  <c r="AK42" i="6"/>
  <c r="AG42" i="6"/>
  <c r="AF42" i="6"/>
  <c r="AE42" i="6"/>
  <c r="AD42" i="6"/>
  <c r="AC42" i="6"/>
  <c r="AB42" i="6"/>
  <c r="M42" i="6"/>
  <c r="J42" i="6"/>
  <c r="I42" i="6"/>
  <c r="AN41" i="6"/>
  <c r="AM41" i="6"/>
  <c r="AL41" i="6"/>
  <c r="AK41" i="6"/>
  <c r="AG41" i="6"/>
  <c r="AF41" i="6"/>
  <c r="AE41" i="6"/>
  <c r="AD41" i="6"/>
  <c r="AC41" i="6"/>
  <c r="AB41" i="6"/>
  <c r="M41" i="6"/>
  <c r="AO40" i="6"/>
  <c r="AN40" i="6"/>
  <c r="AL40" i="6"/>
  <c r="AK40" i="6"/>
  <c r="AG40" i="6"/>
  <c r="AF40" i="6"/>
  <c r="AE40" i="6"/>
  <c r="AD40" i="6"/>
  <c r="AC40" i="6"/>
  <c r="AB40" i="6"/>
  <c r="M40" i="6"/>
  <c r="AO39" i="6"/>
  <c r="AO41" i="6" s="1"/>
  <c r="AM39" i="6"/>
  <c r="AJ39" i="6"/>
  <c r="L39" i="6"/>
  <c r="L42" i="6" s="1"/>
  <c r="J39" i="6"/>
  <c r="I39" i="6"/>
  <c r="AM38" i="6"/>
  <c r="AM42" i="6" s="1"/>
  <c r="AJ38" i="6"/>
  <c r="AJ42" i="6" s="1"/>
  <c r="AI38" i="6"/>
  <c r="Q38" i="6"/>
  <c r="L38" i="6"/>
  <c r="L41" i="6" s="1"/>
  <c r="K38" i="6"/>
  <c r="J38" i="6"/>
  <c r="I38" i="6"/>
  <c r="H38" i="6"/>
  <c r="AH37" i="6"/>
  <c r="AH41" i="6" s="1"/>
  <c r="S37" i="6"/>
  <c r="R37" i="6"/>
  <c r="Q37" i="6"/>
  <c r="P37" i="6"/>
  <c r="O37" i="6"/>
  <c r="N37" i="6"/>
  <c r="M37" i="6"/>
  <c r="N36" i="6"/>
  <c r="G36" i="6"/>
  <c r="AO35" i="6"/>
  <c r="AN35" i="6"/>
  <c r="AM35" i="6"/>
  <c r="AL35" i="6"/>
  <c r="AK35" i="6"/>
  <c r="AG35" i="6"/>
  <c r="AF35" i="6"/>
  <c r="AE35" i="6"/>
  <c r="AD35" i="6"/>
  <c r="AC35" i="6"/>
  <c r="AB35" i="6"/>
  <c r="T35" i="6"/>
  <c r="AN34" i="6"/>
  <c r="AM34" i="6"/>
  <c r="AL34" i="6"/>
  <c r="AK34" i="6"/>
  <c r="AH34" i="6"/>
  <c r="AG34" i="6"/>
  <c r="AF34" i="6"/>
  <c r="AE34" i="6"/>
  <c r="AD34" i="6"/>
  <c r="AC34" i="6"/>
  <c r="AB34" i="6"/>
  <c r="T34" i="6"/>
  <c r="L34" i="6"/>
  <c r="AO33" i="6"/>
  <c r="AN33" i="6"/>
  <c r="AM33" i="6"/>
  <c r="AL33" i="6"/>
  <c r="AK33" i="6"/>
  <c r="AH33" i="6"/>
  <c r="AG33" i="6"/>
  <c r="AF33" i="6"/>
  <c r="AE33" i="6"/>
  <c r="AD33" i="6"/>
  <c r="AC33" i="6"/>
  <c r="AB33" i="6"/>
  <c r="T33" i="6"/>
  <c r="AH32" i="6"/>
  <c r="AH35" i="6" s="1"/>
  <c r="S32" i="6"/>
  <c r="R32" i="6"/>
  <c r="Q32" i="6"/>
  <c r="P32" i="6"/>
  <c r="O32" i="6"/>
  <c r="N32" i="6"/>
  <c r="M32" i="6"/>
  <c r="AO31" i="6"/>
  <c r="AM31" i="6"/>
  <c r="AJ31" i="6"/>
  <c r="AI31" i="6" s="1"/>
  <c r="S31" i="6"/>
  <c r="P31" i="6"/>
  <c r="L31" i="6"/>
  <c r="J31" i="6"/>
  <c r="I31" i="6"/>
  <c r="AO30" i="6"/>
  <c r="AO34" i="6" s="1"/>
  <c r="AM30" i="6"/>
  <c r="AJ30" i="6"/>
  <c r="AJ35" i="6" s="1"/>
  <c r="S30" i="6"/>
  <c r="Q30" i="6"/>
  <c r="P30" i="6"/>
  <c r="L30" i="6"/>
  <c r="L35" i="6" s="1"/>
  <c r="J30" i="6"/>
  <c r="H30" i="6" s="1"/>
  <c r="I30" i="6"/>
  <c r="I34" i="6" s="1"/>
  <c r="AN29" i="6"/>
  <c r="AM29" i="6"/>
  <c r="AL29" i="6"/>
  <c r="AK29" i="6"/>
  <c r="AH29" i="6"/>
  <c r="AG29" i="6"/>
  <c r="AF29" i="6"/>
  <c r="AE29" i="6"/>
  <c r="AD29" i="6"/>
  <c r="AC29" i="6"/>
  <c r="AB29" i="6"/>
  <c r="Z29" i="6"/>
  <c r="Y29" i="6"/>
  <c r="X29" i="6"/>
  <c r="W29" i="6"/>
  <c r="V29" i="6"/>
  <c r="U29" i="6"/>
  <c r="J29" i="6"/>
  <c r="AN28" i="6"/>
  <c r="AL28" i="6"/>
  <c r="AK28" i="6"/>
  <c r="AH28" i="6"/>
  <c r="AG28" i="6"/>
  <c r="AF28" i="6"/>
  <c r="AE28" i="6"/>
  <c r="AD28" i="6"/>
  <c r="AC28" i="6"/>
  <c r="AB28" i="6"/>
  <c r="Z28" i="6"/>
  <c r="Y28" i="6"/>
  <c r="X28" i="6"/>
  <c r="W28" i="6"/>
  <c r="V28" i="6"/>
  <c r="U28" i="6"/>
  <c r="M28" i="6"/>
  <c r="J28" i="6"/>
  <c r="I28" i="6"/>
  <c r="AN27" i="6"/>
  <c r="AL27" i="6"/>
  <c r="AK27" i="6"/>
  <c r="AG27" i="6"/>
  <c r="AF27" i="6"/>
  <c r="AE27" i="6"/>
  <c r="AD27" i="6"/>
  <c r="AC27" i="6"/>
  <c r="AB27" i="6"/>
  <c r="Z27" i="6"/>
  <c r="Y27" i="6"/>
  <c r="X27" i="6"/>
  <c r="W27" i="6"/>
  <c r="V27" i="6"/>
  <c r="U27" i="6"/>
  <c r="M27" i="6"/>
  <c r="I27" i="6"/>
  <c r="H27" i="6"/>
  <c r="AH26" i="6"/>
  <c r="AH27" i="6" s="1"/>
  <c r="AA26" i="6"/>
  <c r="AA28" i="6" s="1"/>
  <c r="T26" i="6"/>
  <c r="S26" i="6"/>
  <c r="R26" i="6"/>
  <c r="Q26" i="6"/>
  <c r="P26" i="6"/>
  <c r="O26" i="6"/>
  <c r="M26" i="6"/>
  <c r="M29" i="6" s="1"/>
  <c r="G26" i="6"/>
  <c r="N26" i="6" s="1"/>
  <c r="AO25" i="6"/>
  <c r="AM25" i="6"/>
  <c r="AJ25" i="6"/>
  <c r="AI25" i="6" s="1"/>
  <c r="Q25" i="6"/>
  <c r="R25" i="6" s="1"/>
  <c r="P25" i="6"/>
  <c r="O25" i="6" s="1"/>
  <c r="N25" i="6" s="1"/>
  <c r="L25" i="6"/>
  <c r="S25" i="6" s="1"/>
  <c r="K25" i="6"/>
  <c r="J25" i="6"/>
  <c r="I25" i="6"/>
  <c r="H25" i="6"/>
  <c r="G25" i="6"/>
  <c r="AO24" i="6"/>
  <c r="AM24" i="6"/>
  <c r="AM27" i="6" s="1"/>
  <c r="AJ24" i="6"/>
  <c r="AI24" i="6" s="1"/>
  <c r="Q24" i="6"/>
  <c r="P24" i="6"/>
  <c r="P28" i="6" s="1"/>
  <c r="L24" i="6"/>
  <c r="J24" i="6"/>
  <c r="J27" i="6" s="1"/>
  <c r="I24" i="6"/>
  <c r="I29" i="6" s="1"/>
  <c r="H24" i="6"/>
  <c r="H29" i="6" s="1"/>
  <c r="S23" i="6"/>
  <c r="Q23" i="6"/>
  <c r="P23" i="6"/>
  <c r="N23" i="6"/>
  <c r="AN22" i="6"/>
  <c r="AL22" i="6"/>
  <c r="AK22" i="6"/>
  <c r="AJ22" i="6"/>
  <c r="AI22" i="6"/>
  <c r="AG22" i="6"/>
  <c r="AE22" i="6"/>
  <c r="AD22" i="6"/>
  <c r="AC22" i="6"/>
  <c r="AB22" i="6"/>
  <c r="AN21" i="6"/>
  <c r="AL21" i="6"/>
  <c r="AK21" i="6"/>
  <c r="AJ21" i="6"/>
  <c r="AI21" i="6"/>
  <c r="AG21" i="6"/>
  <c r="AE21" i="6"/>
  <c r="AD21" i="6"/>
  <c r="AC21" i="6"/>
  <c r="AB21" i="6"/>
  <c r="AN20" i="6"/>
  <c r="AM20" i="6"/>
  <c r="AL20" i="6"/>
  <c r="AK20" i="6"/>
  <c r="AJ20" i="6"/>
  <c r="AI20" i="6"/>
  <c r="AG20" i="6"/>
  <c r="AF20" i="6"/>
  <c r="AE20" i="6"/>
  <c r="AD20" i="6"/>
  <c r="AC20" i="6"/>
  <c r="AB20" i="6"/>
  <c r="L20" i="6"/>
  <c r="G20" i="6"/>
  <c r="AO19" i="6"/>
  <c r="AO21" i="6" s="1"/>
  <c r="AM19" i="6"/>
  <c r="AF19" i="6"/>
  <c r="AF21" i="6" s="1"/>
  <c r="S19" i="6"/>
  <c r="P19" i="6"/>
  <c r="Q19" i="6" s="1"/>
  <c r="R19" i="6" s="1"/>
  <c r="T19" i="6" s="1"/>
  <c r="N19" i="6"/>
  <c r="O19" i="6" s="1"/>
  <c r="L19" i="6"/>
  <c r="I19" i="6"/>
  <c r="H19" i="6"/>
  <c r="G19" i="6"/>
  <c r="S18" i="6"/>
  <c r="N18" i="6"/>
  <c r="I18" i="6"/>
  <c r="J18" i="6" s="1"/>
  <c r="K18" i="6" s="1"/>
  <c r="H18" i="6"/>
  <c r="AO17" i="6"/>
  <c r="AO22" i="6" s="1"/>
  <c r="AH17" i="6"/>
  <c r="S17" i="6"/>
  <c r="P17" i="6"/>
  <c r="O17" i="6"/>
  <c r="L17" i="6"/>
  <c r="L22" i="6" s="1"/>
  <c r="K17" i="6"/>
  <c r="J17" i="6"/>
  <c r="I17" i="6"/>
  <c r="I21" i="6" s="1"/>
  <c r="H17" i="6"/>
  <c r="G17" i="6"/>
  <c r="G22" i="6" s="1"/>
  <c r="AN16" i="6"/>
  <c r="AL16" i="6"/>
  <c r="AK16" i="6"/>
  <c r="T16" i="6"/>
  <c r="M16" i="6"/>
  <c r="AN15" i="6"/>
  <c r="AM15" i="6"/>
  <c r="AL15" i="6"/>
  <c r="AK15" i="6"/>
  <c r="T15" i="6"/>
  <c r="M15" i="6"/>
  <c r="L15" i="6"/>
  <c r="AN14" i="6"/>
  <c r="AM14" i="6"/>
  <c r="AL14" i="6"/>
  <c r="AK14" i="6"/>
  <c r="T14" i="6"/>
  <c r="M14" i="6"/>
  <c r="AO13" i="6"/>
  <c r="AM13" i="6"/>
  <c r="AJ13" i="6"/>
  <c r="AI13" i="6" s="1"/>
  <c r="S13" i="6"/>
  <c r="L13" i="6"/>
  <c r="J13" i="6"/>
  <c r="I13" i="6"/>
  <c r="AO12" i="6"/>
  <c r="AO15" i="6" s="1"/>
  <c r="AM12" i="6"/>
  <c r="AM16" i="6" s="1"/>
  <c r="AJ12" i="6"/>
  <c r="AJ16" i="6" s="1"/>
  <c r="S12" i="6"/>
  <c r="L12" i="6"/>
  <c r="L16" i="6" s="1"/>
  <c r="J12" i="6"/>
  <c r="I12" i="6"/>
  <c r="AO11" i="6"/>
  <c r="AN11" i="6"/>
  <c r="AL11" i="6"/>
  <c r="AK11" i="6"/>
  <c r="AJ11" i="6"/>
  <c r="AG11" i="6"/>
  <c r="AE11" i="6"/>
  <c r="AD11" i="6"/>
  <c r="AC11" i="6"/>
  <c r="AB11" i="6"/>
  <c r="AO10" i="6"/>
  <c r="AN10" i="6"/>
  <c r="AL10" i="6"/>
  <c r="AK10" i="6"/>
  <c r="AI10" i="6"/>
  <c r="AG10" i="6"/>
  <c r="AF10" i="6"/>
  <c r="AE10" i="6"/>
  <c r="AD10" i="6"/>
  <c r="AC10" i="6"/>
  <c r="AB10" i="6"/>
  <c r="L10" i="6"/>
  <c r="J10" i="6"/>
  <c r="I10" i="6"/>
  <c r="AO9" i="6"/>
  <c r="AN9" i="6"/>
  <c r="AL9" i="6"/>
  <c r="AK9" i="6"/>
  <c r="AJ9" i="6"/>
  <c r="AG9" i="6"/>
  <c r="AE9" i="6"/>
  <c r="AD9" i="6"/>
  <c r="AC9" i="6"/>
  <c r="AB9" i="6"/>
  <c r="AH8" i="6"/>
  <c r="S8" i="6"/>
  <c r="R8" i="6"/>
  <c r="Q8" i="6"/>
  <c r="P8" i="6"/>
  <c r="I8" i="6"/>
  <c r="H8" i="6"/>
  <c r="O8" i="6" s="1"/>
  <c r="G8" i="6"/>
  <c r="N8" i="6" s="1"/>
  <c r="AM7" i="6"/>
  <c r="AJ7" i="6"/>
  <c r="AI7" i="6"/>
  <c r="P7" i="6"/>
  <c r="O7" i="6" s="1"/>
  <c r="N7" i="6" s="1"/>
  <c r="L7" i="6"/>
  <c r="S7" i="6" s="1"/>
  <c r="K7" i="6"/>
  <c r="J7" i="6"/>
  <c r="Q7" i="6" s="1"/>
  <c r="R7" i="6" s="1"/>
  <c r="I7" i="6"/>
  <c r="H7" i="6" s="1"/>
  <c r="G7" i="6" s="1"/>
  <c r="AM6" i="6"/>
  <c r="AJ6" i="6"/>
  <c r="AJ10" i="6" s="1"/>
  <c r="AI6" i="6"/>
  <c r="AI11" i="6" s="1"/>
  <c r="S6" i="6"/>
  <c r="Q6" i="6"/>
  <c r="R6" i="6" s="1"/>
  <c r="L6" i="6"/>
  <c r="J6" i="6"/>
  <c r="K6" i="6" s="1"/>
  <c r="I6" i="6"/>
  <c r="P6" i="6" s="1"/>
  <c r="O6" i="6" s="1"/>
  <c r="N6" i="6" s="1"/>
  <c r="H6" i="6"/>
  <c r="G6" i="6" s="1"/>
  <c r="G4" i="6"/>
  <c r="N4" i="6" s="1"/>
  <c r="AF3" i="6"/>
  <c r="AH3" i="6" s="1"/>
  <c r="P3" i="6"/>
  <c r="L3" i="6"/>
  <c r="L11" i="6" s="1"/>
  <c r="J3" i="6"/>
  <c r="J11" i="6" s="1"/>
  <c r="I3" i="6"/>
  <c r="I11" i="6" s="1"/>
  <c r="G3" i="6"/>
  <c r="AP149" i="5"/>
  <c r="AO149" i="5"/>
  <c r="AN149" i="5"/>
  <c r="AK149" i="5"/>
  <c r="AI149" i="5"/>
  <c r="AP148" i="5"/>
  <c r="AO148" i="5"/>
  <c r="AN148" i="5"/>
  <c r="AK148" i="5"/>
  <c r="AI148" i="5"/>
  <c r="AP147" i="5"/>
  <c r="AO147" i="5"/>
  <c r="AN147" i="5"/>
  <c r="AK147" i="5"/>
  <c r="AI147" i="5"/>
  <c r="J147" i="5"/>
  <c r="J146" i="5"/>
  <c r="I146" i="5"/>
  <c r="P146" i="5" s="1"/>
  <c r="G146" i="5"/>
  <c r="N146" i="5" s="1"/>
  <c r="P145" i="5"/>
  <c r="J145" i="5"/>
  <c r="I145" i="5"/>
  <c r="G145" i="5"/>
  <c r="H145" i="5" s="1"/>
  <c r="O145" i="5" s="1"/>
  <c r="S144" i="5"/>
  <c r="Q144" i="5"/>
  <c r="P144" i="5"/>
  <c r="N144" i="5"/>
  <c r="O144" i="5" s="1"/>
  <c r="K144" i="5"/>
  <c r="M144" i="5" s="1"/>
  <c r="H144" i="5"/>
  <c r="T143" i="5"/>
  <c r="S143" i="5"/>
  <c r="R143" i="5"/>
  <c r="Q143" i="5"/>
  <c r="I143" i="5"/>
  <c r="P143" i="5" s="1"/>
  <c r="G143" i="5"/>
  <c r="N143" i="5" s="1"/>
  <c r="T142" i="5"/>
  <c r="S142" i="5"/>
  <c r="R142" i="5"/>
  <c r="Q142" i="5"/>
  <c r="I142" i="5"/>
  <c r="H142" i="5" s="1"/>
  <c r="O142" i="5" s="1"/>
  <c r="G142" i="5"/>
  <c r="N142" i="5" s="1"/>
  <c r="AL141" i="5"/>
  <c r="AL147" i="5" s="1"/>
  <c r="AJ141" i="5"/>
  <c r="L141" i="5"/>
  <c r="I141" i="5"/>
  <c r="J141" i="5" s="1"/>
  <c r="K141" i="5" s="1"/>
  <c r="M141" i="5" s="1"/>
  <c r="G141" i="5"/>
  <c r="H141" i="5" s="1"/>
  <c r="AM140" i="5"/>
  <c r="AJ140" i="5"/>
  <c r="P140" i="5"/>
  <c r="N140" i="5"/>
  <c r="L140" i="5"/>
  <c r="S140" i="5" s="1"/>
  <c r="J140" i="5"/>
  <c r="Q140" i="5" s="1"/>
  <c r="I140" i="5"/>
  <c r="G140" i="5"/>
  <c r="AM139" i="5"/>
  <c r="AJ139" i="5"/>
  <c r="AJ147" i="5" s="1"/>
  <c r="S139" i="5"/>
  <c r="L139" i="5"/>
  <c r="J139" i="5"/>
  <c r="K139" i="5" s="1"/>
  <c r="I139" i="5"/>
  <c r="G139" i="5"/>
  <c r="AP138" i="5"/>
  <c r="AO138" i="5"/>
  <c r="AN138" i="5"/>
  <c r="AK138" i="5"/>
  <c r="AI138" i="5"/>
  <c r="AP137" i="5"/>
  <c r="AO137" i="5"/>
  <c r="AN137" i="5"/>
  <c r="AK137" i="5"/>
  <c r="AI137" i="5"/>
  <c r="AP136" i="5"/>
  <c r="AO136" i="5"/>
  <c r="AN136" i="5"/>
  <c r="AK136" i="5"/>
  <c r="AI136" i="5"/>
  <c r="AL135" i="5"/>
  <c r="AM135" i="5" s="1"/>
  <c r="AJ135" i="5"/>
  <c r="P135" i="5"/>
  <c r="L135" i="5"/>
  <c r="S135" i="5" s="1"/>
  <c r="J135" i="5"/>
  <c r="K135" i="5" s="1"/>
  <c r="I135" i="5"/>
  <c r="G135" i="5"/>
  <c r="N135" i="5" s="1"/>
  <c r="AL134" i="5"/>
  <c r="AM134" i="5" s="1"/>
  <c r="AJ134" i="5"/>
  <c r="S134" i="5"/>
  <c r="L134" i="5"/>
  <c r="I134" i="5"/>
  <c r="J134" i="5" s="1"/>
  <c r="K134" i="5" s="1"/>
  <c r="G134" i="5"/>
  <c r="N134" i="5" s="1"/>
  <c r="AL133" i="5"/>
  <c r="AM133" i="5" s="1"/>
  <c r="AJ133" i="5"/>
  <c r="T133" i="5"/>
  <c r="N133" i="5"/>
  <c r="L133" i="5"/>
  <c r="S133" i="5" s="1"/>
  <c r="I133" i="5"/>
  <c r="H133" i="5"/>
  <c r="O133" i="5" s="1"/>
  <c r="G133" i="5"/>
  <c r="AM132" i="5"/>
  <c r="AJ132" i="5"/>
  <c r="L132" i="5"/>
  <c r="S132" i="5" s="1"/>
  <c r="K132" i="5"/>
  <c r="J132" i="5"/>
  <c r="Q132" i="5" s="1"/>
  <c r="I132" i="5"/>
  <c r="P132" i="5" s="1"/>
  <c r="G132" i="5"/>
  <c r="AM131" i="5"/>
  <c r="AJ131" i="5"/>
  <c r="N131" i="5"/>
  <c r="L131" i="5"/>
  <c r="L137" i="5" s="1"/>
  <c r="J131" i="5"/>
  <c r="I131" i="5"/>
  <c r="I137" i="5" s="1"/>
  <c r="G131" i="5"/>
  <c r="G136" i="5" s="1"/>
  <c r="AM130" i="5"/>
  <c r="AJ130" i="5"/>
  <c r="S130" i="5"/>
  <c r="Q130" i="5"/>
  <c r="R130" i="5" s="1"/>
  <c r="T130" i="5" s="1"/>
  <c r="P130" i="5"/>
  <c r="O130" i="5"/>
  <c r="N130" i="5"/>
  <c r="K130" i="5"/>
  <c r="M130" i="5" s="1"/>
  <c r="H130" i="5"/>
  <c r="AP129" i="5"/>
  <c r="AO129" i="5"/>
  <c r="AN129" i="5"/>
  <c r="AK129" i="5"/>
  <c r="AP128" i="5"/>
  <c r="AO128" i="5"/>
  <c r="AN128" i="5"/>
  <c r="AK128" i="5"/>
  <c r="AI128" i="5"/>
  <c r="AP127" i="5"/>
  <c r="AO127" i="5"/>
  <c r="AN127" i="5"/>
  <c r="AK127" i="5"/>
  <c r="AL126" i="5"/>
  <c r="AM126" i="5" s="1"/>
  <c r="AJ126" i="5"/>
  <c r="P126" i="5"/>
  <c r="L126" i="5"/>
  <c r="J126" i="5" s="1"/>
  <c r="Q126" i="5" s="1"/>
  <c r="I126" i="5"/>
  <c r="G126" i="5"/>
  <c r="N126" i="5" s="1"/>
  <c r="AM125" i="5"/>
  <c r="AL125" i="5"/>
  <c r="AJ125" i="5"/>
  <c r="L125" i="5"/>
  <c r="S125" i="5" s="1"/>
  <c r="I125" i="5"/>
  <c r="J125" i="5" s="1"/>
  <c r="G125" i="5"/>
  <c r="AL124" i="5"/>
  <c r="AI124" i="5"/>
  <c r="AI129" i="5" s="1"/>
  <c r="T124" i="5"/>
  <c r="S124" i="5"/>
  <c r="P124" i="5"/>
  <c r="N124" i="5"/>
  <c r="L124" i="5"/>
  <c r="J124" i="5"/>
  <c r="K124" i="5" s="1"/>
  <c r="R124" i="5" s="1"/>
  <c r="I124" i="5"/>
  <c r="H124" i="5"/>
  <c r="O124" i="5" s="1"/>
  <c r="G124" i="5"/>
  <c r="G129" i="5" s="1"/>
  <c r="AM123" i="5"/>
  <c r="R123" i="5"/>
  <c r="N123" i="5"/>
  <c r="L123" i="5"/>
  <c r="J123" i="5"/>
  <c r="Q123" i="5" s="1"/>
  <c r="I123" i="5"/>
  <c r="H123" i="5"/>
  <c r="O123" i="5" s="1"/>
  <c r="AM122" i="5"/>
  <c r="AJ122" i="5"/>
  <c r="S122" i="5"/>
  <c r="Q122" i="5"/>
  <c r="P122" i="5"/>
  <c r="O122" i="5"/>
  <c r="N122" i="5"/>
  <c r="M122" i="5"/>
  <c r="K122" i="5"/>
  <c r="H122" i="5"/>
  <c r="AP121" i="5"/>
  <c r="AO121" i="5"/>
  <c r="AP120" i="5"/>
  <c r="AO120" i="5"/>
  <c r="AN120" i="5"/>
  <c r="AP119" i="5"/>
  <c r="AO119" i="5"/>
  <c r="AL118" i="5"/>
  <c r="AM118" i="5" s="1"/>
  <c r="AJ118" i="5"/>
  <c r="L118" i="5"/>
  <c r="S118" i="5" s="1"/>
  <c r="I118" i="5"/>
  <c r="G118" i="5"/>
  <c r="N118" i="5" s="1"/>
  <c r="AL117" i="5"/>
  <c r="AM117" i="5" s="1"/>
  <c r="AJ117" i="5"/>
  <c r="S117" i="5"/>
  <c r="L117" i="5"/>
  <c r="I117" i="5"/>
  <c r="P117" i="5" s="1"/>
  <c r="G117" i="5"/>
  <c r="AL116" i="5"/>
  <c r="AM116" i="5" s="1"/>
  <c r="AI116" i="5"/>
  <c r="T116" i="5"/>
  <c r="L116" i="5"/>
  <c r="I116" i="5"/>
  <c r="P116" i="5" s="1"/>
  <c r="G116" i="5"/>
  <c r="N116" i="5" s="1"/>
  <c r="AN115" i="5"/>
  <c r="AN121" i="5" s="1"/>
  <c r="AK115" i="5"/>
  <c r="AI115" i="5"/>
  <c r="S115" i="5"/>
  <c r="N115" i="5"/>
  <c r="L115" i="5"/>
  <c r="L119" i="5" s="1"/>
  <c r="G115" i="5"/>
  <c r="AM114" i="5"/>
  <c r="AJ114" i="5"/>
  <c r="S114" i="5"/>
  <c r="R114" i="5"/>
  <c r="T114" i="5" s="1"/>
  <c r="Q114" i="5"/>
  <c r="P114" i="5"/>
  <c r="N114" i="5"/>
  <c r="M114" i="5"/>
  <c r="K114" i="5"/>
  <c r="H114" i="5"/>
  <c r="AP112" i="5"/>
  <c r="AO112" i="5"/>
  <c r="AN112" i="5"/>
  <c r="AK112" i="5"/>
  <c r="AI112" i="5"/>
  <c r="AP111" i="5"/>
  <c r="AO111" i="5"/>
  <c r="AN111" i="5"/>
  <c r="AK111" i="5"/>
  <c r="AI111" i="5"/>
  <c r="AP110" i="5"/>
  <c r="AO110" i="5"/>
  <c r="AN110" i="5"/>
  <c r="AK110" i="5"/>
  <c r="AI110" i="5"/>
  <c r="N109" i="5"/>
  <c r="J109" i="5"/>
  <c r="Q109" i="5" s="1"/>
  <c r="I109" i="5"/>
  <c r="G109" i="5"/>
  <c r="J108" i="5"/>
  <c r="I108" i="5"/>
  <c r="P108" i="5" s="1"/>
  <c r="G108" i="5"/>
  <c r="N108" i="5" s="1"/>
  <c r="S107" i="5"/>
  <c r="Q107" i="5"/>
  <c r="R107" i="5" s="1"/>
  <c r="T107" i="5" s="1"/>
  <c r="P107" i="5"/>
  <c r="N107" i="5"/>
  <c r="M107" i="5"/>
  <c r="K107" i="5"/>
  <c r="H107" i="5"/>
  <c r="T106" i="5"/>
  <c r="S106" i="5"/>
  <c r="R106" i="5"/>
  <c r="Q106" i="5"/>
  <c r="N106" i="5"/>
  <c r="I106" i="5"/>
  <c r="P106" i="5" s="1"/>
  <c r="G106" i="5"/>
  <c r="H106" i="5" s="1"/>
  <c r="O106" i="5" s="1"/>
  <c r="T105" i="5"/>
  <c r="S105" i="5"/>
  <c r="R105" i="5"/>
  <c r="Q105" i="5"/>
  <c r="P105" i="5"/>
  <c r="N105" i="5"/>
  <c r="I105" i="5"/>
  <c r="G105" i="5"/>
  <c r="H105" i="5" s="1"/>
  <c r="O105" i="5" s="1"/>
  <c r="AM104" i="5"/>
  <c r="AL104" i="5"/>
  <c r="AJ104" i="5"/>
  <c r="L104" i="5"/>
  <c r="S104" i="5" s="1"/>
  <c r="I104" i="5"/>
  <c r="G104" i="5"/>
  <c r="H104" i="5" s="1"/>
  <c r="AM103" i="5"/>
  <c r="AJ103" i="5"/>
  <c r="P103" i="5"/>
  <c r="N103" i="5"/>
  <c r="O103" i="5" s="1"/>
  <c r="L103" i="5"/>
  <c r="J103" i="5"/>
  <c r="Q103" i="5" s="1"/>
  <c r="I103" i="5"/>
  <c r="G103" i="5"/>
  <c r="H103" i="5" s="1"/>
  <c r="AM102" i="5"/>
  <c r="AJ102" i="5"/>
  <c r="Q102" i="5"/>
  <c r="L102" i="5"/>
  <c r="J102" i="5"/>
  <c r="I102" i="5"/>
  <c r="I110" i="5" s="1"/>
  <c r="G102" i="5"/>
  <c r="AP101" i="5"/>
  <c r="AO101" i="5"/>
  <c r="AN101" i="5"/>
  <c r="AK101" i="5"/>
  <c r="AI101" i="5"/>
  <c r="AP100" i="5"/>
  <c r="AO100" i="5"/>
  <c r="AN100" i="5"/>
  <c r="AK100" i="5"/>
  <c r="AI100" i="5"/>
  <c r="AP99" i="5"/>
  <c r="AO99" i="5"/>
  <c r="AN99" i="5"/>
  <c r="AK99" i="5"/>
  <c r="AI99" i="5"/>
  <c r="AL98" i="5"/>
  <c r="AM98" i="5" s="1"/>
  <c r="AJ98" i="5"/>
  <c r="N98" i="5"/>
  <c r="L98" i="5"/>
  <c r="J98" i="5"/>
  <c r="K98" i="5" s="1"/>
  <c r="M98" i="5" s="1"/>
  <c r="T98" i="5" s="1"/>
  <c r="I98" i="5"/>
  <c r="G98" i="5"/>
  <c r="AL97" i="5"/>
  <c r="AM97" i="5" s="1"/>
  <c r="AJ97" i="5"/>
  <c r="S97" i="5"/>
  <c r="L97" i="5"/>
  <c r="J97" i="5"/>
  <c r="Q97" i="5" s="1"/>
  <c r="I97" i="5"/>
  <c r="P97" i="5" s="1"/>
  <c r="G97" i="5"/>
  <c r="H97" i="5" s="1"/>
  <c r="O97" i="5" s="1"/>
  <c r="AL96" i="5"/>
  <c r="AJ96" i="5"/>
  <c r="T96" i="5"/>
  <c r="S96" i="5"/>
  <c r="N96" i="5"/>
  <c r="L96" i="5"/>
  <c r="I96" i="5"/>
  <c r="P96" i="5" s="1"/>
  <c r="G96" i="5"/>
  <c r="AM95" i="5"/>
  <c r="AJ95" i="5"/>
  <c r="Q95" i="5"/>
  <c r="L95" i="5"/>
  <c r="S95" i="5" s="1"/>
  <c r="J95" i="5"/>
  <c r="K95" i="5" s="1"/>
  <c r="I95" i="5"/>
  <c r="P95" i="5" s="1"/>
  <c r="G95" i="5"/>
  <c r="N95" i="5" s="1"/>
  <c r="O95" i="5" s="1"/>
  <c r="AM94" i="5"/>
  <c r="AJ94" i="5"/>
  <c r="L94" i="5"/>
  <c r="L100" i="5" s="1"/>
  <c r="J94" i="5"/>
  <c r="K94" i="5" s="1"/>
  <c r="I94" i="5"/>
  <c r="P94" i="5" s="1"/>
  <c r="G94" i="5"/>
  <c r="AM93" i="5"/>
  <c r="AJ93" i="5"/>
  <c r="AJ101" i="5" s="1"/>
  <c r="S93" i="5"/>
  <c r="Q93" i="5"/>
  <c r="P93" i="5"/>
  <c r="N93" i="5"/>
  <c r="K93" i="5"/>
  <c r="M93" i="5" s="1"/>
  <c r="H93" i="5"/>
  <c r="AP92" i="5"/>
  <c r="AO92" i="5"/>
  <c r="AN92" i="5"/>
  <c r="AK92" i="5"/>
  <c r="I92" i="5"/>
  <c r="AP91" i="5"/>
  <c r="AO91" i="5"/>
  <c r="AN91" i="5"/>
  <c r="AK91" i="5"/>
  <c r="AP90" i="5"/>
  <c r="AO90" i="5"/>
  <c r="AN90" i="5"/>
  <c r="AK90" i="5"/>
  <c r="G90" i="5"/>
  <c r="AL89" i="5"/>
  <c r="AM89" i="5" s="1"/>
  <c r="AJ89" i="5"/>
  <c r="P89" i="5"/>
  <c r="N89" i="5"/>
  <c r="L89" i="5"/>
  <c r="S89" i="5" s="1"/>
  <c r="J89" i="5"/>
  <c r="K89" i="5" s="1"/>
  <c r="R89" i="5" s="1"/>
  <c r="I89" i="5"/>
  <c r="H89" i="5"/>
  <c r="O89" i="5" s="1"/>
  <c r="G89" i="5"/>
  <c r="AM88" i="5"/>
  <c r="AL88" i="5"/>
  <c r="AJ88" i="5"/>
  <c r="N88" i="5"/>
  <c r="L88" i="5"/>
  <c r="S88" i="5" s="1"/>
  <c r="I88" i="5"/>
  <c r="I91" i="5" s="1"/>
  <c r="G88" i="5"/>
  <c r="AM87" i="5"/>
  <c r="AL87" i="5"/>
  <c r="AL90" i="5" s="1"/>
  <c r="AI87" i="5"/>
  <c r="AI91" i="5" s="1"/>
  <c r="T87" i="5"/>
  <c r="S87" i="5"/>
  <c r="P87" i="5"/>
  <c r="L87" i="5"/>
  <c r="J87" i="5"/>
  <c r="K87" i="5" s="1"/>
  <c r="R87" i="5" s="1"/>
  <c r="I87" i="5"/>
  <c r="H87" i="5"/>
  <c r="O87" i="5" s="1"/>
  <c r="G87" i="5"/>
  <c r="G91" i="5" s="1"/>
  <c r="AM86" i="5"/>
  <c r="S86" i="5"/>
  <c r="R86" i="5"/>
  <c r="T86" i="5" s="1"/>
  <c r="O86" i="5"/>
  <c r="N86" i="5"/>
  <c r="M86" i="5"/>
  <c r="L86" i="5"/>
  <c r="L91" i="5" s="1"/>
  <c r="J86" i="5"/>
  <c r="Q86" i="5" s="1"/>
  <c r="I86" i="5"/>
  <c r="P86" i="5" s="1"/>
  <c r="H86" i="5"/>
  <c r="AM85" i="5"/>
  <c r="AJ85" i="5"/>
  <c r="S85" i="5"/>
  <c r="Q85" i="5"/>
  <c r="P85" i="5"/>
  <c r="N85" i="5"/>
  <c r="O85" i="5" s="1"/>
  <c r="K85" i="5"/>
  <c r="H85" i="5"/>
  <c r="AP84" i="5"/>
  <c r="AO84" i="5"/>
  <c r="AP83" i="5"/>
  <c r="AO83" i="5"/>
  <c r="AK83" i="5"/>
  <c r="G83" i="5"/>
  <c r="AP82" i="5"/>
  <c r="AO82" i="5"/>
  <c r="AI82" i="5"/>
  <c r="AL81" i="5"/>
  <c r="AM81" i="5" s="1"/>
  <c r="AJ81" i="5"/>
  <c r="P81" i="5"/>
  <c r="L81" i="5"/>
  <c r="J81" i="5" s="1"/>
  <c r="Q81" i="5" s="1"/>
  <c r="I81" i="5"/>
  <c r="H81" i="5"/>
  <c r="O81" i="5" s="1"/>
  <c r="G81" i="5"/>
  <c r="N81" i="5" s="1"/>
  <c r="AM80" i="5"/>
  <c r="AL80" i="5"/>
  <c r="AJ80" i="5"/>
  <c r="L80" i="5"/>
  <c r="S80" i="5" s="1"/>
  <c r="I80" i="5"/>
  <c r="G80" i="5"/>
  <c r="AL79" i="5"/>
  <c r="AM79" i="5" s="1"/>
  <c r="AI79" i="5"/>
  <c r="AJ79" i="5" s="1"/>
  <c r="T79" i="5"/>
  <c r="S79" i="5"/>
  <c r="P79" i="5"/>
  <c r="N79" i="5"/>
  <c r="L79" i="5"/>
  <c r="J79" i="5"/>
  <c r="K79" i="5" s="1"/>
  <c r="R79" i="5" s="1"/>
  <c r="I79" i="5"/>
  <c r="H79" i="5"/>
  <c r="O79" i="5" s="1"/>
  <c r="G79" i="5"/>
  <c r="AN78" i="5"/>
  <c r="AK78" i="5"/>
  <c r="AK84" i="5" s="1"/>
  <c r="AJ78" i="5"/>
  <c r="AI78" i="5"/>
  <c r="AI83" i="5" s="1"/>
  <c r="S78" i="5"/>
  <c r="N78" i="5"/>
  <c r="P78" i="5" s="1"/>
  <c r="L78" i="5"/>
  <c r="H78" i="5"/>
  <c r="G78" i="5"/>
  <c r="I78" i="5" s="1"/>
  <c r="AM77" i="5"/>
  <c r="AJ77" i="5"/>
  <c r="S77" i="5"/>
  <c r="R77" i="5"/>
  <c r="T77" i="5" s="1"/>
  <c r="Q77" i="5"/>
  <c r="P77" i="5"/>
  <c r="O77" i="5" s="1"/>
  <c r="N77" i="5"/>
  <c r="K77" i="5"/>
  <c r="H77" i="5"/>
  <c r="AP75" i="5"/>
  <c r="AO75" i="5"/>
  <c r="AN75" i="5"/>
  <c r="AK75" i="5"/>
  <c r="AI75" i="5"/>
  <c r="AP74" i="5"/>
  <c r="AO74" i="5"/>
  <c r="AN74" i="5"/>
  <c r="AK74" i="5"/>
  <c r="AI74" i="5"/>
  <c r="AP73" i="5"/>
  <c r="AO73" i="5"/>
  <c r="AN73" i="5"/>
  <c r="AK73" i="5"/>
  <c r="AI73" i="5"/>
  <c r="Q72" i="5"/>
  <c r="N72" i="5"/>
  <c r="J72" i="5"/>
  <c r="I72" i="5"/>
  <c r="L72" i="5" s="1"/>
  <c r="G72" i="5"/>
  <c r="H72" i="5" s="1"/>
  <c r="O72" i="5" s="1"/>
  <c r="J71" i="5"/>
  <c r="Q71" i="5" s="1"/>
  <c r="I71" i="5"/>
  <c r="P71" i="5" s="1"/>
  <c r="G71" i="5"/>
  <c r="S70" i="5"/>
  <c r="Q70" i="5"/>
  <c r="R70" i="5" s="1"/>
  <c r="T70" i="5" s="1"/>
  <c r="P70" i="5"/>
  <c r="O70" i="5"/>
  <c r="N70" i="5"/>
  <c r="M70" i="5"/>
  <c r="K70" i="5"/>
  <c r="H70" i="5"/>
  <c r="T69" i="5"/>
  <c r="S69" i="5"/>
  <c r="R69" i="5"/>
  <c r="Q69" i="5"/>
  <c r="I69" i="5"/>
  <c r="P69" i="5" s="1"/>
  <c r="G69" i="5"/>
  <c r="N69" i="5" s="1"/>
  <c r="T68" i="5"/>
  <c r="S68" i="5"/>
  <c r="R68" i="5"/>
  <c r="Q68" i="5"/>
  <c r="I68" i="5"/>
  <c r="P68" i="5" s="1"/>
  <c r="G68" i="5"/>
  <c r="N68" i="5" s="1"/>
  <c r="AL67" i="5"/>
  <c r="AL73" i="5" s="1"/>
  <c r="AJ67" i="5"/>
  <c r="L67" i="5"/>
  <c r="S67" i="5" s="1"/>
  <c r="I67" i="5"/>
  <c r="P67" i="5" s="1"/>
  <c r="G67" i="5"/>
  <c r="AM66" i="5"/>
  <c r="AJ66" i="5"/>
  <c r="L66" i="5"/>
  <c r="J66" i="5"/>
  <c r="Q66" i="5" s="1"/>
  <c r="I66" i="5"/>
  <c r="P66" i="5" s="1"/>
  <c r="G66" i="5"/>
  <c r="H66" i="5" s="1"/>
  <c r="AM65" i="5"/>
  <c r="AJ65" i="5"/>
  <c r="Q65" i="5"/>
  <c r="L65" i="5"/>
  <c r="J65" i="5"/>
  <c r="I65" i="5"/>
  <c r="P65" i="5" s="1"/>
  <c r="G65" i="5"/>
  <c r="N65" i="5" s="1"/>
  <c r="AP64" i="5"/>
  <c r="AO64" i="5"/>
  <c r="AN64" i="5"/>
  <c r="AK64" i="5"/>
  <c r="AI64" i="5"/>
  <c r="AP63" i="5"/>
  <c r="AO63" i="5"/>
  <c r="AN63" i="5"/>
  <c r="AK63" i="5"/>
  <c r="AI63" i="5"/>
  <c r="AP62" i="5"/>
  <c r="AO62" i="5"/>
  <c r="AN62" i="5"/>
  <c r="AK62" i="5"/>
  <c r="AI62" i="5"/>
  <c r="AL61" i="5"/>
  <c r="AM61" i="5" s="1"/>
  <c r="AJ61" i="5"/>
  <c r="L61" i="5"/>
  <c r="I61" i="5"/>
  <c r="J61" i="5" s="1"/>
  <c r="G61" i="5"/>
  <c r="N61" i="5" s="1"/>
  <c r="AM60" i="5"/>
  <c r="AL60" i="5"/>
  <c r="AJ60" i="5"/>
  <c r="L60" i="5"/>
  <c r="S60" i="5" s="1"/>
  <c r="I60" i="5"/>
  <c r="P60" i="5" s="1"/>
  <c r="G60" i="5"/>
  <c r="AL59" i="5"/>
  <c r="AL64" i="5" s="1"/>
  <c r="AJ59" i="5"/>
  <c r="T59" i="5"/>
  <c r="L59" i="5"/>
  <c r="S59" i="5" s="1"/>
  <c r="I59" i="5"/>
  <c r="J59" i="5" s="1"/>
  <c r="G59" i="5"/>
  <c r="AM58" i="5"/>
  <c r="AJ58" i="5"/>
  <c r="L58" i="5"/>
  <c r="S58" i="5" s="1"/>
  <c r="J58" i="5"/>
  <c r="K58" i="5" s="1"/>
  <c r="I58" i="5"/>
  <c r="H58" i="5"/>
  <c r="G58" i="5"/>
  <c r="N58" i="5" s="1"/>
  <c r="AM57" i="5"/>
  <c r="AJ57" i="5"/>
  <c r="L57" i="5"/>
  <c r="L63" i="5" s="1"/>
  <c r="J57" i="5"/>
  <c r="K57" i="5" s="1"/>
  <c r="I57" i="5"/>
  <c r="P57" i="5" s="1"/>
  <c r="G57" i="5"/>
  <c r="AM56" i="5"/>
  <c r="AJ56" i="5"/>
  <c r="AJ63" i="5" s="1"/>
  <c r="S56" i="5"/>
  <c r="Q56" i="5"/>
  <c r="P56" i="5"/>
  <c r="N56" i="5"/>
  <c r="K56" i="5"/>
  <c r="M56" i="5" s="1"/>
  <c r="H56" i="5"/>
  <c r="AP55" i="5"/>
  <c r="AO55" i="5"/>
  <c r="AN55" i="5"/>
  <c r="AK55" i="5"/>
  <c r="AP54" i="5"/>
  <c r="AO54" i="5"/>
  <c r="AN54" i="5"/>
  <c r="AK54" i="5"/>
  <c r="AP53" i="5"/>
  <c r="AO53" i="5"/>
  <c r="AN53" i="5"/>
  <c r="AK53" i="5"/>
  <c r="AL52" i="5"/>
  <c r="AM52" i="5" s="1"/>
  <c r="AJ52" i="5"/>
  <c r="P52" i="5"/>
  <c r="L52" i="5"/>
  <c r="S52" i="5" s="1"/>
  <c r="J52" i="5"/>
  <c r="K52" i="5" s="1"/>
  <c r="R52" i="5" s="1"/>
  <c r="I52" i="5"/>
  <c r="H52" i="5"/>
  <c r="O52" i="5" s="1"/>
  <c r="G52" i="5"/>
  <c r="N52" i="5" s="1"/>
  <c r="AM51" i="5"/>
  <c r="AL51" i="5"/>
  <c r="AJ51" i="5"/>
  <c r="L51" i="5"/>
  <c r="S51" i="5" s="1"/>
  <c r="I51" i="5"/>
  <c r="G51" i="5"/>
  <c r="H51" i="5" s="1"/>
  <c r="O51" i="5" s="1"/>
  <c r="AL50" i="5"/>
  <c r="AL54" i="5" s="1"/>
  <c r="AI50" i="5"/>
  <c r="AI54" i="5" s="1"/>
  <c r="T50" i="5"/>
  <c r="L50" i="5"/>
  <c r="L55" i="5" s="1"/>
  <c r="I50" i="5"/>
  <c r="P50" i="5" s="1"/>
  <c r="G50" i="5"/>
  <c r="AM49" i="5"/>
  <c r="S49" i="5"/>
  <c r="R49" i="5"/>
  <c r="N49" i="5"/>
  <c r="M49" i="5"/>
  <c r="L49" i="5"/>
  <c r="J49" i="5"/>
  <c r="I49" i="5"/>
  <c r="P49" i="5" s="1"/>
  <c r="H49" i="5"/>
  <c r="O49" i="5" s="1"/>
  <c r="AM48" i="5"/>
  <c r="AJ48" i="5"/>
  <c r="S48" i="5"/>
  <c r="Q48" i="5"/>
  <c r="R48" i="5" s="1"/>
  <c r="P48" i="5"/>
  <c r="O48" i="5"/>
  <c r="N48" i="5"/>
  <c r="M48" i="5"/>
  <c r="K48" i="5"/>
  <c r="H48" i="5"/>
  <c r="AP47" i="5"/>
  <c r="AO47" i="5"/>
  <c r="AP46" i="5"/>
  <c r="AO46" i="5"/>
  <c r="AP45" i="5"/>
  <c r="AO45" i="5"/>
  <c r="AK45" i="5"/>
  <c r="AL44" i="5"/>
  <c r="AM44" i="5" s="1"/>
  <c r="AJ44" i="5"/>
  <c r="S44" i="5"/>
  <c r="L44" i="5"/>
  <c r="I44" i="5"/>
  <c r="P44" i="5" s="1"/>
  <c r="G44" i="5"/>
  <c r="H44" i="5" s="1"/>
  <c r="O44" i="5" s="1"/>
  <c r="AL43" i="5"/>
  <c r="AM43" i="5" s="1"/>
  <c r="AJ43" i="5"/>
  <c r="L43" i="5"/>
  <c r="S43" i="5" s="1"/>
  <c r="I43" i="5"/>
  <c r="G43" i="5"/>
  <c r="H43" i="5" s="1"/>
  <c r="O43" i="5" s="1"/>
  <c r="AL42" i="5"/>
  <c r="AM42" i="5" s="1"/>
  <c r="AJ42" i="5"/>
  <c r="AI42" i="5"/>
  <c r="T42" i="5"/>
  <c r="L42" i="5"/>
  <c r="S42" i="5" s="1"/>
  <c r="I42" i="5"/>
  <c r="P42" i="5" s="1"/>
  <c r="G42" i="5"/>
  <c r="N42" i="5" s="1"/>
  <c r="AN41" i="5"/>
  <c r="AN45" i="5" s="1"/>
  <c r="AK41" i="5"/>
  <c r="AK47" i="5" s="1"/>
  <c r="AI41" i="5"/>
  <c r="AI47" i="5" s="1"/>
  <c r="S41" i="5"/>
  <c r="P41" i="5"/>
  <c r="O41" i="5" s="1"/>
  <c r="N41" i="5"/>
  <c r="L41" i="5"/>
  <c r="G41" i="5"/>
  <c r="AM40" i="5"/>
  <c r="AJ40" i="5"/>
  <c r="S40" i="5"/>
  <c r="R40" i="5"/>
  <c r="T40" i="5" s="1"/>
  <c r="Q40" i="5"/>
  <c r="P40" i="5"/>
  <c r="O40" i="5" s="1"/>
  <c r="N40" i="5"/>
  <c r="K40" i="5"/>
  <c r="H40" i="5"/>
  <c r="AP38" i="5"/>
  <c r="AO38" i="5"/>
  <c r="AN38" i="5"/>
  <c r="AK38" i="5"/>
  <c r="AI38" i="5"/>
  <c r="AP37" i="5"/>
  <c r="AO37" i="5"/>
  <c r="AN37" i="5"/>
  <c r="AK37" i="5"/>
  <c r="AI37" i="5"/>
  <c r="AP36" i="5"/>
  <c r="AO36" i="5"/>
  <c r="AN36" i="5"/>
  <c r="AK36" i="5"/>
  <c r="AI36" i="5"/>
  <c r="P35" i="5"/>
  <c r="J35" i="5"/>
  <c r="Q35" i="5" s="1"/>
  <c r="I35" i="5"/>
  <c r="H35" i="5"/>
  <c r="O35" i="5" s="1"/>
  <c r="G35" i="5"/>
  <c r="N35" i="5" s="1"/>
  <c r="J34" i="5"/>
  <c r="Q34" i="5" s="1"/>
  <c r="I34" i="5"/>
  <c r="G34" i="5"/>
  <c r="N34" i="5" s="1"/>
  <c r="S33" i="5"/>
  <c r="Q33" i="5"/>
  <c r="R33" i="5" s="1"/>
  <c r="T33" i="5" s="1"/>
  <c r="P33" i="5"/>
  <c r="O33" i="5"/>
  <c r="N33" i="5"/>
  <c r="K33" i="5"/>
  <c r="M33" i="5" s="1"/>
  <c r="H33" i="5"/>
  <c r="T32" i="5"/>
  <c r="S32" i="5"/>
  <c r="R32" i="5"/>
  <c r="Q32" i="5"/>
  <c r="N32" i="5"/>
  <c r="I32" i="5"/>
  <c r="P32" i="5" s="1"/>
  <c r="H32" i="5"/>
  <c r="O32" i="5" s="1"/>
  <c r="G32" i="5"/>
  <c r="T31" i="5"/>
  <c r="S31" i="5"/>
  <c r="R31" i="5"/>
  <c r="Q31" i="5"/>
  <c r="P31" i="5"/>
  <c r="I31" i="5"/>
  <c r="G31" i="5"/>
  <c r="AL30" i="5"/>
  <c r="AL38" i="5" s="1"/>
  <c r="AJ30" i="5"/>
  <c r="S30" i="5"/>
  <c r="L30" i="5"/>
  <c r="I30" i="5"/>
  <c r="H30" i="5" s="1"/>
  <c r="G30" i="5"/>
  <c r="N30" i="5" s="1"/>
  <c r="AM29" i="5"/>
  <c r="AJ29" i="5"/>
  <c r="S29" i="5"/>
  <c r="L29" i="5"/>
  <c r="J29" i="5"/>
  <c r="Q29" i="5" s="1"/>
  <c r="I29" i="5"/>
  <c r="P29" i="5" s="1"/>
  <c r="G29" i="5"/>
  <c r="AM28" i="5"/>
  <c r="AJ28" i="5"/>
  <c r="AJ37" i="5" s="1"/>
  <c r="S28" i="5"/>
  <c r="L28" i="5"/>
  <c r="K28" i="5"/>
  <c r="M28" i="5" s="1"/>
  <c r="J28" i="5"/>
  <c r="Q28" i="5" s="1"/>
  <c r="I28" i="5"/>
  <c r="G28" i="5"/>
  <c r="N28" i="5" s="1"/>
  <c r="AP27" i="5"/>
  <c r="AO27" i="5"/>
  <c r="AN27" i="5"/>
  <c r="AK27" i="5"/>
  <c r="AI27" i="5"/>
  <c r="AP26" i="5"/>
  <c r="AO26" i="5"/>
  <c r="AN26" i="5"/>
  <c r="AK26" i="5"/>
  <c r="AI26" i="5"/>
  <c r="AP25" i="5"/>
  <c r="AO25" i="5"/>
  <c r="AN25" i="5"/>
  <c r="AK25" i="5"/>
  <c r="AI25" i="5"/>
  <c r="L25" i="5"/>
  <c r="AL24" i="5"/>
  <c r="AM24" i="5" s="1"/>
  <c r="AJ24" i="5"/>
  <c r="L24" i="5"/>
  <c r="I24" i="5"/>
  <c r="P24" i="5" s="1"/>
  <c r="G24" i="5"/>
  <c r="H24" i="5" s="1"/>
  <c r="O24" i="5" s="1"/>
  <c r="AM23" i="5"/>
  <c r="AL23" i="5"/>
  <c r="AJ23" i="5"/>
  <c r="L23" i="5"/>
  <c r="S23" i="5" s="1"/>
  <c r="I23" i="5"/>
  <c r="G23" i="5"/>
  <c r="H23" i="5" s="1"/>
  <c r="O23" i="5" s="1"/>
  <c r="AL22" i="5"/>
  <c r="AJ22" i="5"/>
  <c r="T22" i="5"/>
  <c r="L22" i="5"/>
  <c r="I22" i="5"/>
  <c r="G22" i="5"/>
  <c r="N22" i="5" s="1"/>
  <c r="AM21" i="5"/>
  <c r="AJ21" i="5"/>
  <c r="S21" i="5"/>
  <c r="P21" i="5"/>
  <c r="L21" i="5"/>
  <c r="J21" i="5"/>
  <c r="Q21" i="5" s="1"/>
  <c r="I21" i="5"/>
  <c r="G21" i="5"/>
  <c r="H21" i="5" s="1"/>
  <c r="AM20" i="5"/>
  <c r="AJ20" i="5"/>
  <c r="Q20" i="5"/>
  <c r="R20" i="5" s="1"/>
  <c r="L20" i="5"/>
  <c r="S20" i="5" s="1"/>
  <c r="K20" i="5"/>
  <c r="J20" i="5"/>
  <c r="I20" i="5"/>
  <c r="G20" i="5"/>
  <c r="H20" i="5" s="1"/>
  <c r="AM19" i="5"/>
  <c r="AJ19" i="5"/>
  <c r="S19" i="5"/>
  <c r="Q19" i="5"/>
  <c r="P19" i="5"/>
  <c r="N19" i="5"/>
  <c r="K19" i="5"/>
  <c r="M19" i="5" s="1"/>
  <c r="H19" i="5"/>
  <c r="AP18" i="5"/>
  <c r="AO18" i="5"/>
  <c r="AN18" i="5"/>
  <c r="AK18" i="5"/>
  <c r="AP17" i="5"/>
  <c r="AO17" i="5"/>
  <c r="AN17" i="5"/>
  <c r="AK17" i="5"/>
  <c r="AP16" i="5"/>
  <c r="AO16" i="5"/>
  <c r="AN16" i="5"/>
  <c r="AK16" i="5"/>
  <c r="G16" i="5"/>
  <c r="AM15" i="5"/>
  <c r="AL15" i="5"/>
  <c r="AJ15" i="5"/>
  <c r="P15" i="5"/>
  <c r="L15" i="5"/>
  <c r="S15" i="5" s="1"/>
  <c r="I15" i="5"/>
  <c r="H15" i="5"/>
  <c r="O15" i="5" s="1"/>
  <c r="G15" i="5"/>
  <c r="AM14" i="5"/>
  <c r="AL14" i="5"/>
  <c r="AJ14" i="5"/>
  <c r="L14" i="5"/>
  <c r="S14" i="5" s="1"/>
  <c r="I14" i="5"/>
  <c r="H14" i="5" s="1"/>
  <c r="O14" i="5" s="1"/>
  <c r="G14" i="5"/>
  <c r="AL13" i="5"/>
  <c r="AL18" i="5" s="1"/>
  <c r="AI13" i="5"/>
  <c r="AI16" i="5" s="1"/>
  <c r="T13" i="5"/>
  <c r="N13" i="5"/>
  <c r="L13" i="5"/>
  <c r="S13" i="5" s="1"/>
  <c r="I13" i="5"/>
  <c r="G13" i="5"/>
  <c r="AM12" i="5"/>
  <c r="S12" i="5"/>
  <c r="T12" i="5" s="1"/>
  <c r="R12" i="5"/>
  <c r="Q12" i="5"/>
  <c r="N12" i="5"/>
  <c r="L12" i="5"/>
  <c r="M12" i="5" s="1"/>
  <c r="J12" i="5"/>
  <c r="I12" i="5"/>
  <c r="P12" i="5" s="1"/>
  <c r="H12" i="5"/>
  <c r="O12" i="5" s="1"/>
  <c r="AM11" i="5"/>
  <c r="AJ11" i="5"/>
  <c r="S11" i="5"/>
  <c r="Q11" i="5"/>
  <c r="P11" i="5"/>
  <c r="N11" i="5"/>
  <c r="O11" i="5" s="1"/>
  <c r="K11" i="5"/>
  <c r="M11" i="5" s="1"/>
  <c r="H11" i="5"/>
  <c r="AP10" i="5"/>
  <c r="AO10" i="5"/>
  <c r="AP9" i="5"/>
  <c r="AO9" i="5"/>
  <c r="AP8" i="5"/>
  <c r="AO8" i="5"/>
  <c r="AI8" i="5"/>
  <c r="AL7" i="5"/>
  <c r="AM7" i="5" s="1"/>
  <c r="AJ7" i="5"/>
  <c r="P7" i="5"/>
  <c r="L7" i="5"/>
  <c r="S7" i="5" s="1"/>
  <c r="I7" i="5"/>
  <c r="J7" i="5" s="1"/>
  <c r="G7" i="5"/>
  <c r="H7" i="5" s="1"/>
  <c r="O7" i="5" s="1"/>
  <c r="AL6" i="5"/>
  <c r="AM6" i="5" s="1"/>
  <c r="AJ6" i="5"/>
  <c r="L6" i="5"/>
  <c r="S6" i="5" s="1"/>
  <c r="I6" i="5"/>
  <c r="G6" i="5"/>
  <c r="H6" i="5" s="1"/>
  <c r="O6" i="5" s="1"/>
  <c r="AL5" i="5"/>
  <c r="AM5" i="5" s="1"/>
  <c r="AI5" i="5"/>
  <c r="AJ5" i="5" s="1"/>
  <c r="T5" i="5"/>
  <c r="L5" i="5"/>
  <c r="I5" i="5"/>
  <c r="P5" i="5" s="1"/>
  <c r="G5" i="5"/>
  <c r="N5" i="5" s="1"/>
  <c r="AN4" i="5"/>
  <c r="AN8" i="5" s="1"/>
  <c r="AL4" i="5"/>
  <c r="AL10" i="5" s="1"/>
  <c r="AK4" i="5"/>
  <c r="AK10" i="5" s="1"/>
  <c r="AI4" i="5"/>
  <c r="AI9" i="5" s="1"/>
  <c r="Q4" i="5"/>
  <c r="P4" i="5"/>
  <c r="O4" i="5" s="1"/>
  <c r="L4" i="5"/>
  <c r="L8" i="5" s="1"/>
  <c r="G4" i="5"/>
  <c r="AM3" i="5"/>
  <c r="AJ3" i="5"/>
  <c r="S3" i="5"/>
  <c r="R3" i="5"/>
  <c r="T3" i="5" s="1"/>
  <c r="Q3" i="5"/>
  <c r="P3" i="5"/>
  <c r="N3" i="5"/>
  <c r="O3" i="5" s="1"/>
  <c r="K3" i="5"/>
  <c r="H3" i="5"/>
  <c r="AH41" i="4"/>
  <c r="AG41" i="4"/>
  <c r="AF41" i="4"/>
  <c r="AE41" i="4"/>
  <c r="AD41" i="4"/>
  <c r="AC41" i="4"/>
  <c r="AB41" i="4"/>
  <c r="M41" i="4"/>
  <c r="L41" i="4"/>
  <c r="J41" i="4"/>
  <c r="AH40" i="4"/>
  <c r="AG40" i="4"/>
  <c r="AF40" i="4"/>
  <c r="AE40" i="4"/>
  <c r="AD40" i="4"/>
  <c r="AC40" i="4"/>
  <c r="AB40" i="4"/>
  <c r="P40" i="4"/>
  <c r="M40" i="4"/>
  <c r="L40" i="4"/>
  <c r="J40" i="4"/>
  <c r="H40" i="4"/>
  <c r="AH39" i="4"/>
  <c r="AG39" i="4"/>
  <c r="AF39" i="4"/>
  <c r="AE39" i="4"/>
  <c r="AD39" i="4"/>
  <c r="AC39" i="4"/>
  <c r="AB39" i="4"/>
  <c r="U39" i="4"/>
  <c r="P39" i="4"/>
  <c r="M39" i="4"/>
  <c r="L39" i="4"/>
  <c r="J39" i="4"/>
  <c r="H39" i="4"/>
  <c r="G38" i="4"/>
  <c r="N38" i="4" s="1"/>
  <c r="T37" i="4"/>
  <c r="S37" i="4"/>
  <c r="R37" i="4"/>
  <c r="Q37" i="4"/>
  <c r="P37" i="4"/>
  <c r="N37" i="4"/>
  <c r="I37" i="4"/>
  <c r="H37" i="4"/>
  <c r="H41" i="4" s="1"/>
  <c r="G37" i="4"/>
  <c r="U36" i="4"/>
  <c r="G36" i="4"/>
  <c r="N36" i="4" s="1"/>
  <c r="U35" i="4"/>
  <c r="G35" i="4"/>
  <c r="N35" i="4" s="1"/>
  <c r="U34" i="4"/>
  <c r="U40" i="4" s="1"/>
  <c r="G34" i="4"/>
  <c r="AF33" i="4"/>
  <c r="S33" i="4"/>
  <c r="S39" i="4" s="1"/>
  <c r="Q33" i="4"/>
  <c r="Q41" i="4" s="1"/>
  <c r="P33" i="4"/>
  <c r="P41" i="4" s="1"/>
  <c r="O33" i="4"/>
  <c r="N33" i="4"/>
  <c r="K33" i="4"/>
  <c r="K39" i="4" s="1"/>
  <c r="AH31" i="4"/>
  <c r="AG31" i="4"/>
  <c r="AF31" i="4"/>
  <c r="AE31" i="4"/>
  <c r="AD31" i="4"/>
  <c r="AC31" i="4"/>
  <c r="AB31" i="4"/>
  <c r="M31" i="4"/>
  <c r="L31" i="4"/>
  <c r="J31" i="4"/>
  <c r="AH30" i="4"/>
  <c r="AG30" i="4"/>
  <c r="AF30" i="4"/>
  <c r="AE30" i="4"/>
  <c r="AD30" i="4"/>
  <c r="AC30" i="4"/>
  <c r="AB30" i="4"/>
  <c r="M30" i="4"/>
  <c r="L30" i="4"/>
  <c r="J30" i="4"/>
  <c r="H30" i="4"/>
  <c r="G30" i="4"/>
  <c r="AH29" i="4"/>
  <c r="AG29" i="4"/>
  <c r="AF29" i="4"/>
  <c r="AE29" i="4"/>
  <c r="AD29" i="4"/>
  <c r="AC29" i="4"/>
  <c r="AB29" i="4"/>
  <c r="U29" i="4"/>
  <c r="M29" i="4"/>
  <c r="L29" i="4"/>
  <c r="J29" i="4"/>
  <c r="H29" i="4"/>
  <c r="G28" i="4"/>
  <c r="N28" i="4" s="1"/>
  <c r="T27" i="4"/>
  <c r="S27" i="4"/>
  <c r="R27" i="4"/>
  <c r="Q27" i="4"/>
  <c r="N27" i="4"/>
  <c r="I27" i="4"/>
  <c r="H27" i="4"/>
  <c r="H31" i="4" s="1"/>
  <c r="G27" i="4"/>
  <c r="U26" i="4"/>
  <c r="G26" i="4"/>
  <c r="N26" i="4" s="1"/>
  <c r="U25" i="4"/>
  <c r="N25" i="4"/>
  <c r="G25" i="4"/>
  <c r="U24" i="4"/>
  <c r="U30" i="4" s="1"/>
  <c r="G24" i="4"/>
  <c r="AF23" i="4"/>
  <c r="S23" i="4"/>
  <c r="S29" i="4" s="1"/>
  <c r="Q23" i="4"/>
  <c r="P23" i="4"/>
  <c r="O23" i="4"/>
  <c r="N23" i="4"/>
  <c r="K23" i="4"/>
  <c r="K29" i="4" s="1"/>
  <c r="AH21" i="4"/>
  <c r="AG21" i="4"/>
  <c r="AF21" i="4"/>
  <c r="AE21" i="4"/>
  <c r="AD21" i="4"/>
  <c r="AC21" i="4"/>
  <c r="AB21" i="4"/>
  <c r="M21" i="4"/>
  <c r="L21" i="4"/>
  <c r="J21" i="4"/>
  <c r="I21" i="4"/>
  <c r="AH20" i="4"/>
  <c r="AG20" i="4"/>
  <c r="AF20" i="4"/>
  <c r="AE20" i="4"/>
  <c r="AD20" i="4"/>
  <c r="AC20" i="4"/>
  <c r="AB20" i="4"/>
  <c r="M20" i="4"/>
  <c r="L20" i="4"/>
  <c r="J20" i="4"/>
  <c r="H20" i="4"/>
  <c r="AH19" i="4"/>
  <c r="AG19" i="4"/>
  <c r="AF19" i="4"/>
  <c r="AE19" i="4"/>
  <c r="AD19" i="4"/>
  <c r="AC19" i="4"/>
  <c r="AB19" i="4"/>
  <c r="U19" i="4"/>
  <c r="M19" i="4"/>
  <c r="L19" i="4"/>
  <c r="J19" i="4"/>
  <c r="H19" i="4"/>
  <c r="N18" i="4"/>
  <c r="G18" i="4"/>
  <c r="T17" i="4"/>
  <c r="S17" i="4"/>
  <c r="R17" i="4"/>
  <c r="Q17" i="4"/>
  <c r="N17" i="4"/>
  <c r="I17" i="4"/>
  <c r="H17" i="4"/>
  <c r="H21" i="4" s="1"/>
  <c r="G17" i="4"/>
  <c r="U16" i="4"/>
  <c r="G16" i="4"/>
  <c r="N16" i="4" s="1"/>
  <c r="U15" i="4"/>
  <c r="G15" i="4"/>
  <c r="U14" i="4"/>
  <c r="U20" i="4" s="1"/>
  <c r="G14" i="4"/>
  <c r="AF13" i="4"/>
  <c r="S13" i="4"/>
  <c r="S19" i="4" s="1"/>
  <c r="Q13" i="4"/>
  <c r="P13" i="4"/>
  <c r="O13" i="4"/>
  <c r="N13" i="4"/>
  <c r="K13" i="4"/>
  <c r="K19" i="4" s="1"/>
  <c r="AH11" i="4"/>
  <c r="AG11" i="4"/>
  <c r="AF11" i="4"/>
  <c r="AE11" i="4"/>
  <c r="AD11" i="4"/>
  <c r="AC11" i="4"/>
  <c r="AB11" i="4"/>
  <c r="M11" i="4"/>
  <c r="L11" i="4"/>
  <c r="J11" i="4"/>
  <c r="AH10" i="4"/>
  <c r="AG10" i="4"/>
  <c r="AF10" i="4"/>
  <c r="AE10" i="4"/>
  <c r="AD10" i="4"/>
  <c r="AC10" i="4"/>
  <c r="AB10" i="4"/>
  <c r="M10" i="4"/>
  <c r="L10" i="4"/>
  <c r="J10" i="4"/>
  <c r="H10" i="4"/>
  <c r="AH9" i="4"/>
  <c r="AG9" i="4"/>
  <c r="AF9" i="4"/>
  <c r="AE9" i="4"/>
  <c r="AD9" i="4"/>
  <c r="AC9" i="4"/>
  <c r="AB9" i="4"/>
  <c r="M9" i="4"/>
  <c r="L9" i="4"/>
  <c r="J9" i="4"/>
  <c r="H9" i="4"/>
  <c r="G8" i="4"/>
  <c r="N8" i="4" s="1"/>
  <c r="T7" i="4"/>
  <c r="S7" i="4"/>
  <c r="R7" i="4"/>
  <c r="Q7" i="4"/>
  <c r="P7" i="4"/>
  <c r="N7" i="4"/>
  <c r="I7" i="4"/>
  <c r="H7" i="4"/>
  <c r="H11" i="4" s="1"/>
  <c r="G7" i="4"/>
  <c r="U6" i="4"/>
  <c r="U9" i="4" s="1"/>
  <c r="G6" i="4"/>
  <c r="N6" i="4" s="1"/>
  <c r="U5" i="4"/>
  <c r="G5" i="4"/>
  <c r="N5" i="4" s="1"/>
  <c r="U4" i="4"/>
  <c r="G4" i="4"/>
  <c r="AF3" i="4"/>
  <c r="S3" i="4"/>
  <c r="S9" i="4" s="1"/>
  <c r="R3" i="4"/>
  <c r="Q3" i="4"/>
  <c r="P3" i="4"/>
  <c r="P11" i="4" s="1"/>
  <c r="O3" i="4"/>
  <c r="N3" i="4"/>
  <c r="K3" i="4"/>
  <c r="K9" i="4" s="1"/>
  <c r="AO223" i="3"/>
  <c r="S223" i="3"/>
  <c r="R223" i="3"/>
  <c r="Q223" i="3"/>
  <c r="P223" i="3"/>
  <c r="O223" i="3"/>
  <c r="N223" i="3"/>
  <c r="M223" i="3"/>
  <c r="Z219" i="3"/>
  <c r="W219" i="3"/>
  <c r="X219" i="3" s="1"/>
  <c r="Y219" i="3" s="1"/>
  <c r="AA219" i="3" s="1"/>
  <c r="U219" i="3"/>
  <c r="V219" i="3" s="1"/>
  <c r="L219" i="3"/>
  <c r="S219" i="3" s="1"/>
  <c r="I219" i="3"/>
  <c r="P219" i="3" s="1"/>
  <c r="G219" i="3"/>
  <c r="Z218" i="3"/>
  <c r="W218" i="3"/>
  <c r="U218" i="3"/>
  <c r="L218" i="3"/>
  <c r="S218" i="3" s="1"/>
  <c r="I218" i="3"/>
  <c r="G218" i="3"/>
  <c r="H218" i="3" s="1"/>
  <c r="O218" i="3" s="1"/>
  <c r="Z217" i="3"/>
  <c r="X217" i="3" s="1"/>
  <c r="Y217" i="3" s="1"/>
  <c r="AA217" i="3" s="1"/>
  <c r="W217" i="3"/>
  <c r="U217" i="3"/>
  <c r="V217" i="3" s="1"/>
  <c r="L217" i="3"/>
  <c r="I217" i="3"/>
  <c r="G217" i="3"/>
  <c r="N217" i="3" s="1"/>
  <c r="Z216" i="3"/>
  <c r="W216" i="3"/>
  <c r="U216" i="3"/>
  <c r="S216" i="3"/>
  <c r="Q216" i="3"/>
  <c r="L216" i="3"/>
  <c r="I216" i="3"/>
  <c r="J216" i="3" s="1"/>
  <c r="K216" i="3" s="1"/>
  <c r="R216" i="3" s="1"/>
  <c r="G216" i="3"/>
  <c r="Z215" i="3"/>
  <c r="W215" i="3"/>
  <c r="X215" i="3" s="1"/>
  <c r="Y215" i="3" s="1"/>
  <c r="AA215" i="3" s="1"/>
  <c r="U215" i="3"/>
  <c r="L215" i="3"/>
  <c r="S215" i="3" s="1"/>
  <c r="I215" i="3"/>
  <c r="P215" i="3" s="1"/>
  <c r="G215" i="3"/>
  <c r="H215" i="3" s="1"/>
  <c r="O215" i="3" s="1"/>
  <c r="Z214" i="3"/>
  <c r="W214" i="3"/>
  <c r="U214" i="3"/>
  <c r="S214" i="3"/>
  <c r="P214" i="3"/>
  <c r="L214" i="3"/>
  <c r="I214" i="3"/>
  <c r="J214" i="3" s="1"/>
  <c r="G214" i="3"/>
  <c r="N214" i="3" s="1"/>
  <c r="N210" i="3"/>
  <c r="Z209" i="3"/>
  <c r="W209" i="3"/>
  <c r="U209" i="3"/>
  <c r="V209" i="3" s="1"/>
  <c r="L209" i="3"/>
  <c r="S209" i="3" s="1"/>
  <c r="I209" i="3"/>
  <c r="G209" i="3"/>
  <c r="N209" i="3" s="1"/>
  <c r="Z208" i="3"/>
  <c r="W208" i="3"/>
  <c r="V208" i="3" s="1"/>
  <c r="U208" i="3"/>
  <c r="L208" i="3"/>
  <c r="S208" i="3" s="1"/>
  <c r="I208" i="3"/>
  <c r="P208" i="3" s="1"/>
  <c r="G208" i="3"/>
  <c r="Z207" i="3"/>
  <c r="W207" i="3"/>
  <c r="U207" i="3"/>
  <c r="L207" i="3"/>
  <c r="I207" i="3"/>
  <c r="P207" i="3" s="1"/>
  <c r="G207" i="3"/>
  <c r="Z206" i="3"/>
  <c r="W206" i="3"/>
  <c r="X206" i="3" s="1"/>
  <c r="Y206" i="3" s="1"/>
  <c r="AA206" i="3" s="1"/>
  <c r="U206" i="3"/>
  <c r="L206" i="3"/>
  <c r="S206" i="3" s="1"/>
  <c r="I206" i="3"/>
  <c r="G206" i="3"/>
  <c r="N206" i="3" s="1"/>
  <c r="Z205" i="3"/>
  <c r="W205" i="3"/>
  <c r="X205" i="3" s="1"/>
  <c r="Y205" i="3" s="1"/>
  <c r="AA205" i="3" s="1"/>
  <c r="U205" i="3"/>
  <c r="V205" i="3" s="1"/>
  <c r="L205" i="3"/>
  <c r="S205" i="3" s="1"/>
  <c r="I205" i="3"/>
  <c r="G205" i="3"/>
  <c r="N205" i="3" s="1"/>
  <c r="Z204" i="3"/>
  <c r="W204" i="3"/>
  <c r="U204" i="3"/>
  <c r="N204" i="3"/>
  <c r="L204" i="3"/>
  <c r="S204" i="3" s="1"/>
  <c r="I204" i="3"/>
  <c r="P204" i="3" s="1"/>
  <c r="G204" i="3"/>
  <c r="Z200" i="3"/>
  <c r="W200" i="3"/>
  <c r="X200" i="3" s="1"/>
  <c r="Y200" i="3" s="1"/>
  <c r="AA200" i="3" s="1"/>
  <c r="U200" i="3"/>
  <c r="L200" i="3"/>
  <c r="S200" i="3" s="1"/>
  <c r="I200" i="3"/>
  <c r="P200" i="3" s="1"/>
  <c r="G200" i="3"/>
  <c r="Z199" i="3"/>
  <c r="W199" i="3"/>
  <c r="U199" i="3"/>
  <c r="L199" i="3"/>
  <c r="S199" i="3" s="1"/>
  <c r="I199" i="3"/>
  <c r="G199" i="3"/>
  <c r="H199" i="3" s="1"/>
  <c r="O199" i="3" s="1"/>
  <c r="Z198" i="3"/>
  <c r="W198" i="3"/>
  <c r="X198" i="3" s="1"/>
  <c r="Y198" i="3" s="1"/>
  <c r="AA198" i="3" s="1"/>
  <c r="U198" i="3"/>
  <c r="L198" i="3"/>
  <c r="S198" i="3" s="1"/>
  <c r="I198" i="3"/>
  <c r="G198" i="3"/>
  <c r="N198" i="3" s="1"/>
  <c r="Z197" i="3"/>
  <c r="W197" i="3"/>
  <c r="X197" i="3" s="1"/>
  <c r="Y197" i="3" s="1"/>
  <c r="AA197" i="3" s="1"/>
  <c r="U197" i="3"/>
  <c r="N197" i="3"/>
  <c r="L197" i="3"/>
  <c r="S197" i="3" s="1"/>
  <c r="I197" i="3"/>
  <c r="G197" i="3"/>
  <c r="H197" i="3" s="1"/>
  <c r="O197" i="3" s="1"/>
  <c r="Z196" i="3"/>
  <c r="Z201" i="3" s="1"/>
  <c r="W196" i="3"/>
  <c r="U196" i="3"/>
  <c r="V196" i="3" s="1"/>
  <c r="S196" i="3"/>
  <c r="L196" i="3"/>
  <c r="I196" i="3"/>
  <c r="P196" i="3" s="1"/>
  <c r="G196" i="3"/>
  <c r="Z195" i="3"/>
  <c r="W195" i="3"/>
  <c r="W203" i="3" s="1"/>
  <c r="U195" i="3"/>
  <c r="L195" i="3"/>
  <c r="I195" i="3"/>
  <c r="P195" i="3" s="1"/>
  <c r="G195" i="3"/>
  <c r="G194" i="3"/>
  <c r="N190" i="3"/>
  <c r="Z189" i="3"/>
  <c r="W189" i="3"/>
  <c r="U189" i="3"/>
  <c r="V189" i="3" s="1"/>
  <c r="L189" i="3"/>
  <c r="S189" i="3" s="1"/>
  <c r="I189" i="3"/>
  <c r="G189" i="3"/>
  <c r="Z188" i="3"/>
  <c r="W188" i="3"/>
  <c r="U188" i="3"/>
  <c r="V188" i="3" s="1"/>
  <c r="P188" i="3"/>
  <c r="L188" i="3"/>
  <c r="I188" i="3"/>
  <c r="G188" i="3"/>
  <c r="H188" i="3" s="1"/>
  <c r="O188" i="3" s="1"/>
  <c r="Z187" i="3"/>
  <c r="W187" i="3"/>
  <c r="U187" i="3"/>
  <c r="L187" i="3"/>
  <c r="S187" i="3" s="1"/>
  <c r="I187" i="3"/>
  <c r="G187" i="3"/>
  <c r="N187" i="3" s="1"/>
  <c r="Z186" i="3"/>
  <c r="W186" i="3"/>
  <c r="X186" i="3" s="1"/>
  <c r="Y186" i="3" s="1"/>
  <c r="AA186" i="3" s="1"/>
  <c r="U186" i="3"/>
  <c r="V186" i="3" s="1"/>
  <c r="P186" i="3"/>
  <c r="L186" i="3"/>
  <c r="I186" i="3"/>
  <c r="G186" i="3"/>
  <c r="H186" i="3" s="1"/>
  <c r="O186" i="3" s="1"/>
  <c r="Z185" i="3"/>
  <c r="W185" i="3"/>
  <c r="U185" i="3"/>
  <c r="V185" i="3" s="1"/>
  <c r="L185" i="3"/>
  <c r="S185" i="3" s="1"/>
  <c r="I185" i="3"/>
  <c r="J185" i="3" s="1"/>
  <c r="Q185" i="3" s="1"/>
  <c r="G185" i="3"/>
  <c r="H185" i="3" s="1"/>
  <c r="O185" i="3" s="1"/>
  <c r="Z184" i="3"/>
  <c r="W184" i="3"/>
  <c r="U184" i="3"/>
  <c r="U193" i="3" s="1"/>
  <c r="L184" i="3"/>
  <c r="S184" i="3" s="1"/>
  <c r="I184" i="3"/>
  <c r="G184" i="3"/>
  <c r="N180" i="3"/>
  <c r="Z179" i="3"/>
  <c r="W179" i="3"/>
  <c r="U179" i="3"/>
  <c r="S179" i="3"/>
  <c r="L179" i="3"/>
  <c r="I179" i="3"/>
  <c r="P179" i="3" s="1"/>
  <c r="G179" i="3"/>
  <c r="Z178" i="3"/>
  <c r="W178" i="3"/>
  <c r="U178" i="3"/>
  <c r="L178" i="3"/>
  <c r="S178" i="3" s="1"/>
  <c r="I178" i="3"/>
  <c r="P178" i="3" s="1"/>
  <c r="G178" i="3"/>
  <c r="H178" i="3" s="1"/>
  <c r="O178" i="3" s="1"/>
  <c r="Z177" i="3"/>
  <c r="W177" i="3"/>
  <c r="U177" i="3"/>
  <c r="L177" i="3"/>
  <c r="S177" i="3" s="1"/>
  <c r="I177" i="3"/>
  <c r="G177" i="3"/>
  <c r="N177" i="3" s="1"/>
  <c r="Z176" i="3"/>
  <c r="W176" i="3"/>
  <c r="V176" i="3"/>
  <c r="U176" i="3"/>
  <c r="L176" i="3"/>
  <c r="S176" i="3" s="1"/>
  <c r="I176" i="3"/>
  <c r="J176" i="3" s="1"/>
  <c r="G176" i="3"/>
  <c r="N176" i="3" s="1"/>
  <c r="Z175" i="3"/>
  <c r="W175" i="3"/>
  <c r="U175" i="3"/>
  <c r="S175" i="3"/>
  <c r="L175" i="3"/>
  <c r="I175" i="3"/>
  <c r="G175" i="3"/>
  <c r="H175" i="3" s="1"/>
  <c r="O175" i="3" s="1"/>
  <c r="Z174" i="3"/>
  <c r="W174" i="3"/>
  <c r="X174" i="3" s="1"/>
  <c r="U174" i="3"/>
  <c r="L174" i="3"/>
  <c r="L183" i="3" s="1"/>
  <c r="I174" i="3"/>
  <c r="P174" i="3" s="1"/>
  <c r="G174" i="3"/>
  <c r="N170" i="3"/>
  <c r="Z169" i="3"/>
  <c r="W169" i="3"/>
  <c r="U169" i="3"/>
  <c r="V169" i="3" s="1"/>
  <c r="N169" i="3"/>
  <c r="L169" i="3"/>
  <c r="S169" i="3" s="1"/>
  <c r="I169" i="3"/>
  <c r="P169" i="3" s="1"/>
  <c r="G169" i="3"/>
  <c r="Z168" i="3"/>
  <c r="W168" i="3"/>
  <c r="U168" i="3"/>
  <c r="V168" i="3" s="1"/>
  <c r="L168" i="3"/>
  <c r="S168" i="3" s="1"/>
  <c r="I168" i="3"/>
  <c r="P168" i="3" s="1"/>
  <c r="G168" i="3"/>
  <c r="Z167" i="3"/>
  <c r="W167" i="3"/>
  <c r="X167" i="3" s="1"/>
  <c r="Y167" i="3" s="1"/>
  <c r="AA167" i="3" s="1"/>
  <c r="U167" i="3"/>
  <c r="L167" i="3"/>
  <c r="S167" i="3" s="1"/>
  <c r="I167" i="3"/>
  <c r="P167" i="3" s="1"/>
  <c r="G167" i="3"/>
  <c r="Z166" i="3"/>
  <c r="W166" i="3"/>
  <c r="X166" i="3" s="1"/>
  <c r="Y166" i="3" s="1"/>
  <c r="AA166" i="3" s="1"/>
  <c r="U166" i="3"/>
  <c r="L166" i="3"/>
  <c r="S166" i="3" s="1"/>
  <c r="I166" i="3"/>
  <c r="G166" i="3"/>
  <c r="N166" i="3" s="1"/>
  <c r="Z165" i="3"/>
  <c r="W165" i="3"/>
  <c r="X165" i="3" s="1"/>
  <c r="Y165" i="3" s="1"/>
  <c r="AA165" i="3" s="1"/>
  <c r="U165" i="3"/>
  <c r="V165" i="3" s="1"/>
  <c r="L165" i="3"/>
  <c r="S165" i="3" s="1"/>
  <c r="I165" i="3"/>
  <c r="G165" i="3"/>
  <c r="N165" i="3" s="1"/>
  <c r="Z164" i="3"/>
  <c r="W164" i="3"/>
  <c r="V164" i="3" s="1"/>
  <c r="U164" i="3"/>
  <c r="U171" i="3" s="1"/>
  <c r="S164" i="3"/>
  <c r="L164" i="3"/>
  <c r="I164" i="3"/>
  <c r="P164" i="3" s="1"/>
  <c r="G164" i="3"/>
  <c r="AO162" i="3"/>
  <c r="S162" i="3"/>
  <c r="R162" i="3"/>
  <c r="T162" i="3" s="1"/>
  <c r="Q162" i="3"/>
  <c r="P162" i="3"/>
  <c r="O162" i="3"/>
  <c r="N162" i="3"/>
  <c r="M162" i="3"/>
  <c r="Z158" i="3"/>
  <c r="W158" i="3"/>
  <c r="X158" i="3" s="1"/>
  <c r="Y158" i="3" s="1"/>
  <c r="AA158" i="3" s="1"/>
  <c r="U158" i="3"/>
  <c r="L158" i="3"/>
  <c r="S158" i="3" s="1"/>
  <c r="I158" i="3"/>
  <c r="H158" i="3"/>
  <c r="O158" i="3" s="1"/>
  <c r="G158" i="3"/>
  <c r="N158" i="3" s="1"/>
  <c r="Z157" i="3"/>
  <c r="W157" i="3"/>
  <c r="X157" i="3" s="1"/>
  <c r="Y157" i="3" s="1"/>
  <c r="AA157" i="3" s="1"/>
  <c r="U157" i="3"/>
  <c r="V157" i="3" s="1"/>
  <c r="N157" i="3"/>
  <c r="L157" i="3"/>
  <c r="S157" i="3" s="1"/>
  <c r="I157" i="3"/>
  <c r="P157" i="3" s="1"/>
  <c r="G157" i="3"/>
  <c r="H157" i="3" s="1"/>
  <c r="O157" i="3" s="1"/>
  <c r="Z156" i="3"/>
  <c r="Z160" i="3" s="1"/>
  <c r="W156" i="3"/>
  <c r="U156" i="3"/>
  <c r="S156" i="3"/>
  <c r="S159" i="3" s="1"/>
  <c r="L156" i="3"/>
  <c r="I156" i="3"/>
  <c r="G156" i="3"/>
  <c r="N152" i="3"/>
  <c r="Z151" i="3"/>
  <c r="W151" i="3"/>
  <c r="X151" i="3" s="1"/>
  <c r="Y151" i="3" s="1"/>
  <c r="AA151" i="3" s="1"/>
  <c r="U151" i="3"/>
  <c r="V151" i="3" s="1"/>
  <c r="L151" i="3"/>
  <c r="S151" i="3" s="1"/>
  <c r="I151" i="3"/>
  <c r="P151" i="3" s="1"/>
  <c r="G151" i="3"/>
  <c r="Z150" i="3"/>
  <c r="W150" i="3"/>
  <c r="X150" i="3" s="1"/>
  <c r="Y150" i="3" s="1"/>
  <c r="AA150" i="3" s="1"/>
  <c r="U150" i="3"/>
  <c r="L150" i="3"/>
  <c r="S150" i="3" s="1"/>
  <c r="I150" i="3"/>
  <c r="P150" i="3" s="1"/>
  <c r="G150" i="3"/>
  <c r="Z149" i="3"/>
  <c r="X149" i="3"/>
  <c r="W149" i="3"/>
  <c r="U149" i="3"/>
  <c r="U154" i="3" s="1"/>
  <c r="P149" i="3"/>
  <c r="L149" i="3"/>
  <c r="I149" i="3"/>
  <c r="I153" i="3" s="1"/>
  <c r="G149" i="3"/>
  <c r="N149" i="3" s="1"/>
  <c r="Z145" i="3"/>
  <c r="W145" i="3"/>
  <c r="U145" i="3"/>
  <c r="L145" i="3"/>
  <c r="S145" i="3" s="1"/>
  <c r="I145" i="3"/>
  <c r="P145" i="3" s="1"/>
  <c r="G145" i="3"/>
  <c r="Z144" i="3"/>
  <c r="W144" i="3"/>
  <c r="U144" i="3"/>
  <c r="V144" i="3" s="1"/>
  <c r="L144" i="3"/>
  <c r="S144" i="3" s="1"/>
  <c r="S146" i="3" s="1"/>
  <c r="I144" i="3"/>
  <c r="G144" i="3"/>
  <c r="Z143" i="3"/>
  <c r="W143" i="3"/>
  <c r="W147" i="3" s="1"/>
  <c r="U143" i="3"/>
  <c r="L143" i="3"/>
  <c r="S143" i="3" s="1"/>
  <c r="I143" i="3"/>
  <c r="P143" i="3" s="1"/>
  <c r="G143" i="3"/>
  <c r="G146" i="3" s="1"/>
  <c r="G142" i="3"/>
  <c r="N142" i="3" s="1"/>
  <c r="N138" i="3"/>
  <c r="Z137" i="3"/>
  <c r="W137" i="3"/>
  <c r="U137" i="3"/>
  <c r="L137" i="3"/>
  <c r="S137" i="3" s="1"/>
  <c r="J137" i="3"/>
  <c r="K137" i="3" s="1"/>
  <c r="I137" i="3"/>
  <c r="P137" i="3" s="1"/>
  <c r="G137" i="3"/>
  <c r="Z136" i="3"/>
  <c r="W136" i="3"/>
  <c r="X136" i="3" s="1"/>
  <c r="Y136" i="3" s="1"/>
  <c r="AA136" i="3" s="1"/>
  <c r="U136" i="3"/>
  <c r="L136" i="3"/>
  <c r="S136" i="3" s="1"/>
  <c r="I136" i="3"/>
  <c r="P136" i="3" s="1"/>
  <c r="G136" i="3"/>
  <c r="N136" i="3" s="1"/>
  <c r="Z135" i="3"/>
  <c r="W135" i="3"/>
  <c r="U135" i="3"/>
  <c r="L135" i="3"/>
  <c r="L141" i="3" s="1"/>
  <c r="I135" i="3"/>
  <c r="P135" i="3" s="1"/>
  <c r="G135" i="3"/>
  <c r="N131" i="3"/>
  <c r="Z130" i="3"/>
  <c r="W130" i="3"/>
  <c r="X130" i="3" s="1"/>
  <c r="Y130" i="3" s="1"/>
  <c r="AA130" i="3" s="1"/>
  <c r="U130" i="3"/>
  <c r="S130" i="3"/>
  <c r="L130" i="3"/>
  <c r="I130" i="3"/>
  <c r="G130" i="3"/>
  <c r="N130" i="3" s="1"/>
  <c r="Z129" i="3"/>
  <c r="W129" i="3"/>
  <c r="X129" i="3" s="1"/>
  <c r="Y129" i="3" s="1"/>
  <c r="AA129" i="3" s="1"/>
  <c r="U129" i="3"/>
  <c r="U132" i="3" s="1"/>
  <c r="L129" i="3"/>
  <c r="S129" i="3" s="1"/>
  <c r="I129" i="3"/>
  <c r="H129" i="3"/>
  <c r="O129" i="3" s="1"/>
  <c r="G129" i="3"/>
  <c r="N129" i="3" s="1"/>
  <c r="Z128" i="3"/>
  <c r="W128" i="3"/>
  <c r="V128" i="3"/>
  <c r="U128" i="3"/>
  <c r="L128" i="3"/>
  <c r="L132" i="3" s="1"/>
  <c r="I128" i="3"/>
  <c r="P128" i="3" s="1"/>
  <c r="G128" i="3"/>
  <c r="N124" i="3"/>
  <c r="Z123" i="3"/>
  <c r="W123" i="3"/>
  <c r="U123" i="3"/>
  <c r="V123" i="3" s="1"/>
  <c r="N123" i="3"/>
  <c r="L123" i="3"/>
  <c r="S123" i="3" s="1"/>
  <c r="I123" i="3"/>
  <c r="P123" i="3" s="1"/>
  <c r="G123" i="3"/>
  <c r="Z122" i="3"/>
  <c r="W122" i="3"/>
  <c r="U122" i="3"/>
  <c r="P122" i="3"/>
  <c r="L122" i="3"/>
  <c r="J122" i="3" s="1"/>
  <c r="I122" i="3"/>
  <c r="G122" i="3"/>
  <c r="N122" i="3" s="1"/>
  <c r="Z121" i="3"/>
  <c r="W121" i="3"/>
  <c r="U121" i="3"/>
  <c r="U127" i="3" s="1"/>
  <c r="L121" i="3"/>
  <c r="J121" i="3" s="1"/>
  <c r="I121" i="3"/>
  <c r="G121" i="3"/>
  <c r="AO119" i="3"/>
  <c r="S119" i="3"/>
  <c r="R119" i="3"/>
  <c r="Q119" i="3"/>
  <c r="P119" i="3"/>
  <c r="O119" i="3"/>
  <c r="N119" i="3"/>
  <c r="M119" i="3"/>
  <c r="AO118" i="3"/>
  <c r="AN118" i="3"/>
  <c r="AM118" i="3"/>
  <c r="AL118" i="3"/>
  <c r="AK118" i="3"/>
  <c r="AJ118" i="3"/>
  <c r="AI118" i="3"/>
  <c r="M118" i="3"/>
  <c r="K118" i="3"/>
  <c r="AO117" i="3"/>
  <c r="AN117" i="3"/>
  <c r="AM117" i="3"/>
  <c r="AL117" i="3"/>
  <c r="AK117" i="3"/>
  <c r="AJ117" i="3"/>
  <c r="AI117" i="3"/>
  <c r="M117" i="3"/>
  <c r="K117" i="3"/>
  <c r="AO116" i="3"/>
  <c r="AN116" i="3"/>
  <c r="AM116" i="3"/>
  <c r="AL116" i="3"/>
  <c r="AK116" i="3"/>
  <c r="AJ116" i="3"/>
  <c r="AI116" i="3"/>
  <c r="M116" i="3"/>
  <c r="K116" i="3"/>
  <c r="T114" i="3"/>
  <c r="S114" i="3"/>
  <c r="R114" i="3"/>
  <c r="Q114" i="3"/>
  <c r="P114" i="3"/>
  <c r="O114" i="3"/>
  <c r="N114" i="3"/>
  <c r="Z113" i="3"/>
  <c r="W113" i="3"/>
  <c r="X113" i="3" s="1"/>
  <c r="Y113" i="3" s="1"/>
  <c r="AA113" i="3" s="1"/>
  <c r="U113" i="3"/>
  <c r="T113" i="3"/>
  <c r="T116" i="3" s="1"/>
  <c r="R113" i="3"/>
  <c r="L113" i="3"/>
  <c r="S113" i="3" s="1"/>
  <c r="I113" i="3"/>
  <c r="P113" i="3" s="1"/>
  <c r="G113" i="3"/>
  <c r="N113" i="3" s="1"/>
  <c r="Z112" i="3"/>
  <c r="W112" i="3"/>
  <c r="V112" i="3"/>
  <c r="U112" i="3"/>
  <c r="T112" i="3"/>
  <c r="R112" i="3"/>
  <c r="N112" i="3"/>
  <c r="L112" i="3"/>
  <c r="S112" i="3" s="1"/>
  <c r="I112" i="3"/>
  <c r="I116" i="3" s="1"/>
  <c r="G112" i="3"/>
  <c r="Z111" i="3"/>
  <c r="Z116" i="3" s="1"/>
  <c r="W111" i="3"/>
  <c r="U111" i="3"/>
  <c r="U118" i="3" s="1"/>
  <c r="T111" i="3"/>
  <c r="R111" i="3"/>
  <c r="L111" i="3"/>
  <c r="S111" i="3" s="1"/>
  <c r="I111" i="3"/>
  <c r="G111" i="3"/>
  <c r="G118" i="3" s="1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G107" i="3"/>
  <c r="N107" i="3" s="1"/>
  <c r="T106" i="3"/>
  <c r="S106" i="3"/>
  <c r="R106" i="3"/>
  <c r="Q106" i="3"/>
  <c r="P106" i="3"/>
  <c r="O106" i="3"/>
  <c r="N106" i="3"/>
  <c r="Z105" i="3"/>
  <c r="W105" i="3"/>
  <c r="X105" i="3" s="1"/>
  <c r="Y105" i="3" s="1"/>
  <c r="AA105" i="3" s="1"/>
  <c r="U105" i="3"/>
  <c r="V105" i="3" s="1"/>
  <c r="L105" i="3"/>
  <c r="S105" i="3" s="1"/>
  <c r="I105" i="3"/>
  <c r="J105" i="3" s="1"/>
  <c r="G105" i="3"/>
  <c r="N105" i="3" s="1"/>
  <c r="Z104" i="3"/>
  <c r="W104" i="3"/>
  <c r="X104" i="3" s="1"/>
  <c r="Y104" i="3" s="1"/>
  <c r="AA104" i="3" s="1"/>
  <c r="V104" i="3"/>
  <c r="U104" i="3"/>
  <c r="L104" i="3"/>
  <c r="S104" i="3" s="1"/>
  <c r="I104" i="3"/>
  <c r="P104" i="3" s="1"/>
  <c r="G104" i="3"/>
  <c r="N104" i="3" s="1"/>
  <c r="Z103" i="3"/>
  <c r="W103" i="3"/>
  <c r="U103" i="3"/>
  <c r="N103" i="3"/>
  <c r="L103" i="3"/>
  <c r="J103" i="3"/>
  <c r="I103" i="3"/>
  <c r="G103" i="3"/>
  <c r="AV101" i="3"/>
  <c r="AU101" i="3"/>
  <c r="AT101" i="3"/>
  <c r="AS101" i="3"/>
  <c r="AR101" i="3"/>
  <c r="AQ101" i="3"/>
  <c r="AP101" i="3"/>
  <c r="Z99" i="3"/>
  <c r="W99" i="3"/>
  <c r="U99" i="3"/>
  <c r="L99" i="3"/>
  <c r="S99" i="3" s="1"/>
  <c r="I99" i="3"/>
  <c r="P99" i="3" s="1"/>
  <c r="G99" i="3"/>
  <c r="Z98" i="3"/>
  <c r="W98" i="3"/>
  <c r="U98" i="3"/>
  <c r="S98" i="3"/>
  <c r="L98" i="3"/>
  <c r="I98" i="3"/>
  <c r="P98" i="3" s="1"/>
  <c r="G98" i="3"/>
  <c r="Z97" i="3"/>
  <c r="W97" i="3"/>
  <c r="U97" i="3"/>
  <c r="V97" i="3" s="1"/>
  <c r="L97" i="3"/>
  <c r="S97" i="3" s="1"/>
  <c r="I97" i="3"/>
  <c r="P97" i="3" s="1"/>
  <c r="G97" i="3"/>
  <c r="N97" i="3" s="1"/>
  <c r="AO96" i="3"/>
  <c r="AO101" i="3" s="1"/>
  <c r="AN96" i="3"/>
  <c r="AN100" i="3" s="1"/>
  <c r="AM96" i="3"/>
  <c r="AM100" i="3" s="1"/>
  <c r="AL96" i="3"/>
  <c r="AL100" i="3" s="1"/>
  <c r="AK96" i="3"/>
  <c r="AK101" i="3" s="1"/>
  <c r="AJ96" i="3"/>
  <c r="AI96" i="3"/>
  <c r="M96" i="3"/>
  <c r="T96" i="3" s="1"/>
  <c r="K96" i="3"/>
  <c r="I96" i="3"/>
  <c r="J96" i="3" s="1"/>
  <c r="Q96" i="3" s="1"/>
  <c r="G96" i="3"/>
  <c r="T95" i="3"/>
  <c r="Q95" i="3"/>
  <c r="P95" i="3"/>
  <c r="O95" i="3" s="1"/>
  <c r="K95" i="3"/>
  <c r="I95" i="3"/>
  <c r="H95" i="3"/>
  <c r="AO94" i="3"/>
  <c r="AN94" i="3"/>
  <c r="AM94" i="3"/>
  <c r="AL94" i="3"/>
  <c r="AK94" i="3"/>
  <c r="AJ94" i="3"/>
  <c r="AI94" i="3"/>
  <c r="T94" i="3"/>
  <c r="S94" i="3"/>
  <c r="R94" i="3"/>
  <c r="Q94" i="3"/>
  <c r="P94" i="3"/>
  <c r="O94" i="3"/>
  <c r="L94" i="3"/>
  <c r="K94" i="3"/>
  <c r="J94" i="3"/>
  <c r="I94" i="3"/>
  <c r="H94" i="3"/>
  <c r="AO93" i="3"/>
  <c r="AN93" i="3"/>
  <c r="AM93" i="3"/>
  <c r="AL93" i="3"/>
  <c r="AK93" i="3"/>
  <c r="AJ93" i="3"/>
  <c r="AI93" i="3"/>
  <c r="T93" i="3"/>
  <c r="S93" i="3"/>
  <c r="R93" i="3"/>
  <c r="Q93" i="3"/>
  <c r="P93" i="3"/>
  <c r="O93" i="3"/>
  <c r="L93" i="3"/>
  <c r="K93" i="3"/>
  <c r="J93" i="3"/>
  <c r="I93" i="3"/>
  <c r="H93" i="3"/>
  <c r="AO92" i="3"/>
  <c r="AN92" i="3"/>
  <c r="AM92" i="3"/>
  <c r="AL92" i="3"/>
  <c r="AK92" i="3"/>
  <c r="AJ92" i="3"/>
  <c r="AI92" i="3"/>
  <c r="T92" i="3"/>
  <c r="S92" i="3"/>
  <c r="R92" i="3"/>
  <c r="Q92" i="3"/>
  <c r="P92" i="3"/>
  <c r="O92" i="3"/>
  <c r="L92" i="3"/>
  <c r="K92" i="3"/>
  <c r="J92" i="3"/>
  <c r="I92" i="3"/>
  <c r="H92" i="3"/>
  <c r="G92" i="3"/>
  <c r="N91" i="3"/>
  <c r="N92" i="3" s="1"/>
  <c r="G91" i="3"/>
  <c r="G93" i="3" s="1"/>
  <c r="M90" i="3"/>
  <c r="M93" i="3" s="1"/>
  <c r="AO89" i="3"/>
  <c r="AN89" i="3"/>
  <c r="AM89" i="3"/>
  <c r="AL89" i="3"/>
  <c r="AK89" i="3"/>
  <c r="AJ89" i="3"/>
  <c r="AI89" i="3"/>
  <c r="AO88" i="3"/>
  <c r="AN88" i="3"/>
  <c r="AM88" i="3"/>
  <c r="AL88" i="3"/>
  <c r="AK88" i="3"/>
  <c r="AJ88" i="3"/>
  <c r="AI88" i="3"/>
  <c r="AO87" i="3"/>
  <c r="AN87" i="3"/>
  <c r="AM87" i="3"/>
  <c r="AL87" i="3"/>
  <c r="AK87" i="3"/>
  <c r="AJ87" i="3"/>
  <c r="AI87" i="3"/>
  <c r="N86" i="3"/>
  <c r="T85" i="3"/>
  <c r="S85" i="3"/>
  <c r="R85" i="3"/>
  <c r="Q85" i="3"/>
  <c r="P85" i="3"/>
  <c r="O85" i="3"/>
  <c r="N85" i="3"/>
  <c r="S84" i="3"/>
  <c r="Q84" i="3"/>
  <c r="P84" i="3"/>
  <c r="O84" i="3"/>
  <c r="N84" i="3"/>
  <c r="L84" i="3"/>
  <c r="M84" i="3" s="1"/>
  <c r="J84" i="3"/>
  <c r="I84" i="3"/>
  <c r="H84" i="3"/>
  <c r="G84" i="3"/>
  <c r="S83" i="3"/>
  <c r="N83" i="3"/>
  <c r="P83" i="3" s="1"/>
  <c r="Q83" i="3" s="1"/>
  <c r="R83" i="3" s="1"/>
  <c r="T83" i="3" s="1"/>
  <c r="L83" i="3"/>
  <c r="G83" i="3"/>
  <c r="I83" i="3" s="1"/>
  <c r="Z82" i="3"/>
  <c r="W82" i="3"/>
  <c r="U82" i="3"/>
  <c r="L82" i="3"/>
  <c r="S82" i="3" s="1"/>
  <c r="I82" i="3"/>
  <c r="G82" i="3"/>
  <c r="N82" i="3" s="1"/>
  <c r="Z81" i="3"/>
  <c r="W81" i="3"/>
  <c r="X81" i="3" s="1"/>
  <c r="Y81" i="3" s="1"/>
  <c r="AA81" i="3" s="1"/>
  <c r="U81" i="3"/>
  <c r="L81" i="3"/>
  <c r="S81" i="3" s="1"/>
  <c r="I81" i="3"/>
  <c r="P81" i="3" s="1"/>
  <c r="G81" i="3"/>
  <c r="N81" i="3" s="1"/>
  <c r="Z80" i="3"/>
  <c r="W80" i="3"/>
  <c r="U80" i="3"/>
  <c r="P80" i="3"/>
  <c r="L80" i="3"/>
  <c r="I80" i="3"/>
  <c r="G80" i="3"/>
  <c r="N80" i="3" s="1"/>
  <c r="AO79" i="3"/>
  <c r="AN79" i="3"/>
  <c r="AM79" i="3"/>
  <c r="AL79" i="3"/>
  <c r="AK79" i="3"/>
  <c r="AJ79" i="3"/>
  <c r="AI79" i="3"/>
  <c r="AO78" i="3"/>
  <c r="AN78" i="3"/>
  <c r="AM78" i="3"/>
  <c r="AL78" i="3"/>
  <c r="AK78" i="3"/>
  <c r="AJ78" i="3"/>
  <c r="AI78" i="3"/>
  <c r="AO77" i="3"/>
  <c r="AN77" i="3"/>
  <c r="AM77" i="3"/>
  <c r="AL77" i="3"/>
  <c r="AK77" i="3"/>
  <c r="AJ77" i="3"/>
  <c r="AI77" i="3"/>
  <c r="G76" i="3"/>
  <c r="N76" i="3" s="1"/>
  <c r="T75" i="3"/>
  <c r="S75" i="3"/>
  <c r="R75" i="3"/>
  <c r="Q75" i="3"/>
  <c r="P75" i="3"/>
  <c r="O75" i="3"/>
  <c r="N75" i="3"/>
  <c r="S74" i="3"/>
  <c r="Q74" i="3"/>
  <c r="P74" i="3"/>
  <c r="O74" i="3"/>
  <c r="N74" i="3"/>
  <c r="L74" i="3"/>
  <c r="M74" i="3" s="1"/>
  <c r="J74" i="3"/>
  <c r="I74" i="3"/>
  <c r="H74" i="3"/>
  <c r="G74" i="3"/>
  <c r="S73" i="3"/>
  <c r="N73" i="3"/>
  <c r="P73" i="3" s="1"/>
  <c r="Q73" i="3" s="1"/>
  <c r="R73" i="3" s="1"/>
  <c r="T73" i="3" s="1"/>
  <c r="L73" i="3"/>
  <c r="G73" i="3"/>
  <c r="Z72" i="3"/>
  <c r="W72" i="3"/>
  <c r="X72" i="3" s="1"/>
  <c r="Y72" i="3" s="1"/>
  <c r="AA72" i="3" s="1"/>
  <c r="U72" i="3"/>
  <c r="V72" i="3" s="1"/>
  <c r="L72" i="3"/>
  <c r="S72" i="3" s="1"/>
  <c r="I72" i="3"/>
  <c r="P72" i="3" s="1"/>
  <c r="G72" i="3"/>
  <c r="Z71" i="3"/>
  <c r="W71" i="3"/>
  <c r="V71" i="3"/>
  <c r="U71" i="3"/>
  <c r="L71" i="3"/>
  <c r="S71" i="3" s="1"/>
  <c r="I71" i="3"/>
  <c r="P71" i="3" s="1"/>
  <c r="G71" i="3"/>
  <c r="N71" i="3" s="1"/>
  <c r="Z70" i="3"/>
  <c r="W70" i="3"/>
  <c r="U70" i="3"/>
  <c r="U79" i="3" s="1"/>
  <c r="L70" i="3"/>
  <c r="S70" i="3" s="1"/>
  <c r="I70" i="3"/>
  <c r="G70" i="3"/>
  <c r="AO69" i="3"/>
  <c r="AN69" i="3"/>
  <c r="AM69" i="3"/>
  <c r="AL69" i="3"/>
  <c r="AK69" i="3"/>
  <c r="AJ69" i="3"/>
  <c r="AI69" i="3"/>
  <c r="W69" i="3"/>
  <c r="AO68" i="3"/>
  <c r="AN68" i="3"/>
  <c r="AM68" i="3"/>
  <c r="AL68" i="3"/>
  <c r="AK68" i="3"/>
  <c r="AJ68" i="3"/>
  <c r="AI68" i="3"/>
  <c r="AO67" i="3"/>
  <c r="AN67" i="3"/>
  <c r="AM67" i="3"/>
  <c r="AL67" i="3"/>
  <c r="AK67" i="3"/>
  <c r="AJ67" i="3"/>
  <c r="AI67" i="3"/>
  <c r="N66" i="3"/>
  <c r="T65" i="3"/>
  <c r="S65" i="3"/>
  <c r="R65" i="3"/>
  <c r="Q65" i="3"/>
  <c r="P65" i="3"/>
  <c r="O65" i="3"/>
  <c r="N65" i="3"/>
  <c r="S64" i="3"/>
  <c r="T64" i="3" s="1"/>
  <c r="Q64" i="3"/>
  <c r="P64" i="3"/>
  <c r="O64" i="3"/>
  <c r="N64" i="3"/>
  <c r="L64" i="3"/>
  <c r="M64" i="3" s="1"/>
  <c r="J64" i="3"/>
  <c r="I64" i="3"/>
  <c r="H64" i="3"/>
  <c r="G64" i="3"/>
  <c r="S63" i="3"/>
  <c r="N63" i="3"/>
  <c r="P63" i="3" s="1"/>
  <c r="O63" i="3" s="1"/>
  <c r="L63" i="3"/>
  <c r="J63" i="3" s="1"/>
  <c r="K63" i="3" s="1"/>
  <c r="M63" i="3" s="1"/>
  <c r="G63" i="3"/>
  <c r="Z62" i="3"/>
  <c r="W62" i="3"/>
  <c r="U62" i="3"/>
  <c r="V62" i="3" s="1"/>
  <c r="L62" i="3"/>
  <c r="S62" i="3" s="1"/>
  <c r="I62" i="3"/>
  <c r="P62" i="3" s="1"/>
  <c r="G62" i="3"/>
  <c r="Z61" i="3"/>
  <c r="W61" i="3"/>
  <c r="X61" i="3" s="1"/>
  <c r="Y61" i="3" s="1"/>
  <c r="AA61" i="3" s="1"/>
  <c r="U61" i="3"/>
  <c r="L61" i="3"/>
  <c r="I61" i="3"/>
  <c r="G61" i="3"/>
  <c r="Z60" i="3"/>
  <c r="W60" i="3"/>
  <c r="W67" i="3" s="1"/>
  <c r="U60" i="3"/>
  <c r="P60" i="3"/>
  <c r="L60" i="3"/>
  <c r="I60" i="3"/>
  <c r="G60" i="3"/>
  <c r="N60" i="3" s="1"/>
  <c r="AO58" i="3"/>
  <c r="S58" i="3"/>
  <c r="R58" i="3"/>
  <c r="Q58" i="3"/>
  <c r="P58" i="3"/>
  <c r="O58" i="3"/>
  <c r="N58" i="3"/>
  <c r="M58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K57" i="3"/>
  <c r="J57" i="3"/>
  <c r="H57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W56" i="3"/>
  <c r="K56" i="3"/>
  <c r="J56" i="3"/>
  <c r="H56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K55" i="3"/>
  <c r="J55" i="3"/>
  <c r="H55" i="3"/>
  <c r="Z52" i="3"/>
  <c r="Y52" i="3"/>
  <c r="Y56" i="3" s="1"/>
  <c r="X52" i="3"/>
  <c r="X56" i="3" s="1"/>
  <c r="W52" i="3"/>
  <c r="W55" i="3" s="1"/>
  <c r="V52" i="3"/>
  <c r="U52" i="3"/>
  <c r="R52" i="3"/>
  <c r="R56" i="3" s="1"/>
  <c r="Q52" i="3"/>
  <c r="O52" i="3"/>
  <c r="M52" i="3"/>
  <c r="L52" i="3"/>
  <c r="L57" i="3" s="1"/>
  <c r="I52" i="3"/>
  <c r="I56" i="3" s="1"/>
  <c r="G52" i="3"/>
  <c r="G55" i="3" s="1"/>
  <c r="AA51" i="3"/>
  <c r="Z51" i="3"/>
  <c r="Y51" i="3"/>
  <c r="X51" i="3"/>
  <c r="W51" i="3"/>
  <c r="V51" i="3"/>
  <c r="U51" i="3"/>
  <c r="M51" i="3"/>
  <c r="T51" i="3" s="1"/>
  <c r="L51" i="3"/>
  <c r="S51" i="3" s="1"/>
  <c r="K51" i="3"/>
  <c r="R51" i="3" s="1"/>
  <c r="J51" i="3"/>
  <c r="Q51" i="3" s="1"/>
  <c r="I51" i="3"/>
  <c r="P51" i="3" s="1"/>
  <c r="H51" i="3"/>
  <c r="O51" i="3" s="1"/>
  <c r="G51" i="3"/>
  <c r="N51" i="3" s="1"/>
  <c r="AX50" i="3"/>
  <c r="AW50" i="3"/>
  <c r="AP50" i="3"/>
  <c r="AO50" i="3"/>
  <c r="AN50" i="3"/>
  <c r="AM50" i="3"/>
  <c r="AL50" i="3"/>
  <c r="AK50" i="3"/>
  <c r="AJ50" i="3"/>
  <c r="AI50" i="3"/>
  <c r="T50" i="3"/>
  <c r="R50" i="3"/>
  <c r="AX49" i="3"/>
  <c r="AW49" i="3"/>
  <c r="AP49" i="3"/>
  <c r="AO49" i="3"/>
  <c r="AN49" i="3"/>
  <c r="AM49" i="3"/>
  <c r="AL49" i="3"/>
  <c r="AK49" i="3"/>
  <c r="AJ49" i="3"/>
  <c r="AI49" i="3"/>
  <c r="T49" i="3"/>
  <c r="R49" i="3"/>
  <c r="AX48" i="3"/>
  <c r="AW48" i="3"/>
  <c r="AP48" i="3"/>
  <c r="AO48" i="3"/>
  <c r="AN48" i="3"/>
  <c r="AM48" i="3"/>
  <c r="AL48" i="3"/>
  <c r="AK48" i="3"/>
  <c r="AJ48" i="3"/>
  <c r="AI48" i="3"/>
  <c r="T48" i="3"/>
  <c r="R48" i="3"/>
  <c r="M47" i="3"/>
  <c r="L47" i="3"/>
  <c r="K47" i="3"/>
  <c r="J47" i="3"/>
  <c r="I47" i="3"/>
  <c r="H47" i="3"/>
  <c r="G47" i="3"/>
  <c r="M46" i="3"/>
  <c r="L46" i="3"/>
  <c r="K46" i="3"/>
  <c r="J46" i="3"/>
  <c r="I46" i="3"/>
  <c r="H46" i="3"/>
  <c r="G46" i="3"/>
  <c r="AA45" i="3"/>
  <c r="Z45" i="3"/>
  <c r="Y45" i="3"/>
  <c r="X45" i="3"/>
  <c r="W45" i="3"/>
  <c r="V45" i="3"/>
  <c r="U45" i="3"/>
  <c r="M45" i="3"/>
  <c r="L45" i="3"/>
  <c r="K45" i="3"/>
  <c r="J45" i="3"/>
  <c r="I45" i="3"/>
  <c r="H45" i="3"/>
  <c r="G45" i="3"/>
  <c r="AA44" i="3"/>
  <c r="Z44" i="3"/>
  <c r="Y44" i="3"/>
  <c r="X44" i="3"/>
  <c r="W44" i="3"/>
  <c r="V44" i="3"/>
  <c r="U44" i="3"/>
  <c r="M44" i="3"/>
  <c r="L44" i="3"/>
  <c r="K44" i="3"/>
  <c r="J44" i="3"/>
  <c r="I44" i="3"/>
  <c r="H44" i="3"/>
  <c r="G44" i="3"/>
  <c r="AA43" i="3"/>
  <c r="Z43" i="3"/>
  <c r="Y43" i="3"/>
  <c r="X43" i="3"/>
  <c r="W43" i="3"/>
  <c r="V43" i="3"/>
  <c r="U43" i="3"/>
  <c r="S43" i="3"/>
  <c r="Q43" i="3"/>
  <c r="P43" i="3"/>
  <c r="O43" i="3"/>
  <c r="N43" i="3"/>
  <c r="AA42" i="3"/>
  <c r="Z42" i="3"/>
  <c r="Y42" i="3"/>
  <c r="X42" i="3"/>
  <c r="W42" i="3"/>
  <c r="V42" i="3"/>
  <c r="U42" i="3"/>
  <c r="S42" i="3"/>
  <c r="Q42" i="3"/>
  <c r="P42" i="3"/>
  <c r="O42" i="3"/>
  <c r="O50" i="3" s="1"/>
  <c r="G42" i="3"/>
  <c r="AX41" i="3"/>
  <c r="AW41" i="3"/>
  <c r="AO41" i="3"/>
  <c r="AN41" i="3"/>
  <c r="AM41" i="3"/>
  <c r="AL41" i="3"/>
  <c r="AK41" i="3"/>
  <c r="AJ41" i="3"/>
  <c r="AI41" i="3"/>
  <c r="U41" i="3"/>
  <c r="K41" i="3"/>
  <c r="I41" i="3"/>
  <c r="H41" i="3"/>
  <c r="G41" i="3"/>
  <c r="AX40" i="3"/>
  <c r="AW40" i="3"/>
  <c r="AO40" i="3"/>
  <c r="AN40" i="3"/>
  <c r="AM40" i="3"/>
  <c r="AL40" i="3"/>
  <c r="AK40" i="3"/>
  <c r="AJ40" i="3"/>
  <c r="AI40" i="3"/>
  <c r="U40" i="3"/>
  <c r="L40" i="3"/>
  <c r="K40" i="3"/>
  <c r="I40" i="3"/>
  <c r="H40" i="3"/>
  <c r="G40" i="3"/>
  <c r="AX39" i="3"/>
  <c r="AW39" i="3"/>
  <c r="AO39" i="3"/>
  <c r="AN39" i="3"/>
  <c r="AM39" i="3"/>
  <c r="AL39" i="3"/>
  <c r="AK39" i="3"/>
  <c r="AJ39" i="3"/>
  <c r="AI39" i="3"/>
  <c r="U39" i="3"/>
  <c r="L39" i="3"/>
  <c r="K39" i="3"/>
  <c r="I39" i="3"/>
  <c r="H39" i="3"/>
  <c r="G39" i="3"/>
  <c r="R36" i="3"/>
  <c r="R39" i="3" s="1"/>
  <c r="P36" i="3"/>
  <c r="P41" i="3" s="1"/>
  <c r="O36" i="3"/>
  <c r="O39" i="3" s="1"/>
  <c r="N36" i="3"/>
  <c r="M36" i="3"/>
  <c r="L36" i="3"/>
  <c r="L41" i="3" s="1"/>
  <c r="J36" i="3"/>
  <c r="AX35" i="3"/>
  <c r="AW35" i="3"/>
  <c r="AO35" i="3"/>
  <c r="AN35" i="3"/>
  <c r="AM35" i="3"/>
  <c r="AL35" i="3"/>
  <c r="AK35" i="3"/>
  <c r="AJ35" i="3"/>
  <c r="AI35" i="3"/>
  <c r="U35" i="3"/>
  <c r="AX34" i="3"/>
  <c r="AW34" i="3"/>
  <c r="AO34" i="3"/>
  <c r="AN34" i="3"/>
  <c r="AM34" i="3"/>
  <c r="AL34" i="3"/>
  <c r="AK34" i="3"/>
  <c r="AJ34" i="3"/>
  <c r="AI34" i="3"/>
  <c r="U34" i="3"/>
  <c r="AX33" i="3"/>
  <c r="AW33" i="3"/>
  <c r="AO33" i="3"/>
  <c r="AN33" i="3"/>
  <c r="AM33" i="3"/>
  <c r="AL33" i="3"/>
  <c r="AK33" i="3"/>
  <c r="AJ33" i="3"/>
  <c r="AI33" i="3"/>
  <c r="U33" i="3"/>
  <c r="R32" i="3"/>
  <c r="T32" i="3" s="1"/>
  <c r="O32" i="3"/>
  <c r="K32" i="3"/>
  <c r="M32" i="3" s="1"/>
  <c r="H32" i="3"/>
  <c r="R31" i="3"/>
  <c r="Q31" i="3"/>
  <c r="P31" i="3"/>
  <c r="O31" i="3"/>
  <c r="N31" i="3"/>
  <c r="L31" i="3"/>
  <c r="M31" i="3" s="1"/>
  <c r="G30" i="3"/>
  <c r="G29" i="3"/>
  <c r="Q28" i="3"/>
  <c r="L28" i="3"/>
  <c r="J28" i="3"/>
  <c r="I28" i="3"/>
  <c r="H28" i="3"/>
  <c r="G28" i="3" s="1"/>
  <c r="L27" i="3"/>
  <c r="S27" i="3" s="1"/>
  <c r="J27" i="3"/>
  <c r="I27" i="3"/>
  <c r="P27" i="3" s="1"/>
  <c r="L26" i="3"/>
  <c r="J26" i="3"/>
  <c r="H26" i="3" s="1"/>
  <c r="G26" i="3" s="1"/>
  <c r="I26" i="3"/>
  <c r="P26" i="3" s="1"/>
  <c r="P25" i="3"/>
  <c r="L25" i="3"/>
  <c r="S25" i="3" s="1"/>
  <c r="J25" i="3"/>
  <c r="I25" i="3"/>
  <c r="I34" i="3" s="1"/>
  <c r="AX24" i="3"/>
  <c r="AW24" i="3"/>
  <c r="AO24" i="3"/>
  <c r="AN24" i="3"/>
  <c r="AM24" i="3"/>
  <c r="AL24" i="3"/>
  <c r="AK24" i="3"/>
  <c r="AJ24" i="3"/>
  <c r="AI24" i="3"/>
  <c r="V24" i="3"/>
  <c r="AX23" i="3"/>
  <c r="AW23" i="3"/>
  <c r="AO23" i="3"/>
  <c r="AN23" i="3"/>
  <c r="AM23" i="3"/>
  <c r="AL23" i="3"/>
  <c r="AK23" i="3"/>
  <c r="AJ23" i="3"/>
  <c r="AI23" i="3"/>
  <c r="AX22" i="3"/>
  <c r="AW22" i="3"/>
  <c r="AO22" i="3"/>
  <c r="AN22" i="3"/>
  <c r="AM22" i="3"/>
  <c r="AL22" i="3"/>
  <c r="AK22" i="3"/>
  <c r="AJ22" i="3"/>
  <c r="AI22" i="3"/>
  <c r="R21" i="3"/>
  <c r="T21" i="3" s="1"/>
  <c r="O21" i="3"/>
  <c r="K21" i="3"/>
  <c r="M21" i="3" s="1"/>
  <c r="H21" i="3"/>
  <c r="AA20" i="3"/>
  <c r="Z20" i="3"/>
  <c r="Y20" i="3"/>
  <c r="X20" i="3"/>
  <c r="X23" i="3" s="1"/>
  <c r="W20" i="3"/>
  <c r="V20" i="3"/>
  <c r="V22" i="3" s="1"/>
  <c r="U20" i="3"/>
  <c r="U23" i="3" s="1"/>
  <c r="S20" i="3"/>
  <c r="R20" i="3"/>
  <c r="Q20" i="3"/>
  <c r="P20" i="3"/>
  <c r="O20" i="3"/>
  <c r="N20" i="3"/>
  <c r="M20" i="3"/>
  <c r="G19" i="3"/>
  <c r="G18" i="3"/>
  <c r="L17" i="3"/>
  <c r="S17" i="3" s="1"/>
  <c r="J17" i="3"/>
  <c r="I17" i="3"/>
  <c r="L16" i="3"/>
  <c r="S16" i="3" s="1"/>
  <c r="J16" i="3"/>
  <c r="I16" i="3"/>
  <c r="P16" i="3" s="1"/>
  <c r="Q15" i="3"/>
  <c r="L15" i="3"/>
  <c r="S15" i="3" s="1"/>
  <c r="J15" i="3"/>
  <c r="I15" i="3"/>
  <c r="P15" i="3" s="1"/>
  <c r="S14" i="3"/>
  <c r="L14" i="3"/>
  <c r="L24" i="3" s="1"/>
  <c r="J14" i="3"/>
  <c r="Q14" i="3" s="1"/>
  <c r="I14" i="3"/>
  <c r="AX13" i="3"/>
  <c r="AW13" i="3"/>
  <c r="AO13" i="3"/>
  <c r="AN13" i="3"/>
  <c r="AM13" i="3"/>
  <c r="AL13" i="3"/>
  <c r="AK13" i="3"/>
  <c r="AJ13" i="3"/>
  <c r="AI13" i="3"/>
  <c r="AX12" i="3"/>
  <c r="AW12" i="3"/>
  <c r="AO12" i="3"/>
  <c r="AN12" i="3"/>
  <c r="AM12" i="3"/>
  <c r="AL12" i="3"/>
  <c r="AK12" i="3"/>
  <c r="AJ12" i="3"/>
  <c r="AI12" i="3"/>
  <c r="AX11" i="3"/>
  <c r="AW11" i="3"/>
  <c r="AO11" i="3"/>
  <c r="AN11" i="3"/>
  <c r="AM11" i="3"/>
  <c r="AL11" i="3"/>
  <c r="AK11" i="3"/>
  <c r="AJ11" i="3"/>
  <c r="AI11" i="3"/>
  <c r="R10" i="3"/>
  <c r="T10" i="3" s="1"/>
  <c r="O10" i="3"/>
  <c r="M10" i="3"/>
  <c r="K10" i="3"/>
  <c r="H10" i="3"/>
  <c r="AA9" i="3"/>
  <c r="Z9" i="3"/>
  <c r="Z11" i="3" s="1"/>
  <c r="Y9" i="3"/>
  <c r="Y12" i="3" s="1"/>
  <c r="X9" i="3"/>
  <c r="X13" i="3" s="1"/>
  <c r="W9" i="3"/>
  <c r="W11" i="3" s="1"/>
  <c r="V9" i="3"/>
  <c r="U9" i="3"/>
  <c r="U12" i="3" s="1"/>
  <c r="S9" i="3"/>
  <c r="Q9" i="3"/>
  <c r="P9" i="3"/>
  <c r="O9" i="3"/>
  <c r="N9" i="3"/>
  <c r="K9" i="3"/>
  <c r="R9" i="3" s="1"/>
  <c r="G8" i="3"/>
  <c r="G7" i="3"/>
  <c r="S6" i="3"/>
  <c r="L6" i="3"/>
  <c r="K6" i="3"/>
  <c r="M6" i="3" s="1"/>
  <c r="J6" i="3"/>
  <c r="Q6" i="3" s="1"/>
  <c r="I6" i="3"/>
  <c r="L5" i="3"/>
  <c r="S5" i="3" s="1"/>
  <c r="J5" i="3"/>
  <c r="I5" i="3"/>
  <c r="L4" i="3"/>
  <c r="J4" i="3"/>
  <c r="Q4" i="3" s="1"/>
  <c r="I4" i="3"/>
  <c r="P4" i="3" s="1"/>
  <c r="O4" i="3" s="1"/>
  <c r="N4" i="3" s="1"/>
  <c r="L3" i="3"/>
  <c r="S3" i="3" s="1"/>
  <c r="J3" i="3"/>
  <c r="K3" i="3" s="1"/>
  <c r="M3" i="3" s="1"/>
  <c r="I3" i="3"/>
  <c r="P3" i="3" s="1"/>
  <c r="L74" i="2"/>
  <c r="L61" i="2"/>
  <c r="K61" i="2"/>
  <c r="K60" i="2"/>
  <c r="L60" i="2" s="1"/>
  <c r="L59" i="2"/>
  <c r="K59" i="2"/>
  <c r="K58" i="2"/>
  <c r="L58" i="2" s="1"/>
  <c r="K57" i="2"/>
  <c r="K56" i="2"/>
  <c r="L56" i="2" s="1"/>
  <c r="L55" i="2"/>
  <c r="K55" i="2"/>
  <c r="K54" i="2"/>
  <c r="L54" i="2" s="1"/>
  <c r="K53" i="2"/>
  <c r="K52" i="2"/>
  <c r="L52" i="2" s="1"/>
  <c r="K51" i="2"/>
  <c r="K50" i="2"/>
  <c r="L50" i="2" s="1"/>
  <c r="K49" i="2"/>
  <c r="K48" i="2"/>
  <c r="L48" i="2" s="1"/>
  <c r="K47" i="2"/>
  <c r="K46" i="2"/>
  <c r="L46" i="2" s="1"/>
  <c r="K45" i="2"/>
  <c r="K44" i="2"/>
  <c r="L44" i="2" s="1"/>
  <c r="K43" i="2"/>
  <c r="K42" i="2"/>
  <c r="L42" i="2" s="1"/>
  <c r="K41" i="2"/>
  <c r="K40" i="2"/>
  <c r="L40" i="2" s="1"/>
  <c r="K39" i="2"/>
  <c r="M39" i="2" s="1"/>
  <c r="N39" i="2" s="1"/>
  <c r="K38" i="2"/>
  <c r="L38" i="2" s="1"/>
  <c r="K37" i="2"/>
  <c r="K36" i="2"/>
  <c r="L36" i="2" s="1"/>
  <c r="K35" i="2"/>
  <c r="K34" i="2"/>
  <c r="L34" i="2" s="1"/>
  <c r="K33" i="2"/>
  <c r="K32" i="2"/>
  <c r="L32" i="2" s="1"/>
  <c r="K31" i="2"/>
  <c r="M31" i="2" s="1"/>
  <c r="N31" i="2" s="1"/>
  <c r="K30" i="2"/>
  <c r="L30" i="2" s="1"/>
  <c r="K29" i="2"/>
  <c r="K28" i="2"/>
  <c r="L28" i="2" s="1"/>
  <c r="K27" i="2"/>
  <c r="K26" i="2"/>
  <c r="M26" i="2" s="1"/>
  <c r="N26" i="2" s="1"/>
  <c r="L25" i="2"/>
  <c r="K25" i="2"/>
  <c r="L24" i="2"/>
  <c r="K24" i="2"/>
  <c r="L23" i="2"/>
  <c r="K23" i="2"/>
  <c r="M23" i="2" s="1"/>
  <c r="N23" i="2" s="1"/>
  <c r="L22" i="2"/>
  <c r="K22" i="2"/>
  <c r="L21" i="2"/>
  <c r="K21" i="2"/>
  <c r="M21" i="2" s="1"/>
  <c r="N21" i="2" s="1"/>
  <c r="L20" i="2"/>
  <c r="K20" i="2"/>
  <c r="L19" i="2"/>
  <c r="K19" i="2"/>
  <c r="M19" i="2" s="1"/>
  <c r="N19" i="2" s="1"/>
  <c r="L18" i="2"/>
  <c r="K18" i="2"/>
  <c r="L17" i="2"/>
  <c r="K17" i="2"/>
  <c r="M17" i="2" s="1"/>
  <c r="N17" i="2" s="1"/>
  <c r="L16" i="2"/>
  <c r="K16" i="2"/>
  <c r="L15" i="2"/>
  <c r="K15" i="2"/>
  <c r="M15" i="2" s="1"/>
  <c r="N15" i="2" s="1"/>
  <c r="M14" i="2"/>
  <c r="N14" i="2" s="1"/>
  <c r="L14" i="2"/>
  <c r="K14" i="2"/>
  <c r="L13" i="2"/>
  <c r="K13" i="2"/>
  <c r="M13" i="2" s="1"/>
  <c r="N13" i="2" s="1"/>
  <c r="M12" i="2"/>
  <c r="N12" i="2" s="1"/>
  <c r="K12" i="2"/>
  <c r="L12" i="2" s="1"/>
  <c r="R11" i="2"/>
  <c r="Q11" i="2"/>
  <c r="L11" i="2"/>
  <c r="K11" i="2"/>
  <c r="M11" i="2" s="1"/>
  <c r="N11" i="2" s="1"/>
  <c r="R10" i="2"/>
  <c r="Q10" i="2"/>
  <c r="K10" i="2"/>
  <c r="M10" i="2" s="1"/>
  <c r="N10" i="2" s="1"/>
  <c r="R9" i="2"/>
  <c r="Q9" i="2"/>
  <c r="K9" i="2"/>
  <c r="M9" i="2" s="1"/>
  <c r="N9" i="2" s="1"/>
  <c r="K8" i="2"/>
  <c r="M8" i="2" s="1"/>
  <c r="N8" i="2" s="1"/>
  <c r="K7" i="2"/>
  <c r="L7" i="2" s="1"/>
  <c r="K6" i="2"/>
  <c r="M24" i="2" s="1"/>
  <c r="N24" i="2" s="1"/>
  <c r="K5" i="2"/>
  <c r="L5" i="2" s="1"/>
  <c r="M4" i="2"/>
  <c r="N4" i="2" s="1"/>
  <c r="L4" i="2"/>
  <c r="K4" i="2"/>
  <c r="M58" i="2" s="1"/>
  <c r="N58" i="2" s="1"/>
  <c r="P3" i="2" a="1"/>
  <c r="P8" i="2" s="1"/>
  <c r="M3" i="2"/>
  <c r="N3" i="2" s="1"/>
  <c r="L3" i="2"/>
  <c r="K3" i="2"/>
  <c r="M20" i="2" s="1"/>
  <c r="N20" i="2" s="1"/>
  <c r="L134" i="3" l="1"/>
  <c r="U221" i="3"/>
  <c r="P39" i="3"/>
  <c r="S49" i="3"/>
  <c r="L55" i="3"/>
  <c r="H63" i="3"/>
  <c r="J99" i="3"/>
  <c r="L109" i="3"/>
  <c r="S122" i="3"/>
  <c r="U173" i="3"/>
  <c r="N186" i="3"/>
  <c r="N188" i="3"/>
  <c r="J196" i="3"/>
  <c r="Q196" i="3" s="1"/>
  <c r="J200" i="3"/>
  <c r="K200" i="3" s="1"/>
  <c r="J204" i="3"/>
  <c r="V206" i="3"/>
  <c r="X209" i="3"/>
  <c r="Y209" i="3" s="1"/>
  <c r="AA209" i="3" s="1"/>
  <c r="I222" i="3"/>
  <c r="Q3" i="3"/>
  <c r="X55" i="3"/>
  <c r="I63" i="3"/>
  <c r="H97" i="3"/>
  <c r="O97" i="3" s="1"/>
  <c r="S128" i="3"/>
  <c r="J143" i="3"/>
  <c r="K143" i="3" s="1"/>
  <c r="J144" i="3"/>
  <c r="V145" i="3"/>
  <c r="N178" i="3"/>
  <c r="W221" i="3"/>
  <c r="J33" i="3"/>
  <c r="S36" i="3"/>
  <c r="X60" i="3"/>
  <c r="H62" i="3"/>
  <c r="O62" i="3" s="1"/>
  <c r="V99" i="3"/>
  <c r="R117" i="3"/>
  <c r="S117" i="3"/>
  <c r="V130" i="3"/>
  <c r="V177" i="3"/>
  <c r="V179" i="3"/>
  <c r="V184" i="3"/>
  <c r="X189" i="3"/>
  <c r="Y189" i="3" s="1"/>
  <c r="AA189" i="3" s="1"/>
  <c r="V199" i="3"/>
  <c r="J209" i="3"/>
  <c r="Z12" i="3"/>
  <c r="U22" i="3"/>
  <c r="R57" i="3"/>
  <c r="Z68" i="3"/>
  <c r="X145" i="3"/>
  <c r="Y145" i="3" s="1"/>
  <c r="AA145" i="3" s="1"/>
  <c r="V178" i="3"/>
  <c r="Z192" i="3"/>
  <c r="V198" i="3"/>
  <c r="X199" i="3"/>
  <c r="Y199" i="3" s="1"/>
  <c r="AA199" i="3" s="1"/>
  <c r="V200" i="3"/>
  <c r="W57" i="3"/>
  <c r="W79" i="3"/>
  <c r="H80" i="3"/>
  <c r="O80" i="3" s="1"/>
  <c r="G94" i="3"/>
  <c r="N143" i="3"/>
  <c r="J151" i="3"/>
  <c r="G161" i="3"/>
  <c r="U212" i="3"/>
  <c r="H207" i="3"/>
  <c r="O207" i="3" s="1"/>
  <c r="H3" i="3"/>
  <c r="Y13" i="3"/>
  <c r="O48" i="3"/>
  <c r="L48" i="3"/>
  <c r="S52" i="3"/>
  <c r="I55" i="3"/>
  <c r="L56" i="3"/>
  <c r="Z78" i="3"/>
  <c r="U77" i="3"/>
  <c r="J81" i="3"/>
  <c r="Q81" i="3" s="1"/>
  <c r="AL101" i="3"/>
  <c r="H103" i="3"/>
  <c r="G134" i="3"/>
  <c r="Z133" i="3"/>
  <c r="X178" i="3"/>
  <c r="Y178" i="3" s="1"/>
  <c r="AA178" i="3" s="1"/>
  <c r="U213" i="3"/>
  <c r="P209" i="3"/>
  <c r="Z13" i="3"/>
  <c r="K15" i="3"/>
  <c r="M15" i="3" s="1"/>
  <c r="H72" i="3"/>
  <c r="O72" i="3" s="1"/>
  <c r="H99" i="3"/>
  <c r="O99" i="3" s="1"/>
  <c r="J104" i="3"/>
  <c r="Q104" i="3" s="1"/>
  <c r="J128" i="3"/>
  <c r="X168" i="3"/>
  <c r="Y168" i="3" s="1"/>
  <c r="AA168" i="3" s="1"/>
  <c r="J186" i="3"/>
  <c r="H196" i="3"/>
  <c r="O196" i="3" s="1"/>
  <c r="J206" i="3"/>
  <c r="K206" i="3" s="1"/>
  <c r="V215" i="3"/>
  <c r="P216" i="3"/>
  <c r="V49" i="3"/>
  <c r="V50" i="3"/>
  <c r="Q103" i="3"/>
  <c r="K103" i="3"/>
  <c r="M103" i="3" s="1"/>
  <c r="T103" i="3" s="1"/>
  <c r="W211" i="3"/>
  <c r="L68" i="3"/>
  <c r="H81" i="3"/>
  <c r="O81" i="3" s="1"/>
  <c r="AJ102" i="3"/>
  <c r="AJ100" i="3"/>
  <c r="W118" i="3"/>
  <c r="X112" i="3"/>
  <c r="Y112" i="3" s="1"/>
  <c r="AA112" i="3" s="1"/>
  <c r="Y23" i="3"/>
  <c r="Y24" i="3"/>
  <c r="G77" i="3"/>
  <c r="J80" i="3"/>
  <c r="Q80" i="3" s="1"/>
  <c r="S80" i="3"/>
  <c r="V103" i="3"/>
  <c r="U108" i="3"/>
  <c r="U109" i="3"/>
  <c r="Z154" i="3"/>
  <c r="N174" i="3"/>
  <c r="H174" i="3"/>
  <c r="O174" i="3" s="1"/>
  <c r="Q176" i="3"/>
  <c r="K176" i="3"/>
  <c r="G191" i="3"/>
  <c r="N184" i="3"/>
  <c r="M50" i="3"/>
  <c r="M48" i="3"/>
  <c r="M49" i="3"/>
  <c r="Q99" i="3"/>
  <c r="K99" i="3"/>
  <c r="G50" i="3"/>
  <c r="J112" i="3"/>
  <c r="Q112" i="3" s="1"/>
  <c r="P112" i="3"/>
  <c r="Y22" i="3"/>
  <c r="J41" i="3"/>
  <c r="Q36" i="3"/>
  <c r="Q41" i="3" s="1"/>
  <c r="K17" i="3"/>
  <c r="M17" i="3" s="1"/>
  <c r="Q17" i="3"/>
  <c r="R17" i="3" s="1"/>
  <c r="T17" i="3" s="1"/>
  <c r="Z22" i="3"/>
  <c r="Z23" i="3"/>
  <c r="O55" i="3"/>
  <c r="O57" i="3"/>
  <c r="O56" i="3"/>
  <c r="Y55" i="3"/>
  <c r="U68" i="3"/>
  <c r="U69" i="3"/>
  <c r="U67" i="3"/>
  <c r="V60" i="3"/>
  <c r="J71" i="3"/>
  <c r="K71" i="3" s="1"/>
  <c r="W102" i="3"/>
  <c r="W108" i="3"/>
  <c r="W110" i="3"/>
  <c r="W109" i="3"/>
  <c r="I133" i="3"/>
  <c r="P129" i="3"/>
  <c r="N145" i="3"/>
  <c r="H145" i="3"/>
  <c r="O145" i="3" s="1"/>
  <c r="H149" i="3"/>
  <c r="Z155" i="3"/>
  <c r="P184" i="3"/>
  <c r="J184" i="3"/>
  <c r="J189" i="3"/>
  <c r="H200" i="3"/>
  <c r="O200" i="3" s="1"/>
  <c r="N200" i="3"/>
  <c r="Q105" i="3"/>
  <c r="K105" i="3"/>
  <c r="J123" i="3"/>
  <c r="Q123" i="3" s="1"/>
  <c r="Q56" i="3"/>
  <c r="Q55" i="3"/>
  <c r="Z56" i="3"/>
  <c r="Z57" i="3"/>
  <c r="T58" i="3"/>
  <c r="Y60" i="3"/>
  <c r="AJ101" i="3"/>
  <c r="Z147" i="3"/>
  <c r="J215" i="3"/>
  <c r="Q215" i="3" s="1"/>
  <c r="AA13" i="3"/>
  <c r="AA12" i="3"/>
  <c r="N98" i="3"/>
  <c r="H98" i="3"/>
  <c r="O98" i="3" s="1"/>
  <c r="S134" i="3"/>
  <c r="J199" i="3"/>
  <c r="Q199" i="3" s="1"/>
  <c r="P199" i="3"/>
  <c r="H217" i="3"/>
  <c r="O217" i="3" s="1"/>
  <c r="P217" i="3"/>
  <c r="T36" i="3"/>
  <c r="R41" i="3"/>
  <c r="R40" i="3"/>
  <c r="J158" i="3"/>
  <c r="P158" i="3"/>
  <c r="S40" i="3"/>
  <c r="S39" i="3"/>
  <c r="X153" i="3"/>
  <c r="H6" i="3"/>
  <c r="G6" i="3" s="1"/>
  <c r="P6" i="3"/>
  <c r="O6" i="3" s="1"/>
  <c r="N6" i="3" s="1"/>
  <c r="AA11" i="3"/>
  <c r="H16" i="3"/>
  <c r="G16" i="3" s="1"/>
  <c r="S41" i="3"/>
  <c r="J62" i="3"/>
  <c r="K62" i="3" s="1"/>
  <c r="H83" i="3"/>
  <c r="J83" i="3"/>
  <c r="K83" i="3" s="1"/>
  <c r="M83" i="3" s="1"/>
  <c r="I101" i="3"/>
  <c r="I110" i="3"/>
  <c r="P103" i="3"/>
  <c r="W116" i="3"/>
  <c r="L118" i="3"/>
  <c r="H123" i="3"/>
  <c r="O123" i="3" s="1"/>
  <c r="V129" i="3"/>
  <c r="G173" i="3"/>
  <c r="N164" i="3"/>
  <c r="V174" i="3"/>
  <c r="U181" i="3"/>
  <c r="X207" i="3"/>
  <c r="Y207" i="3" s="1"/>
  <c r="AA207" i="3" s="1"/>
  <c r="W12" i="3"/>
  <c r="T20" i="3"/>
  <c r="X24" i="3"/>
  <c r="S31" i="3"/>
  <c r="T31" i="3" s="1"/>
  <c r="O40" i="3"/>
  <c r="U48" i="3"/>
  <c r="G56" i="3"/>
  <c r="G57" i="3"/>
  <c r="N62" i="3"/>
  <c r="X82" i="3"/>
  <c r="Y82" i="3" s="1"/>
  <c r="AA82" i="3" s="1"/>
  <c r="G100" i="3"/>
  <c r="V98" i="3"/>
  <c r="V101" i="3" s="1"/>
  <c r="X99" i="3"/>
  <c r="Y99" i="3" s="1"/>
  <c r="AA99" i="3" s="1"/>
  <c r="I102" i="3"/>
  <c r="X103" i="3"/>
  <c r="X108" i="3" s="1"/>
  <c r="T117" i="3"/>
  <c r="T119" i="3"/>
  <c r="Z125" i="3"/>
  <c r="W161" i="3"/>
  <c r="H168" i="3"/>
  <c r="O168" i="3" s="1"/>
  <c r="P176" i="3"/>
  <c r="X179" i="3"/>
  <c r="Y179" i="3" s="1"/>
  <c r="AA179" i="3" s="1"/>
  <c r="J205" i="3"/>
  <c r="K205" i="3" s="1"/>
  <c r="X208" i="3"/>
  <c r="Y208" i="3" s="1"/>
  <c r="AA208" i="3" s="1"/>
  <c r="N215" i="3"/>
  <c r="V216" i="3"/>
  <c r="T9" i="3"/>
  <c r="K16" i="3"/>
  <c r="M16" i="3" s="1"/>
  <c r="J23" i="3"/>
  <c r="J34" i="3"/>
  <c r="P40" i="3"/>
  <c r="I49" i="3"/>
  <c r="U78" i="3"/>
  <c r="W125" i="3"/>
  <c r="I160" i="3"/>
  <c r="G172" i="3"/>
  <c r="U201" i="3"/>
  <c r="X216" i="3"/>
  <c r="Y216" i="3" s="1"/>
  <c r="AA216" i="3" s="1"/>
  <c r="L12" i="3"/>
  <c r="M9" i="3"/>
  <c r="V23" i="3"/>
  <c r="I33" i="3"/>
  <c r="O49" i="3"/>
  <c r="H60" i="3"/>
  <c r="W78" i="3"/>
  <c r="K81" i="3"/>
  <c r="R81" i="3" s="1"/>
  <c r="J98" i="3"/>
  <c r="X98" i="3"/>
  <c r="Y98" i="3" s="1"/>
  <c r="AA98" i="3" s="1"/>
  <c r="AK100" i="3"/>
  <c r="AL102" i="3"/>
  <c r="H104" i="3"/>
  <c r="O104" i="3" s="1"/>
  <c r="V111" i="3"/>
  <c r="Z118" i="3"/>
  <c r="H122" i="3"/>
  <c r="O122" i="3" s="1"/>
  <c r="X122" i="3"/>
  <c r="Y122" i="3" s="1"/>
  <c r="AA122" i="3" s="1"/>
  <c r="H128" i="3"/>
  <c r="W134" i="3"/>
  <c r="U139" i="3"/>
  <c r="J145" i="3"/>
  <c r="J156" i="3"/>
  <c r="Q156" i="3" s="1"/>
  <c r="G160" i="3"/>
  <c r="H166" i="3"/>
  <c r="O166" i="3" s="1"/>
  <c r="J168" i="3"/>
  <c r="K168" i="3" s="1"/>
  <c r="H176" i="3"/>
  <c r="O176" i="3" s="1"/>
  <c r="J178" i="3"/>
  <c r="X187" i="3"/>
  <c r="Y187" i="3" s="1"/>
  <c r="AA187" i="3" s="1"/>
  <c r="X196" i="3"/>
  <c r="Y196" i="3" s="1"/>
  <c r="AA196" i="3" s="1"/>
  <c r="V197" i="3"/>
  <c r="J208" i="3"/>
  <c r="K208" i="3" s="1"/>
  <c r="H209" i="3"/>
  <c r="O209" i="3" s="1"/>
  <c r="Z222" i="3"/>
  <c r="K14" i="3"/>
  <c r="R15" i="3"/>
  <c r="T15" i="3" s="1"/>
  <c r="K26" i="3"/>
  <c r="M26" i="3" s="1"/>
  <c r="O41" i="3"/>
  <c r="P49" i="3"/>
  <c r="Z48" i="3"/>
  <c r="I48" i="3"/>
  <c r="K49" i="3"/>
  <c r="X62" i="3"/>
  <c r="Y62" i="3" s="1"/>
  <c r="AA62" i="3" s="1"/>
  <c r="X70" i="3"/>
  <c r="W88" i="3"/>
  <c r="J95" i="3"/>
  <c r="N99" i="3"/>
  <c r="AN102" i="3"/>
  <c r="N108" i="3"/>
  <c r="L110" i="3"/>
  <c r="X111" i="3"/>
  <c r="X117" i="3" s="1"/>
  <c r="V113" i="3"/>
  <c r="R116" i="3"/>
  <c r="I125" i="3"/>
  <c r="I126" i="3"/>
  <c r="X128" i="3"/>
  <c r="Q137" i="3"/>
  <c r="G147" i="3"/>
  <c r="U147" i="3"/>
  <c r="L203" i="3"/>
  <c r="L202" i="3"/>
  <c r="U211" i="3"/>
  <c r="U222" i="3"/>
  <c r="U13" i="3"/>
  <c r="L23" i="3"/>
  <c r="J35" i="3"/>
  <c r="Y49" i="3"/>
  <c r="Z69" i="3"/>
  <c r="I87" i="3"/>
  <c r="X80" i="3"/>
  <c r="G87" i="3"/>
  <c r="G88" i="3"/>
  <c r="W101" i="3"/>
  <c r="Z117" i="3"/>
  <c r="L116" i="3"/>
  <c r="Z132" i="3"/>
  <c r="V135" i="3"/>
  <c r="H143" i="3"/>
  <c r="O143" i="3" s="1"/>
  <c r="G148" i="3"/>
  <c r="U155" i="3"/>
  <c r="N156" i="3"/>
  <c r="W160" i="3"/>
  <c r="N168" i="3"/>
  <c r="V204" i="3"/>
  <c r="X218" i="3"/>
  <c r="Y218" i="3" s="1"/>
  <c r="AA218" i="3" s="1"/>
  <c r="K5" i="3"/>
  <c r="M5" i="3" s="1"/>
  <c r="W13" i="3"/>
  <c r="L22" i="3"/>
  <c r="K25" i="3"/>
  <c r="P28" i="3"/>
  <c r="O28" i="3" s="1"/>
  <c r="N28" i="3" s="1"/>
  <c r="S48" i="3"/>
  <c r="P48" i="3"/>
  <c r="Z50" i="3"/>
  <c r="N52" i="3"/>
  <c r="N55" i="3" s="1"/>
  <c r="H61" i="3"/>
  <c r="O61" i="3" s="1"/>
  <c r="H71" i="3"/>
  <c r="O71" i="3" s="1"/>
  <c r="X71" i="3"/>
  <c r="Y71" i="3" s="1"/>
  <c r="AA71" i="3" s="1"/>
  <c r="Z88" i="3"/>
  <c r="I88" i="3"/>
  <c r="X97" i="3"/>
  <c r="S103" i="3"/>
  <c r="U117" i="3"/>
  <c r="P121" i="3"/>
  <c r="P127" i="3" s="1"/>
  <c r="N128" i="3"/>
  <c r="N132" i="3" s="1"/>
  <c r="V137" i="3"/>
  <c r="U148" i="3"/>
  <c r="W153" i="3"/>
  <c r="V158" i="3"/>
  <c r="I161" i="3"/>
  <c r="V166" i="3"/>
  <c r="U182" i="3"/>
  <c r="Z182" i="3"/>
  <c r="X177" i="3"/>
  <c r="Y177" i="3" s="1"/>
  <c r="AA177" i="3" s="1"/>
  <c r="U183" i="3"/>
  <c r="N185" i="3"/>
  <c r="H189" i="3"/>
  <c r="O189" i="3" s="1"/>
  <c r="S195" i="3"/>
  <c r="N196" i="3"/>
  <c r="J197" i="3"/>
  <c r="X204" i="3"/>
  <c r="V207" i="3"/>
  <c r="V212" i="3" s="1"/>
  <c r="T223" i="3"/>
  <c r="Q59" i="5"/>
  <c r="K59" i="5"/>
  <c r="R59" i="5" s="1"/>
  <c r="S72" i="5"/>
  <c r="K72" i="5"/>
  <c r="M72" i="5" s="1"/>
  <c r="T72" i="5" s="1"/>
  <c r="K61" i="5"/>
  <c r="Q61" i="5"/>
  <c r="AM38" i="5"/>
  <c r="N44" i="5"/>
  <c r="L53" i="5"/>
  <c r="L64" i="5"/>
  <c r="R98" i="5"/>
  <c r="G112" i="5"/>
  <c r="N6" i="5"/>
  <c r="N10" i="5" s="1"/>
  <c r="AK8" i="5"/>
  <c r="I17" i="5"/>
  <c r="G17" i="5"/>
  <c r="AI17" i="5"/>
  <c r="K21" i="5"/>
  <c r="K29" i="5"/>
  <c r="AI53" i="5"/>
  <c r="P72" i="5"/>
  <c r="P75" i="5" s="1"/>
  <c r="S81" i="5"/>
  <c r="S82" i="5" s="1"/>
  <c r="J96" i="5"/>
  <c r="AL101" i="5"/>
  <c r="AJ100" i="5"/>
  <c r="R122" i="5"/>
  <c r="AJ124" i="5"/>
  <c r="AJ129" i="5" s="1"/>
  <c r="AI127" i="5"/>
  <c r="K140" i="5"/>
  <c r="AL148" i="5"/>
  <c r="R29" i="5"/>
  <c r="P59" i="5"/>
  <c r="G119" i="5"/>
  <c r="AJ4" i="5"/>
  <c r="AJ9" i="5" s="1"/>
  <c r="J13" i="5"/>
  <c r="AJ26" i="5"/>
  <c r="N20" i="5"/>
  <c r="G26" i="5"/>
  <c r="L47" i="5"/>
  <c r="S45" i="5"/>
  <c r="AI46" i="5"/>
  <c r="M52" i="5"/>
  <c r="T52" i="5" s="1"/>
  <c r="I55" i="5"/>
  <c r="N66" i="5"/>
  <c r="AL92" i="5"/>
  <c r="R95" i="5"/>
  <c r="I115" i="5"/>
  <c r="J115" i="5" s="1"/>
  <c r="H126" i="5"/>
  <c r="O126" i="5" s="1"/>
  <c r="H135" i="5"/>
  <c r="O135" i="5" s="1"/>
  <c r="AL138" i="5"/>
  <c r="P142" i="5"/>
  <c r="S18" i="5"/>
  <c r="I62" i="5"/>
  <c r="L16" i="5"/>
  <c r="N24" i="5"/>
  <c r="L35" i="5"/>
  <c r="S35" i="5" s="1"/>
  <c r="Q58" i="5"/>
  <c r="R58" i="5" s="1"/>
  <c r="AJ111" i="5"/>
  <c r="P131" i="5"/>
  <c r="N145" i="5"/>
  <c r="AJ10" i="5"/>
  <c r="N7" i="5"/>
  <c r="J14" i="5"/>
  <c r="AL17" i="5"/>
  <c r="H42" i="5"/>
  <c r="O42" i="5" s="1"/>
  <c r="AK46" i="5"/>
  <c r="T49" i="5"/>
  <c r="AL53" i="5"/>
  <c r="H59" i="5"/>
  <c r="O59" i="5" s="1"/>
  <c r="AI84" i="5"/>
  <c r="S91" i="5"/>
  <c r="Q87" i="5"/>
  <c r="J104" i="5"/>
  <c r="J110" i="5" s="1"/>
  <c r="H116" i="5"/>
  <c r="O116" i="5" s="1"/>
  <c r="H117" i="5"/>
  <c r="O117" i="5" s="1"/>
  <c r="G127" i="5"/>
  <c r="O140" i="5"/>
  <c r="AJ149" i="5"/>
  <c r="H146" i="5"/>
  <c r="O146" i="5" s="1"/>
  <c r="AJ84" i="5"/>
  <c r="S92" i="5"/>
  <c r="I129" i="5"/>
  <c r="I138" i="5"/>
  <c r="AK9" i="5"/>
  <c r="P14" i="5"/>
  <c r="AJ38" i="5"/>
  <c r="AM30" i="5"/>
  <c r="AM36" i="5" s="1"/>
  <c r="AJ36" i="5"/>
  <c r="AL37" i="5"/>
  <c r="J42" i="5"/>
  <c r="K42" i="5" s="1"/>
  <c r="R42" i="5" s="1"/>
  <c r="AI45" i="5"/>
  <c r="AM50" i="5"/>
  <c r="AM55" i="5" s="1"/>
  <c r="H60" i="5"/>
  <c r="O60" i="5" s="1"/>
  <c r="H68" i="5"/>
  <c r="O68" i="5" s="1"/>
  <c r="H69" i="5"/>
  <c r="O69" i="5" s="1"/>
  <c r="H71" i="5"/>
  <c r="O71" i="5" s="1"/>
  <c r="AK82" i="5"/>
  <c r="R85" i="5"/>
  <c r="T85" i="5" s="1"/>
  <c r="L90" i="5"/>
  <c r="L101" i="5"/>
  <c r="H108" i="5"/>
  <c r="O108" i="5" s="1"/>
  <c r="J117" i="5"/>
  <c r="I127" i="5"/>
  <c r="Q124" i="5"/>
  <c r="R132" i="5"/>
  <c r="AM141" i="5"/>
  <c r="AM149" i="5" s="1"/>
  <c r="L146" i="5"/>
  <c r="S146" i="5" s="1"/>
  <c r="G147" i="5"/>
  <c r="H140" i="5"/>
  <c r="L145" i="5"/>
  <c r="S145" i="5" s="1"/>
  <c r="AJ64" i="5"/>
  <c r="S57" i="5"/>
  <c r="M89" i="5"/>
  <c r="T89" i="5" s="1"/>
  <c r="AI90" i="5"/>
  <c r="AL136" i="5"/>
  <c r="J6" i="5"/>
  <c r="Q6" i="5" s="1"/>
  <c r="H22" i="5"/>
  <c r="O22" i="5" s="1"/>
  <c r="J23" i="5"/>
  <c r="AL36" i="5"/>
  <c r="AJ46" i="5"/>
  <c r="AJ41" i="5"/>
  <c r="AJ47" i="5" s="1"/>
  <c r="J43" i="5"/>
  <c r="J44" i="5"/>
  <c r="Q44" i="5" s="1"/>
  <c r="L54" i="5"/>
  <c r="J51" i="5"/>
  <c r="I53" i="5"/>
  <c r="AJ62" i="5"/>
  <c r="J60" i="5"/>
  <c r="Q60" i="5" s="1"/>
  <c r="L83" i="5"/>
  <c r="Q79" i="5"/>
  <c r="H96" i="5"/>
  <c r="O96" i="5" s="1"/>
  <c r="Q98" i="5"/>
  <c r="O107" i="5"/>
  <c r="L108" i="5"/>
  <c r="S108" i="5" s="1"/>
  <c r="G121" i="5"/>
  <c r="O131" i="5"/>
  <c r="O136" i="5" s="1"/>
  <c r="I148" i="5"/>
  <c r="H143" i="5"/>
  <c r="O143" i="5" s="1"/>
  <c r="I147" i="5"/>
  <c r="AL149" i="5"/>
  <c r="P39" i="13"/>
  <c r="P38" i="13"/>
  <c r="Q51" i="13"/>
  <c r="Q53" i="13"/>
  <c r="S51" i="13"/>
  <c r="S53" i="13"/>
  <c r="S52" i="13"/>
  <c r="S25" i="13"/>
  <c r="S27" i="13"/>
  <c r="S26" i="13"/>
  <c r="J12" i="13"/>
  <c r="O12" i="13"/>
  <c r="G13" i="13"/>
  <c r="O13" i="13"/>
  <c r="K7" i="13"/>
  <c r="Q9" i="13"/>
  <c r="Q13" i="13" s="1"/>
  <c r="J8" i="13"/>
  <c r="J7" i="13"/>
  <c r="J6" i="13"/>
  <c r="G14" i="13"/>
  <c r="N12" i="13"/>
  <c r="L6" i="13"/>
  <c r="L8" i="13"/>
  <c r="L7" i="13"/>
  <c r="K6" i="13"/>
  <c r="N13" i="13"/>
  <c r="G12" i="13"/>
  <c r="R8" i="2"/>
  <c r="Q8" i="2"/>
  <c r="O3" i="3"/>
  <c r="M7" i="2"/>
  <c r="N7" i="2" s="1"/>
  <c r="P4" i="2"/>
  <c r="L9" i="2"/>
  <c r="M27" i="2"/>
  <c r="N27" i="2" s="1"/>
  <c r="M35" i="2"/>
  <c r="N35" i="2" s="1"/>
  <c r="M40" i="2"/>
  <c r="N40" i="2" s="1"/>
  <c r="M43" i="2"/>
  <c r="N43" i="2" s="1"/>
  <c r="M48" i="2"/>
  <c r="N48" i="2" s="1"/>
  <c r="M51" i="2"/>
  <c r="N51" i="2" s="1"/>
  <c r="M56" i="2"/>
  <c r="N56" i="2" s="1"/>
  <c r="P5" i="2"/>
  <c r="L10" i="2"/>
  <c r="M25" i="2"/>
  <c r="N25" i="2" s="1"/>
  <c r="L27" i="2"/>
  <c r="L35" i="2"/>
  <c r="L43" i="2"/>
  <c r="L51" i="2"/>
  <c r="K4" i="3"/>
  <c r="M4" i="3" s="1"/>
  <c r="M13" i="3" s="1"/>
  <c r="Y11" i="3"/>
  <c r="M12" i="3"/>
  <c r="R14" i="3"/>
  <c r="H50" i="3"/>
  <c r="N56" i="3"/>
  <c r="L78" i="3"/>
  <c r="L77" i="3"/>
  <c r="L79" i="3"/>
  <c r="O73" i="3"/>
  <c r="L88" i="3"/>
  <c r="P3" i="2"/>
  <c r="M6" i="2"/>
  <c r="N6" i="2" s="1"/>
  <c r="L8" i="2"/>
  <c r="M32" i="2"/>
  <c r="N32" i="2" s="1"/>
  <c r="P6" i="2"/>
  <c r="M30" i="2"/>
  <c r="N30" i="2" s="1"/>
  <c r="M33" i="2"/>
  <c r="N33" i="2" s="1"/>
  <c r="M38" i="2"/>
  <c r="N38" i="2" s="1"/>
  <c r="M41" i="2"/>
  <c r="N41" i="2" s="1"/>
  <c r="M46" i="2"/>
  <c r="N46" i="2" s="1"/>
  <c r="M49" i="2"/>
  <c r="N49" i="2" s="1"/>
  <c r="M54" i="2"/>
  <c r="N54" i="2" s="1"/>
  <c r="M57" i="2"/>
  <c r="N57" i="2" s="1"/>
  <c r="G3" i="3"/>
  <c r="P5" i="3"/>
  <c r="P13" i="3" s="1"/>
  <c r="H5" i="3"/>
  <c r="G5" i="3" s="1"/>
  <c r="V12" i="3"/>
  <c r="V13" i="3"/>
  <c r="S22" i="3"/>
  <c r="S23" i="3"/>
  <c r="S24" i="3"/>
  <c r="S78" i="3"/>
  <c r="S77" i="3"/>
  <c r="S79" i="3"/>
  <c r="M71" i="3"/>
  <c r="T71" i="3" s="1"/>
  <c r="R71" i="3"/>
  <c r="U87" i="3"/>
  <c r="U88" i="3"/>
  <c r="V81" i="3"/>
  <c r="W183" i="3"/>
  <c r="W181" i="3"/>
  <c r="X175" i="3"/>
  <c r="AI119" i="5"/>
  <c r="AI120" i="5"/>
  <c r="AJ116" i="5"/>
  <c r="AI121" i="5"/>
  <c r="S80" i="6"/>
  <c r="K80" i="6"/>
  <c r="K84" i="6" s="1"/>
  <c r="M84" i="6"/>
  <c r="M82" i="6"/>
  <c r="M83" i="6"/>
  <c r="L33" i="2"/>
  <c r="L41" i="2"/>
  <c r="L49" i="2"/>
  <c r="L57" i="2"/>
  <c r="I12" i="3"/>
  <c r="R3" i="3"/>
  <c r="I22" i="3"/>
  <c r="P14" i="3"/>
  <c r="H14" i="3"/>
  <c r="I23" i="3"/>
  <c r="AA22" i="3"/>
  <c r="AA23" i="3"/>
  <c r="AA24" i="3"/>
  <c r="Q48" i="3"/>
  <c r="Q49" i="3"/>
  <c r="Q50" i="3"/>
  <c r="AA48" i="3"/>
  <c r="AA49" i="3"/>
  <c r="AA50" i="3"/>
  <c r="J48" i="3"/>
  <c r="J49" i="3"/>
  <c r="J50" i="3"/>
  <c r="O60" i="3"/>
  <c r="H68" i="3"/>
  <c r="S61" i="3"/>
  <c r="M62" i="3"/>
  <c r="T62" i="3" s="1"/>
  <c r="R62" i="3"/>
  <c r="J187" i="3"/>
  <c r="P187" i="3"/>
  <c r="I191" i="3"/>
  <c r="H187" i="3"/>
  <c r="O187" i="3" s="1"/>
  <c r="M36" i="2"/>
  <c r="N36" i="2" s="1"/>
  <c r="M44" i="2"/>
  <c r="N44" i="2" s="1"/>
  <c r="M47" i="2"/>
  <c r="N47" i="2" s="1"/>
  <c r="M52" i="2"/>
  <c r="N52" i="2" s="1"/>
  <c r="M55" i="2"/>
  <c r="N55" i="2" s="1"/>
  <c r="M60" i="2"/>
  <c r="N60" i="2" s="1"/>
  <c r="J11" i="3"/>
  <c r="R6" i="3"/>
  <c r="T6" i="3" s="1"/>
  <c r="J24" i="3"/>
  <c r="H15" i="3"/>
  <c r="G15" i="3" s="1"/>
  <c r="I24" i="3"/>
  <c r="T41" i="3"/>
  <c r="T40" i="3"/>
  <c r="T39" i="3"/>
  <c r="K48" i="3"/>
  <c r="N57" i="3"/>
  <c r="I68" i="3"/>
  <c r="I69" i="3"/>
  <c r="I67" i="3"/>
  <c r="J60" i="3"/>
  <c r="X67" i="3"/>
  <c r="J72" i="3"/>
  <c r="R96" i="3"/>
  <c r="L96" i="3"/>
  <c r="Z126" i="3"/>
  <c r="X123" i="3"/>
  <c r="Y123" i="3" s="1"/>
  <c r="AA123" i="3" s="1"/>
  <c r="L26" i="2"/>
  <c r="L31" i="2"/>
  <c r="L39" i="2"/>
  <c r="L47" i="2"/>
  <c r="K13" i="3"/>
  <c r="I13" i="3"/>
  <c r="K24" i="3"/>
  <c r="M14" i="3"/>
  <c r="O15" i="3"/>
  <c r="N15" i="3" s="1"/>
  <c r="U50" i="3"/>
  <c r="Y48" i="3"/>
  <c r="L49" i="3"/>
  <c r="L69" i="3"/>
  <c r="Y68" i="3"/>
  <c r="AA60" i="3"/>
  <c r="Y69" i="3"/>
  <c r="Y67" i="3"/>
  <c r="Y70" i="3"/>
  <c r="S87" i="3"/>
  <c r="U89" i="3"/>
  <c r="Z141" i="3"/>
  <c r="Z140" i="3"/>
  <c r="M29" i="2"/>
  <c r="N29" i="2" s="1"/>
  <c r="M34" i="2"/>
  <c r="N34" i="2" s="1"/>
  <c r="M37" i="2"/>
  <c r="N37" i="2" s="1"/>
  <c r="M42" i="2"/>
  <c r="N42" i="2" s="1"/>
  <c r="M45" i="2"/>
  <c r="N45" i="2" s="1"/>
  <c r="M50" i="2"/>
  <c r="N50" i="2" s="1"/>
  <c r="M53" i="2"/>
  <c r="N53" i="2" s="1"/>
  <c r="M61" i="2"/>
  <c r="N61" i="2" s="1"/>
  <c r="L11" i="3"/>
  <c r="H4" i="3"/>
  <c r="G4" i="3" s="1"/>
  <c r="U11" i="3"/>
  <c r="J13" i="3"/>
  <c r="P17" i="3"/>
  <c r="O17" i="3" s="1"/>
  <c r="N17" i="3" s="1"/>
  <c r="H17" i="3"/>
  <c r="G17" i="3" s="1"/>
  <c r="X22" i="3"/>
  <c r="Q25" i="3"/>
  <c r="O25" i="3" s="1"/>
  <c r="H25" i="3"/>
  <c r="K27" i="3"/>
  <c r="M27" i="3" s="1"/>
  <c r="Q27" i="3"/>
  <c r="R27" i="3" s="1"/>
  <c r="T27" i="3" s="1"/>
  <c r="S28" i="3"/>
  <c r="K28" i="3"/>
  <c r="M28" i="3" s="1"/>
  <c r="I35" i="3"/>
  <c r="V48" i="3"/>
  <c r="U49" i="3"/>
  <c r="U57" i="3"/>
  <c r="U55" i="3"/>
  <c r="U56" i="3"/>
  <c r="G67" i="3"/>
  <c r="X69" i="3"/>
  <c r="I73" i="3"/>
  <c r="J73" i="3" s="1"/>
  <c r="K73" i="3" s="1"/>
  <c r="M73" i="3" s="1"/>
  <c r="M81" i="3"/>
  <c r="T81" i="3" s="1"/>
  <c r="G127" i="3"/>
  <c r="H121" i="3"/>
  <c r="N121" i="3"/>
  <c r="G126" i="3"/>
  <c r="G125" i="3"/>
  <c r="P7" i="2"/>
  <c r="M28" i="2"/>
  <c r="N28" i="2" s="1"/>
  <c r="M5" i="2"/>
  <c r="N5" i="2" s="1"/>
  <c r="L6" i="2"/>
  <c r="M16" i="2"/>
  <c r="N16" i="2" s="1"/>
  <c r="M18" i="2"/>
  <c r="N18" i="2" s="1"/>
  <c r="M22" i="2"/>
  <c r="N22" i="2" s="1"/>
  <c r="L29" i="2"/>
  <c r="L37" i="2"/>
  <c r="L45" i="2"/>
  <c r="L53" i="2"/>
  <c r="S4" i="3"/>
  <c r="I11" i="3"/>
  <c r="V11" i="3"/>
  <c r="J12" i="3"/>
  <c r="L13" i="3"/>
  <c r="W24" i="3"/>
  <c r="W22" i="3"/>
  <c r="W23" i="3"/>
  <c r="M25" i="3"/>
  <c r="M41" i="3"/>
  <c r="M40" i="3"/>
  <c r="M39" i="3"/>
  <c r="G48" i="3"/>
  <c r="G49" i="3"/>
  <c r="W48" i="3"/>
  <c r="W49" i="3"/>
  <c r="H48" i="3"/>
  <c r="H49" i="3"/>
  <c r="V55" i="3"/>
  <c r="V56" i="3"/>
  <c r="V57" i="3"/>
  <c r="H67" i="3"/>
  <c r="S89" i="3"/>
  <c r="S88" i="3"/>
  <c r="J82" i="3"/>
  <c r="P82" i="3"/>
  <c r="P88" i="3" s="1"/>
  <c r="I89" i="3"/>
  <c r="H82" i="3"/>
  <c r="AI100" i="3"/>
  <c r="AI102" i="3"/>
  <c r="AI101" i="3"/>
  <c r="M59" i="2"/>
  <c r="N59" i="2" s="1"/>
  <c r="Q5" i="3"/>
  <c r="R5" i="3" s="1"/>
  <c r="T5" i="3" s="1"/>
  <c r="K11" i="3"/>
  <c r="X11" i="3"/>
  <c r="K12" i="3"/>
  <c r="X12" i="3"/>
  <c r="J22" i="3"/>
  <c r="S26" i="3"/>
  <c r="S34" i="3" s="1"/>
  <c r="L35" i="3"/>
  <c r="L34" i="3"/>
  <c r="L33" i="3"/>
  <c r="R28" i="3"/>
  <c r="T28" i="3" s="1"/>
  <c r="N41" i="3"/>
  <c r="N40" i="3"/>
  <c r="N39" i="3"/>
  <c r="N42" i="3"/>
  <c r="X48" i="3"/>
  <c r="X49" i="3"/>
  <c r="X50" i="3"/>
  <c r="W50" i="3"/>
  <c r="M57" i="3"/>
  <c r="M55" i="3"/>
  <c r="M56" i="3"/>
  <c r="J61" i="3"/>
  <c r="Q63" i="3"/>
  <c r="R63" i="3" s="1"/>
  <c r="T63" i="3" s="1"/>
  <c r="G69" i="3"/>
  <c r="X88" i="3"/>
  <c r="X87" i="3"/>
  <c r="X89" i="3"/>
  <c r="Y80" i="3"/>
  <c r="Q121" i="3"/>
  <c r="K121" i="3"/>
  <c r="L155" i="3"/>
  <c r="S149" i="3"/>
  <c r="L154" i="3"/>
  <c r="L153" i="3"/>
  <c r="J149" i="3"/>
  <c r="L89" i="3"/>
  <c r="N94" i="3"/>
  <c r="K122" i="3"/>
  <c r="Q122" i="3"/>
  <c r="X134" i="3"/>
  <c r="Y128" i="3"/>
  <c r="X132" i="3"/>
  <c r="H137" i="3"/>
  <c r="O137" i="3" s="1"/>
  <c r="N137" i="3"/>
  <c r="K144" i="3"/>
  <c r="Q144" i="3"/>
  <c r="Z171" i="3"/>
  <c r="Z172" i="3"/>
  <c r="V175" i="3"/>
  <c r="V182" i="3" s="1"/>
  <c r="J198" i="3"/>
  <c r="P198" i="3"/>
  <c r="H198" i="3"/>
  <c r="O198" i="3" s="1"/>
  <c r="H208" i="3"/>
  <c r="O208" i="3" s="1"/>
  <c r="N208" i="3"/>
  <c r="Q16" i="3"/>
  <c r="Z24" i="3"/>
  <c r="H27" i="3"/>
  <c r="G27" i="3" s="1"/>
  <c r="P50" i="3"/>
  <c r="R55" i="3"/>
  <c r="Z55" i="3"/>
  <c r="X57" i="3"/>
  <c r="W89" i="3"/>
  <c r="G108" i="3"/>
  <c r="H105" i="3"/>
  <c r="H110" i="3" s="1"/>
  <c r="J108" i="3"/>
  <c r="Z108" i="3"/>
  <c r="G109" i="3"/>
  <c r="U110" i="3"/>
  <c r="S118" i="3"/>
  <c r="S116" i="3"/>
  <c r="H112" i="3"/>
  <c r="O112" i="3" s="1"/>
  <c r="H113" i="3"/>
  <c r="O113" i="3" s="1"/>
  <c r="V121" i="3"/>
  <c r="Z127" i="3"/>
  <c r="N133" i="3"/>
  <c r="N134" i="3"/>
  <c r="M137" i="3"/>
  <c r="T137" i="3" s="1"/>
  <c r="R137" i="3"/>
  <c r="J188" i="3"/>
  <c r="S188" i="3"/>
  <c r="I220" i="3"/>
  <c r="J39" i="3"/>
  <c r="J40" i="3"/>
  <c r="I50" i="3"/>
  <c r="Y50" i="3"/>
  <c r="P52" i="3"/>
  <c r="S55" i="3"/>
  <c r="I57" i="3"/>
  <c r="Q57" i="3"/>
  <c r="Y57" i="3"/>
  <c r="S60" i="3"/>
  <c r="N61" i="3"/>
  <c r="N68" i="3" s="1"/>
  <c r="V61" i="3"/>
  <c r="V69" i="3" s="1"/>
  <c r="Q62" i="3"/>
  <c r="Z67" i="3"/>
  <c r="N70" i="3"/>
  <c r="V70" i="3"/>
  <c r="Q71" i="3"/>
  <c r="W77" i="3"/>
  <c r="N89" i="3"/>
  <c r="N87" i="3"/>
  <c r="V82" i="3"/>
  <c r="J97" i="3"/>
  <c r="U101" i="3"/>
  <c r="U102" i="3"/>
  <c r="U100" i="3"/>
  <c r="AN101" i="3"/>
  <c r="V102" i="3"/>
  <c r="O103" i="3"/>
  <c r="R103" i="3"/>
  <c r="G110" i="3"/>
  <c r="G117" i="3"/>
  <c r="H111" i="3"/>
  <c r="J113" i="3"/>
  <c r="Q113" i="3" s="1"/>
  <c r="W127" i="3"/>
  <c r="X121" i="3"/>
  <c r="U125" i="3"/>
  <c r="P126" i="3"/>
  <c r="H130" i="3"/>
  <c r="H132" i="3" s="1"/>
  <c r="X135" i="3"/>
  <c r="W141" i="3"/>
  <c r="W140" i="3"/>
  <c r="W139" i="3"/>
  <c r="G155" i="3"/>
  <c r="N151" i="3"/>
  <c r="H151" i="3"/>
  <c r="O151" i="3" s="1"/>
  <c r="I173" i="3"/>
  <c r="G213" i="3"/>
  <c r="L213" i="3"/>
  <c r="S207" i="3"/>
  <c r="S211" i="3" s="1"/>
  <c r="L212" i="3"/>
  <c r="J219" i="3"/>
  <c r="G68" i="3"/>
  <c r="W68" i="3"/>
  <c r="W87" i="3"/>
  <c r="N93" i="3"/>
  <c r="V100" i="3"/>
  <c r="G101" i="3"/>
  <c r="G102" i="3"/>
  <c r="S109" i="3"/>
  <c r="S110" i="3"/>
  <c r="M105" i="3"/>
  <c r="T105" i="3" s="1"/>
  <c r="R105" i="3"/>
  <c r="J109" i="3"/>
  <c r="Z109" i="3"/>
  <c r="J110" i="3"/>
  <c r="Z110" i="3"/>
  <c r="P111" i="3"/>
  <c r="I117" i="3"/>
  <c r="R118" i="3"/>
  <c r="L126" i="3"/>
  <c r="L127" i="3"/>
  <c r="S121" i="3"/>
  <c r="S133" i="3"/>
  <c r="P130" i="3"/>
  <c r="P134" i="3" s="1"/>
  <c r="J130" i="3"/>
  <c r="G141" i="3"/>
  <c r="G140" i="3"/>
  <c r="G139" i="3"/>
  <c r="H135" i="3"/>
  <c r="S171" i="3"/>
  <c r="H179" i="3"/>
  <c r="O179" i="3" s="1"/>
  <c r="N179" i="3"/>
  <c r="U24" i="3"/>
  <c r="Q26" i="3"/>
  <c r="Z49" i="3"/>
  <c r="K50" i="3"/>
  <c r="S50" i="3"/>
  <c r="P61" i="3"/>
  <c r="P69" i="3" s="1"/>
  <c r="L67" i="3"/>
  <c r="H70" i="3"/>
  <c r="P70" i="3"/>
  <c r="N72" i="3"/>
  <c r="G78" i="3"/>
  <c r="G79" i="3"/>
  <c r="N88" i="3"/>
  <c r="P89" i="3"/>
  <c r="Z89" i="3"/>
  <c r="AM102" i="3"/>
  <c r="AM101" i="3"/>
  <c r="W100" i="3"/>
  <c r="Q110" i="3"/>
  <c r="Q109" i="3"/>
  <c r="Q108" i="3"/>
  <c r="V108" i="3"/>
  <c r="V110" i="3"/>
  <c r="V109" i="3"/>
  <c r="K104" i="3"/>
  <c r="K110" i="3" s="1"/>
  <c r="J111" i="3"/>
  <c r="V118" i="3"/>
  <c r="V116" i="3"/>
  <c r="I118" i="3"/>
  <c r="T118" i="3"/>
  <c r="U126" i="3"/>
  <c r="O128" i="3"/>
  <c r="U133" i="3"/>
  <c r="U134" i="3"/>
  <c r="I134" i="3"/>
  <c r="J129" i="3"/>
  <c r="J134" i="3" s="1"/>
  <c r="S132" i="3"/>
  <c r="X133" i="3"/>
  <c r="P141" i="3"/>
  <c r="P140" i="3"/>
  <c r="P139" i="3"/>
  <c r="J148" i="3"/>
  <c r="J146" i="3"/>
  <c r="Q143" i="3"/>
  <c r="Z173" i="3"/>
  <c r="I181" i="3"/>
  <c r="J175" i="3"/>
  <c r="P175" i="3"/>
  <c r="I182" i="3"/>
  <c r="K196" i="3"/>
  <c r="Q214" i="3"/>
  <c r="L50" i="3"/>
  <c r="AA52" i="3"/>
  <c r="G89" i="3"/>
  <c r="M92" i="3"/>
  <c r="M94" i="3"/>
  <c r="N96" i="3"/>
  <c r="H96" i="3"/>
  <c r="Y97" i="3"/>
  <c r="X102" i="3"/>
  <c r="X101" i="3"/>
  <c r="X100" i="3"/>
  <c r="K109" i="3"/>
  <c r="L117" i="3"/>
  <c r="X118" i="3"/>
  <c r="X116" i="3"/>
  <c r="L125" i="3"/>
  <c r="W126" i="3"/>
  <c r="Q128" i="3"/>
  <c r="J133" i="3"/>
  <c r="V133" i="3"/>
  <c r="V134" i="3"/>
  <c r="M143" i="3"/>
  <c r="R143" i="3"/>
  <c r="J147" i="3"/>
  <c r="X154" i="3"/>
  <c r="Y149" i="3"/>
  <c r="X155" i="3"/>
  <c r="P166" i="3"/>
  <c r="J166" i="3"/>
  <c r="M176" i="3"/>
  <c r="T176" i="3" s="1"/>
  <c r="R176" i="3"/>
  <c r="S202" i="3"/>
  <c r="I201" i="3"/>
  <c r="K214" i="3"/>
  <c r="T52" i="3"/>
  <c r="N67" i="3"/>
  <c r="J70" i="3"/>
  <c r="Z79" i="3"/>
  <c r="Z77" i="3"/>
  <c r="V80" i="3"/>
  <c r="O83" i="3"/>
  <c r="P87" i="3"/>
  <c r="Z87" i="3"/>
  <c r="I100" i="3"/>
  <c r="P96" i="3"/>
  <c r="P100" i="3" s="1"/>
  <c r="AO100" i="3"/>
  <c r="AO102" i="3"/>
  <c r="Z100" i="3"/>
  <c r="Z102" i="3"/>
  <c r="Z101" i="3"/>
  <c r="AK102" i="3"/>
  <c r="P105" i="3"/>
  <c r="S108" i="3"/>
  <c r="N111" i="3"/>
  <c r="Y111" i="3"/>
  <c r="G116" i="3"/>
  <c r="P125" i="3"/>
  <c r="V122" i="3"/>
  <c r="K128" i="3"/>
  <c r="L133" i="3"/>
  <c r="V132" i="3"/>
  <c r="N135" i="3"/>
  <c r="J136" i="3"/>
  <c r="S148" i="3"/>
  <c r="S147" i="3"/>
  <c r="P144" i="3"/>
  <c r="P146" i="3" s="1"/>
  <c r="I148" i="3"/>
  <c r="I146" i="3"/>
  <c r="I192" i="3"/>
  <c r="W192" i="3"/>
  <c r="W193" i="3"/>
  <c r="W191" i="3"/>
  <c r="X184" i="3"/>
  <c r="X188" i="3"/>
  <c r="Y188" i="3" s="1"/>
  <c r="AA188" i="3" s="1"/>
  <c r="I108" i="3"/>
  <c r="N109" i="3"/>
  <c r="I127" i="3"/>
  <c r="G133" i="3"/>
  <c r="W133" i="3"/>
  <c r="Z134" i="3"/>
  <c r="U140" i="3"/>
  <c r="H136" i="3"/>
  <c r="O136" i="3" s="1"/>
  <c r="L139" i="3"/>
  <c r="L140" i="3"/>
  <c r="I147" i="3"/>
  <c r="H144" i="3"/>
  <c r="O144" i="3" s="1"/>
  <c r="O147" i="3" s="1"/>
  <c r="I154" i="3"/>
  <c r="I155" i="3"/>
  <c r="L172" i="3"/>
  <c r="L173" i="3"/>
  <c r="W173" i="3"/>
  <c r="J167" i="3"/>
  <c r="V167" i="3"/>
  <c r="V172" i="3" s="1"/>
  <c r="N175" i="3"/>
  <c r="N181" i="3" s="1"/>
  <c r="G183" i="3"/>
  <c r="G181" i="3"/>
  <c r="H184" i="3"/>
  <c r="U191" i="3"/>
  <c r="K185" i="3"/>
  <c r="V187" i="3"/>
  <c r="V193" i="3" s="1"/>
  <c r="N189" i="3"/>
  <c r="N192" i="3" s="1"/>
  <c r="M200" i="3"/>
  <c r="T200" i="3" s="1"/>
  <c r="R200" i="3"/>
  <c r="G212" i="3"/>
  <c r="Q206" i="3"/>
  <c r="N216" i="3"/>
  <c r="H216" i="3"/>
  <c r="O216" i="3" s="1"/>
  <c r="H219" i="3"/>
  <c r="O219" i="3" s="1"/>
  <c r="L108" i="3"/>
  <c r="I109" i="3"/>
  <c r="N110" i="3"/>
  <c r="W117" i="3"/>
  <c r="G132" i="3"/>
  <c r="W132" i="3"/>
  <c r="L148" i="3"/>
  <c r="V143" i="3"/>
  <c r="U146" i="3"/>
  <c r="H146" i="3"/>
  <c r="L147" i="3"/>
  <c r="I159" i="3"/>
  <c r="P156" i="3"/>
  <c r="S160" i="3"/>
  <c r="S161" i="3"/>
  <c r="J157" i="3"/>
  <c r="J161" i="3" s="1"/>
  <c r="Z161" i="3"/>
  <c r="H165" i="3"/>
  <c r="O165" i="3" s="1"/>
  <c r="H169" i="3"/>
  <c r="O169" i="3" s="1"/>
  <c r="G171" i="3"/>
  <c r="W171" i="3"/>
  <c r="G182" i="3"/>
  <c r="X176" i="3"/>
  <c r="Y176" i="3" s="1"/>
  <c r="AA176" i="3" s="1"/>
  <c r="J179" i="3"/>
  <c r="L193" i="3"/>
  <c r="V195" i="3"/>
  <c r="U202" i="3"/>
  <c r="I212" i="3"/>
  <c r="H206" i="3"/>
  <c r="O206" i="3" s="1"/>
  <c r="M208" i="3"/>
  <c r="T208" i="3" s="1"/>
  <c r="R208" i="3"/>
  <c r="I140" i="3"/>
  <c r="W146" i="3"/>
  <c r="W148" i="3"/>
  <c r="P154" i="3"/>
  <c r="Z153" i="3"/>
  <c r="P155" i="3"/>
  <c r="U161" i="3"/>
  <c r="V156" i="3"/>
  <c r="U159" i="3"/>
  <c r="L161" i="3"/>
  <c r="S172" i="3"/>
  <c r="J165" i="3"/>
  <c r="P165" i="3"/>
  <c r="Z193" i="3"/>
  <c r="N195" i="3"/>
  <c r="G201" i="3"/>
  <c r="G202" i="3"/>
  <c r="W201" i="3"/>
  <c r="W202" i="3"/>
  <c r="G203" i="3"/>
  <c r="Q204" i="3"/>
  <c r="M206" i="3"/>
  <c r="T206" i="3" s="1"/>
  <c r="R206" i="3"/>
  <c r="U116" i="3"/>
  <c r="I132" i="3"/>
  <c r="J135" i="3"/>
  <c r="Z139" i="3"/>
  <c r="V136" i="3"/>
  <c r="I141" i="3"/>
  <c r="X143" i="3"/>
  <c r="X144" i="3"/>
  <c r="Y144" i="3" s="1"/>
  <c r="AA144" i="3" s="1"/>
  <c r="H150" i="3"/>
  <c r="N150" i="3"/>
  <c r="N155" i="3" s="1"/>
  <c r="K151" i="3"/>
  <c r="Q151" i="3"/>
  <c r="G154" i="3"/>
  <c r="W154" i="3"/>
  <c r="K156" i="3"/>
  <c r="J159" i="3"/>
  <c r="Z159" i="3"/>
  <c r="U160" i="3"/>
  <c r="I171" i="3"/>
  <c r="J169" i="3"/>
  <c r="L171" i="3"/>
  <c r="W172" i="3"/>
  <c r="I183" i="3"/>
  <c r="W182" i="3"/>
  <c r="K186" i="3"/>
  <c r="Q186" i="3"/>
  <c r="K189" i="3"/>
  <c r="Q189" i="3"/>
  <c r="H195" i="3"/>
  <c r="X195" i="3"/>
  <c r="K204" i="3"/>
  <c r="Y204" i="3"/>
  <c r="L220" i="3"/>
  <c r="V218" i="3"/>
  <c r="S22" i="5"/>
  <c r="L26" i="5"/>
  <c r="L27" i="5"/>
  <c r="G55" i="5"/>
  <c r="N50" i="5"/>
  <c r="G53" i="5"/>
  <c r="H50" i="5"/>
  <c r="H54" i="5" s="1"/>
  <c r="G54" i="5"/>
  <c r="L87" i="3"/>
  <c r="S135" i="3"/>
  <c r="I139" i="3"/>
  <c r="U141" i="3"/>
  <c r="P147" i="3"/>
  <c r="P148" i="3"/>
  <c r="Z148" i="3"/>
  <c r="Z146" i="3"/>
  <c r="N144" i="3"/>
  <c r="N147" i="3" s="1"/>
  <c r="L146" i="3"/>
  <c r="G153" i="3"/>
  <c r="J150" i="3"/>
  <c r="V150" i="3"/>
  <c r="P153" i="3"/>
  <c r="L160" i="3"/>
  <c r="J164" i="3"/>
  <c r="U172" i="3"/>
  <c r="X169" i="3"/>
  <c r="Y169" i="3" s="1"/>
  <c r="AA169" i="3" s="1"/>
  <c r="S173" i="3"/>
  <c r="L181" i="3"/>
  <c r="S174" i="3"/>
  <c r="L182" i="3"/>
  <c r="Y174" i="3"/>
  <c r="H177" i="3"/>
  <c r="O177" i="3" s="1"/>
  <c r="P185" i="3"/>
  <c r="I193" i="3"/>
  <c r="S186" i="3"/>
  <c r="S192" i="3" s="1"/>
  <c r="L192" i="3"/>
  <c r="I202" i="3"/>
  <c r="Z202" i="3"/>
  <c r="K197" i="3"/>
  <c r="Q197" i="3"/>
  <c r="L211" i="3"/>
  <c r="Z213" i="3"/>
  <c r="Z212" i="3"/>
  <c r="Z211" i="3"/>
  <c r="V214" i="3"/>
  <c r="U220" i="3"/>
  <c r="J217" i="3"/>
  <c r="G11" i="4"/>
  <c r="N4" i="4"/>
  <c r="N10" i="4" s="1"/>
  <c r="G9" i="4"/>
  <c r="G10" i="4"/>
  <c r="G31" i="4"/>
  <c r="N24" i="4"/>
  <c r="N29" i="4" s="1"/>
  <c r="G29" i="4"/>
  <c r="X137" i="3"/>
  <c r="Y137" i="3" s="1"/>
  <c r="AA137" i="3" s="1"/>
  <c r="O149" i="3"/>
  <c r="H154" i="3"/>
  <c r="W155" i="3"/>
  <c r="L159" i="3"/>
  <c r="V171" i="3"/>
  <c r="H167" i="3"/>
  <c r="O167" i="3" s="1"/>
  <c r="N167" i="3"/>
  <c r="N171" i="3" s="1"/>
  <c r="Z183" i="3"/>
  <c r="J177" i="3"/>
  <c r="P177" i="3"/>
  <c r="H182" i="3"/>
  <c r="G192" i="3"/>
  <c r="G193" i="3"/>
  <c r="S193" i="3"/>
  <c r="X185" i="3"/>
  <c r="Y185" i="3" s="1"/>
  <c r="AA185" i="3" s="1"/>
  <c r="S201" i="3"/>
  <c r="N213" i="3"/>
  <c r="P206" i="3"/>
  <c r="J207" i="3"/>
  <c r="Q209" i="3"/>
  <c r="K209" i="3"/>
  <c r="S217" i="3"/>
  <c r="S220" i="3" s="1"/>
  <c r="L221" i="3"/>
  <c r="N15" i="4"/>
  <c r="N19" i="4" s="1"/>
  <c r="G20" i="4"/>
  <c r="G41" i="4"/>
  <c r="N34" i="4"/>
  <c r="G39" i="4"/>
  <c r="G40" i="4"/>
  <c r="I203" i="3"/>
  <c r="G211" i="3"/>
  <c r="W212" i="3"/>
  <c r="W213" i="3"/>
  <c r="L222" i="3"/>
  <c r="W222" i="3"/>
  <c r="Q19" i="4"/>
  <c r="Q20" i="4"/>
  <c r="Q21" i="4"/>
  <c r="I29" i="4"/>
  <c r="I30" i="4"/>
  <c r="J24" i="5"/>
  <c r="J26" i="5" s="1"/>
  <c r="S24" i="5"/>
  <c r="S25" i="5" s="1"/>
  <c r="N67" i="5"/>
  <c r="O67" i="5" s="1"/>
  <c r="G74" i="5"/>
  <c r="H67" i="5"/>
  <c r="R72" i="5"/>
  <c r="I172" i="3"/>
  <c r="Q184" i="3"/>
  <c r="P189" i="3"/>
  <c r="Z191" i="3"/>
  <c r="U192" i="3"/>
  <c r="J195" i="3"/>
  <c r="P197" i="3"/>
  <c r="P201" i="3" s="1"/>
  <c r="N199" i="3"/>
  <c r="Q200" i="3"/>
  <c r="L201" i="3"/>
  <c r="Z203" i="3"/>
  <c r="H205" i="3"/>
  <c r="O205" i="3" s="1"/>
  <c r="P205" i="3"/>
  <c r="N207" i="3"/>
  <c r="N211" i="3" s="1"/>
  <c r="Q208" i="3"/>
  <c r="X214" i="3"/>
  <c r="K215" i="3"/>
  <c r="N218" i="3"/>
  <c r="N219" i="3"/>
  <c r="N222" i="3" s="1"/>
  <c r="W220" i="3"/>
  <c r="Q9" i="4"/>
  <c r="Q10" i="4"/>
  <c r="P10" i="4"/>
  <c r="P9" i="4"/>
  <c r="R13" i="4"/>
  <c r="N30" i="4"/>
  <c r="N31" i="4"/>
  <c r="N40" i="4"/>
  <c r="N41" i="4"/>
  <c r="N39" i="4"/>
  <c r="O45" i="5"/>
  <c r="O46" i="5"/>
  <c r="O47" i="5"/>
  <c r="L111" i="5"/>
  <c r="S102" i="5"/>
  <c r="R102" i="5" s="1"/>
  <c r="K102" i="5"/>
  <c r="S203" i="3"/>
  <c r="N212" i="3"/>
  <c r="I211" i="3"/>
  <c r="R10" i="4"/>
  <c r="R11" i="4"/>
  <c r="P27" i="4"/>
  <c r="AM128" i="5"/>
  <c r="K125" i="5"/>
  <c r="Q125" i="5"/>
  <c r="J127" i="5"/>
  <c r="U153" i="3"/>
  <c r="G159" i="3"/>
  <c r="W159" i="3"/>
  <c r="P171" i="3"/>
  <c r="Z181" i="3"/>
  <c r="K184" i="3"/>
  <c r="L191" i="3"/>
  <c r="Z220" i="3"/>
  <c r="Z221" i="3"/>
  <c r="H5" i="5"/>
  <c r="O5" i="5" s="1"/>
  <c r="O9" i="5" s="1"/>
  <c r="G9" i="5"/>
  <c r="N31" i="5"/>
  <c r="H31" i="5"/>
  <c r="O31" i="5" s="1"/>
  <c r="J74" i="5"/>
  <c r="Q129" i="5"/>
  <c r="V149" i="3"/>
  <c r="H164" i="3"/>
  <c r="X164" i="3"/>
  <c r="J174" i="3"/>
  <c r="U203" i="3"/>
  <c r="H204" i="3"/>
  <c r="H214" i="3"/>
  <c r="M216" i="3"/>
  <c r="T216" i="3" s="1"/>
  <c r="G222" i="3"/>
  <c r="T3" i="4"/>
  <c r="R9" i="4"/>
  <c r="Q11" i="4"/>
  <c r="I19" i="4"/>
  <c r="I20" i="4"/>
  <c r="P17" i="4"/>
  <c r="P21" i="4" s="1"/>
  <c r="Q29" i="4"/>
  <c r="Q30" i="4"/>
  <c r="Q31" i="4"/>
  <c r="R23" i="4"/>
  <c r="I31" i="4"/>
  <c r="R4" i="5"/>
  <c r="S47" i="5"/>
  <c r="H156" i="3"/>
  <c r="X156" i="3"/>
  <c r="I213" i="3"/>
  <c r="I221" i="3"/>
  <c r="P218" i="3"/>
  <c r="P222" i="3" s="1"/>
  <c r="J218" i="3"/>
  <c r="G220" i="3"/>
  <c r="G221" i="3"/>
  <c r="S8" i="5"/>
  <c r="J30" i="5"/>
  <c r="I38" i="5"/>
  <c r="P30" i="5"/>
  <c r="Q30" i="5" s="1"/>
  <c r="R30" i="5" s="1"/>
  <c r="T30" i="5" s="1"/>
  <c r="U10" i="4"/>
  <c r="I9" i="4"/>
  <c r="I10" i="4"/>
  <c r="I11" i="4"/>
  <c r="G21" i="4"/>
  <c r="N14" i="4"/>
  <c r="G19" i="4"/>
  <c r="L9" i="5"/>
  <c r="L10" i="5"/>
  <c r="K7" i="5"/>
  <c r="Q7" i="5"/>
  <c r="AI10" i="5"/>
  <c r="I18" i="5"/>
  <c r="R21" i="5"/>
  <c r="J22" i="5"/>
  <c r="O30" i="5"/>
  <c r="Q38" i="5"/>
  <c r="Q41" i="5"/>
  <c r="P58" i="5"/>
  <c r="I63" i="5"/>
  <c r="I64" i="5"/>
  <c r="O65" i="5"/>
  <c r="AL78" i="5"/>
  <c r="AN83" i="5"/>
  <c r="AN84" i="5"/>
  <c r="AN82" i="5"/>
  <c r="J80" i="5"/>
  <c r="P80" i="5"/>
  <c r="P82" i="5" s="1"/>
  <c r="I84" i="5"/>
  <c r="Q29" i="6"/>
  <c r="Q28" i="6"/>
  <c r="Q27" i="6"/>
  <c r="R23" i="6"/>
  <c r="I39" i="4"/>
  <c r="I40" i="4"/>
  <c r="I41" i="4"/>
  <c r="M3" i="5"/>
  <c r="H13" i="5"/>
  <c r="O13" i="5" s="1"/>
  <c r="O16" i="5" s="1"/>
  <c r="P13" i="5"/>
  <c r="P17" i="5" s="1"/>
  <c r="I16" i="5"/>
  <c r="G38" i="5"/>
  <c r="G36" i="5"/>
  <c r="H28" i="5"/>
  <c r="G45" i="5"/>
  <c r="G46" i="5"/>
  <c r="I41" i="5"/>
  <c r="AJ45" i="5"/>
  <c r="S65" i="5"/>
  <c r="K65" i="5"/>
  <c r="S83" i="5"/>
  <c r="O78" i="5"/>
  <c r="Q78" i="5"/>
  <c r="J128" i="5"/>
  <c r="R144" i="5"/>
  <c r="T144" i="5" s="1"/>
  <c r="AM10" i="6"/>
  <c r="AM11" i="6"/>
  <c r="AM9" i="6"/>
  <c r="S15" i="6"/>
  <c r="S16" i="6"/>
  <c r="S14" i="6"/>
  <c r="S20" i="6"/>
  <c r="S21" i="6"/>
  <c r="S22" i="6"/>
  <c r="O30" i="6"/>
  <c r="P34" i="6"/>
  <c r="P33" i="6"/>
  <c r="P35" i="6"/>
  <c r="S5" i="5"/>
  <c r="J5" i="5"/>
  <c r="S16" i="5"/>
  <c r="Q13" i="5"/>
  <c r="K13" i="5"/>
  <c r="I36" i="5"/>
  <c r="P34" i="5"/>
  <c r="H34" i="5"/>
  <c r="O34" i="5" s="1"/>
  <c r="L34" i="5"/>
  <c r="G37" i="5"/>
  <c r="K43" i="5"/>
  <c r="Q43" i="5"/>
  <c r="G64" i="5"/>
  <c r="G62" i="5"/>
  <c r="N57" i="5"/>
  <c r="O57" i="5" s="1"/>
  <c r="G63" i="5"/>
  <c r="H57" i="5"/>
  <c r="O58" i="5"/>
  <c r="K66" i="5"/>
  <c r="S66" i="5"/>
  <c r="R66" i="5" s="1"/>
  <c r="S123" i="5"/>
  <c r="L129" i="5"/>
  <c r="L127" i="5"/>
  <c r="L128" i="5"/>
  <c r="M123" i="5"/>
  <c r="H20" i="6"/>
  <c r="AH22" i="6"/>
  <c r="R30" i="6"/>
  <c r="M58" i="6"/>
  <c r="Q39" i="4"/>
  <c r="Q40" i="4"/>
  <c r="O10" i="5"/>
  <c r="O8" i="5"/>
  <c r="G10" i="5"/>
  <c r="G8" i="5"/>
  <c r="I4" i="5"/>
  <c r="H4" i="5" s="1"/>
  <c r="K6" i="5"/>
  <c r="H18" i="5"/>
  <c r="I27" i="5"/>
  <c r="I25" i="5"/>
  <c r="P20" i="5"/>
  <c r="I26" i="5"/>
  <c r="AL27" i="5"/>
  <c r="AL25" i="5"/>
  <c r="AM22" i="5"/>
  <c r="AM37" i="5"/>
  <c r="K34" i="5"/>
  <c r="T48" i="5"/>
  <c r="K51" i="5"/>
  <c r="Q51" i="5"/>
  <c r="AL55" i="5"/>
  <c r="O66" i="5"/>
  <c r="Q67" i="5"/>
  <c r="R67" i="5" s="1"/>
  <c r="T67" i="5" s="1"/>
  <c r="P115" i="5"/>
  <c r="O115" i="5" s="1"/>
  <c r="Q127" i="5"/>
  <c r="S148" i="5"/>
  <c r="L28" i="6"/>
  <c r="S24" i="6"/>
  <c r="L29" i="6"/>
  <c r="L27" i="6"/>
  <c r="K24" i="6"/>
  <c r="G56" i="6"/>
  <c r="N50" i="6"/>
  <c r="N54" i="6" s="1"/>
  <c r="G55" i="6"/>
  <c r="R33" i="4"/>
  <c r="N15" i="5"/>
  <c r="G18" i="5"/>
  <c r="O19" i="5"/>
  <c r="AL26" i="5"/>
  <c r="N29" i="5"/>
  <c r="O29" i="5" s="1"/>
  <c r="H29" i="5"/>
  <c r="AL41" i="5"/>
  <c r="AN46" i="5"/>
  <c r="AN47" i="5"/>
  <c r="K44" i="5"/>
  <c r="G47" i="5"/>
  <c r="O56" i="5"/>
  <c r="P61" i="5"/>
  <c r="H61" i="5"/>
  <c r="O61" i="5" s="1"/>
  <c r="I83" i="5"/>
  <c r="J111" i="5"/>
  <c r="K104" i="5"/>
  <c r="M104" i="5" s="1"/>
  <c r="J112" i="5"/>
  <c r="T122" i="5"/>
  <c r="AM4" i="5"/>
  <c r="AL8" i="5"/>
  <c r="AL9" i="5"/>
  <c r="H17" i="5"/>
  <c r="R19" i="5"/>
  <c r="K23" i="5"/>
  <c r="Q23" i="5"/>
  <c r="L36" i="5"/>
  <c r="S46" i="5"/>
  <c r="L46" i="5"/>
  <c r="N51" i="5"/>
  <c r="N55" i="5" s="1"/>
  <c r="P64" i="5"/>
  <c r="AJ74" i="5"/>
  <c r="AJ73" i="5"/>
  <c r="AJ75" i="5"/>
  <c r="R103" i="5"/>
  <c r="AM138" i="5"/>
  <c r="AM136" i="5"/>
  <c r="O7" i="4"/>
  <c r="O10" i="4" s="1"/>
  <c r="K11" i="4"/>
  <c r="S11" i="4"/>
  <c r="O17" i="4"/>
  <c r="O20" i="4" s="1"/>
  <c r="O19" i="4"/>
  <c r="K21" i="4"/>
  <c r="S21" i="4"/>
  <c r="O27" i="4"/>
  <c r="O30" i="4" s="1"/>
  <c r="O29" i="4"/>
  <c r="K31" i="4"/>
  <c r="S31" i="4"/>
  <c r="O37" i="4"/>
  <c r="O40" i="4" s="1"/>
  <c r="O39" i="4"/>
  <c r="K41" i="4"/>
  <c r="S41" i="4"/>
  <c r="P6" i="5"/>
  <c r="P8" i="5" s="1"/>
  <c r="N8" i="5"/>
  <c r="AJ8" i="5"/>
  <c r="AN10" i="5"/>
  <c r="H16" i="5"/>
  <c r="P16" i="5"/>
  <c r="AL16" i="5"/>
  <c r="L18" i="5"/>
  <c r="N23" i="5"/>
  <c r="AJ25" i="5"/>
  <c r="AJ27" i="5"/>
  <c r="P28" i="5"/>
  <c r="I37" i="5"/>
  <c r="N43" i="5"/>
  <c r="N46" i="5" s="1"/>
  <c r="L45" i="5"/>
  <c r="P51" i="5"/>
  <c r="P53" i="5" s="1"/>
  <c r="Q57" i="5"/>
  <c r="Q62" i="5" s="1"/>
  <c r="S61" i="5"/>
  <c r="P63" i="5"/>
  <c r="AL63" i="5"/>
  <c r="M77" i="5"/>
  <c r="AJ82" i="5"/>
  <c r="G84" i="5"/>
  <c r="G92" i="5"/>
  <c r="N87" i="5"/>
  <c r="N91" i="5" s="1"/>
  <c r="G101" i="5"/>
  <c r="G99" i="5"/>
  <c r="N94" i="5"/>
  <c r="G100" i="5"/>
  <c r="H94" i="5"/>
  <c r="K103" i="5"/>
  <c r="S103" i="5"/>
  <c r="N104" i="5"/>
  <c r="P109" i="5"/>
  <c r="H109" i="5"/>
  <c r="O109" i="5" s="1"/>
  <c r="L109" i="5"/>
  <c r="S109" i="5" s="1"/>
  <c r="K126" i="5"/>
  <c r="K129" i="5" s="1"/>
  <c r="K131" i="5"/>
  <c r="S131" i="5"/>
  <c r="S137" i="5" s="1"/>
  <c r="L138" i="5"/>
  <c r="L136" i="5"/>
  <c r="P133" i="5"/>
  <c r="J133" i="5"/>
  <c r="Q17" i="6"/>
  <c r="I20" i="6"/>
  <c r="J19" i="6"/>
  <c r="K19" i="6" s="1"/>
  <c r="M19" i="6" s="1"/>
  <c r="I22" i="6"/>
  <c r="G38" i="6"/>
  <c r="T136" i="6"/>
  <c r="S137" i="6"/>
  <c r="S152" i="6"/>
  <c r="S149" i="6"/>
  <c r="L150" i="6"/>
  <c r="L152" i="6"/>
  <c r="J15" i="5"/>
  <c r="S17" i="5"/>
  <c r="AI18" i="5"/>
  <c r="N21" i="5"/>
  <c r="O21" i="5" s="1"/>
  <c r="P22" i="5"/>
  <c r="Q42" i="5"/>
  <c r="Q49" i="5"/>
  <c r="J50" i="5"/>
  <c r="J55" i="5" s="1"/>
  <c r="S50" i="5"/>
  <c r="S55" i="5" s="1"/>
  <c r="I54" i="5"/>
  <c r="N59" i="5"/>
  <c r="N63" i="5" s="1"/>
  <c r="L62" i="5"/>
  <c r="G75" i="5"/>
  <c r="G73" i="5"/>
  <c r="J67" i="5"/>
  <c r="I75" i="5"/>
  <c r="S90" i="5"/>
  <c r="I100" i="5"/>
  <c r="K109" i="5"/>
  <c r="H134" i="5"/>
  <c r="O134" i="5" s="1"/>
  <c r="J148" i="5"/>
  <c r="Q139" i="5"/>
  <c r="J149" i="5"/>
  <c r="P10" i="6"/>
  <c r="P11" i="6"/>
  <c r="P9" i="6"/>
  <c r="M17" i="6"/>
  <c r="AI28" i="6"/>
  <c r="AI29" i="6"/>
  <c r="AI27" i="6"/>
  <c r="K10" i="4"/>
  <c r="S10" i="4"/>
  <c r="U11" i="4"/>
  <c r="K20" i="4"/>
  <c r="S20" i="4"/>
  <c r="U21" i="4"/>
  <c r="K30" i="4"/>
  <c r="S30" i="4"/>
  <c r="U31" i="4"/>
  <c r="K40" i="4"/>
  <c r="S40" i="4"/>
  <c r="U41" i="4"/>
  <c r="AN9" i="5"/>
  <c r="R11" i="5"/>
  <c r="AJ13" i="5"/>
  <c r="AJ16" i="5" s="1"/>
  <c r="L17" i="5"/>
  <c r="P23" i="5"/>
  <c r="P27" i="5" s="1"/>
  <c r="R28" i="5"/>
  <c r="P43" i="5"/>
  <c r="P45" i="5" s="1"/>
  <c r="Q52" i="5"/>
  <c r="J54" i="5"/>
  <c r="R56" i="5"/>
  <c r="AM59" i="5"/>
  <c r="AM64" i="5" s="1"/>
  <c r="N60" i="5"/>
  <c r="H65" i="5"/>
  <c r="I82" i="5"/>
  <c r="K81" i="5"/>
  <c r="G82" i="5"/>
  <c r="O93" i="5"/>
  <c r="J100" i="5"/>
  <c r="H95" i="5"/>
  <c r="K97" i="5"/>
  <c r="P98" i="5"/>
  <c r="P101" i="5" s="1"/>
  <c r="H98" i="5"/>
  <c r="O98" i="5" s="1"/>
  <c r="S116" i="5"/>
  <c r="J116" i="5"/>
  <c r="J121" i="5" s="1"/>
  <c r="K128" i="5"/>
  <c r="AJ127" i="5"/>
  <c r="M134" i="5"/>
  <c r="T134" i="5" s="1"/>
  <c r="T138" i="5" s="1"/>
  <c r="R134" i="5"/>
  <c r="M139" i="5"/>
  <c r="R140" i="5"/>
  <c r="AH11" i="6"/>
  <c r="AH9" i="6"/>
  <c r="AH10" i="6"/>
  <c r="H12" i="6"/>
  <c r="P12" i="6"/>
  <c r="I15" i="6"/>
  <c r="I16" i="6"/>
  <c r="H13" i="6"/>
  <c r="G13" i="6" s="1"/>
  <c r="P13" i="6"/>
  <c r="I14" i="6"/>
  <c r="O116" i="6"/>
  <c r="N116" i="6" s="1"/>
  <c r="N121" i="6" s="1"/>
  <c r="P120" i="6"/>
  <c r="G25" i="5"/>
  <c r="G27" i="5"/>
  <c r="AI55" i="5"/>
  <c r="I73" i="5"/>
  <c r="I74" i="5"/>
  <c r="Q73" i="5"/>
  <c r="Q74" i="5"/>
  <c r="AM90" i="5"/>
  <c r="AM91" i="5"/>
  <c r="AM92" i="5"/>
  <c r="I99" i="5"/>
  <c r="AJ112" i="5"/>
  <c r="AJ110" i="5"/>
  <c r="O114" i="5"/>
  <c r="AK119" i="5"/>
  <c r="AJ115" i="5"/>
  <c r="AJ121" i="5" s="1"/>
  <c r="AK120" i="5"/>
  <c r="AK121" i="5"/>
  <c r="P118" i="5"/>
  <c r="P121" i="5" s="1"/>
  <c r="H118" i="5"/>
  <c r="I121" i="5"/>
  <c r="L121" i="5"/>
  <c r="Q128" i="5"/>
  <c r="AJ138" i="5"/>
  <c r="AJ136" i="5"/>
  <c r="AJ137" i="5"/>
  <c r="N3" i="6"/>
  <c r="G10" i="6"/>
  <c r="G11" i="6"/>
  <c r="G9" i="6"/>
  <c r="Q12" i="6"/>
  <c r="J15" i="6"/>
  <c r="J16" i="6"/>
  <c r="K12" i="6"/>
  <c r="Q13" i="6"/>
  <c r="R13" i="6" s="1"/>
  <c r="K13" i="6"/>
  <c r="J14" i="6"/>
  <c r="AO29" i="6"/>
  <c r="AO28" i="6"/>
  <c r="AO27" i="6"/>
  <c r="P61" i="6"/>
  <c r="I65" i="6"/>
  <c r="I66" i="6"/>
  <c r="H61" i="6"/>
  <c r="G61" i="6" s="1"/>
  <c r="G65" i="6" s="1"/>
  <c r="I64" i="6"/>
  <c r="H62" i="6"/>
  <c r="G62" i="6" s="1"/>
  <c r="P62" i="6"/>
  <c r="S99" i="6"/>
  <c r="L102" i="6"/>
  <c r="L101" i="6"/>
  <c r="L103" i="6"/>
  <c r="AM13" i="5"/>
  <c r="AM17" i="5" s="1"/>
  <c r="N14" i="5"/>
  <c r="N17" i="5" s="1"/>
  <c r="M40" i="5"/>
  <c r="AJ50" i="5"/>
  <c r="AJ54" i="5" s="1"/>
  <c r="P62" i="5"/>
  <c r="AL62" i="5"/>
  <c r="R65" i="5"/>
  <c r="AL75" i="5"/>
  <c r="AM67" i="5"/>
  <c r="AM75" i="5" s="1"/>
  <c r="L71" i="5"/>
  <c r="S71" i="5" s="1"/>
  <c r="J78" i="5"/>
  <c r="M85" i="5"/>
  <c r="H88" i="5"/>
  <c r="O88" i="5" s="1"/>
  <c r="O92" i="5" s="1"/>
  <c r="I101" i="5"/>
  <c r="G110" i="5"/>
  <c r="AM110" i="5"/>
  <c r="AL110" i="5"/>
  <c r="AL111" i="5"/>
  <c r="AL112" i="5"/>
  <c r="P120" i="5"/>
  <c r="I120" i="5"/>
  <c r="AL115" i="5"/>
  <c r="J118" i="5"/>
  <c r="I119" i="5"/>
  <c r="AL127" i="5"/>
  <c r="AL128" i="5"/>
  <c r="AL129" i="5"/>
  <c r="AM124" i="5"/>
  <c r="AM129" i="5" s="1"/>
  <c r="S126" i="5"/>
  <c r="AM137" i="5"/>
  <c r="P134" i="5"/>
  <c r="M135" i="5"/>
  <c r="T135" i="5" s="1"/>
  <c r="R135" i="5"/>
  <c r="S141" i="5"/>
  <c r="S149" i="5" s="1"/>
  <c r="L147" i="5"/>
  <c r="H3" i="6"/>
  <c r="P18" i="6"/>
  <c r="Q18" i="6" s="1"/>
  <c r="R18" i="6" s="1"/>
  <c r="O18" i="6"/>
  <c r="O20" i="6" s="1"/>
  <c r="H35" i="6"/>
  <c r="G30" i="6"/>
  <c r="H33" i="6"/>
  <c r="M35" i="6"/>
  <c r="M33" i="6"/>
  <c r="M34" i="6"/>
  <c r="AI39" i="6"/>
  <c r="AI42" i="6" s="1"/>
  <c r="AJ41" i="6"/>
  <c r="N71" i="5"/>
  <c r="N74" i="5" s="1"/>
  <c r="AL74" i="5"/>
  <c r="Q75" i="5"/>
  <c r="L84" i="5"/>
  <c r="L82" i="5"/>
  <c r="H80" i="5"/>
  <c r="O80" i="5" s="1"/>
  <c r="N80" i="5"/>
  <c r="N84" i="5" s="1"/>
  <c r="I90" i="5"/>
  <c r="J88" i="5"/>
  <c r="J90" i="5" s="1"/>
  <c r="P88" i="5"/>
  <c r="P92" i="5" s="1"/>
  <c r="N138" i="5"/>
  <c r="G137" i="5"/>
  <c r="N132" i="5"/>
  <c r="O132" i="5" s="1"/>
  <c r="H132" i="5"/>
  <c r="Q134" i="5"/>
  <c r="G138" i="5"/>
  <c r="R17" i="6"/>
  <c r="K31" i="6"/>
  <c r="H31" i="6"/>
  <c r="G31" i="6" s="1"/>
  <c r="Q31" i="6"/>
  <c r="R31" i="6" s="1"/>
  <c r="J33" i="6"/>
  <c r="Q58" i="6"/>
  <c r="J65" i="6"/>
  <c r="J66" i="6"/>
  <c r="J64" i="6"/>
  <c r="AJ83" i="5"/>
  <c r="H84" i="5"/>
  <c r="AL91" i="5"/>
  <c r="Q94" i="5"/>
  <c r="S98" i="5"/>
  <c r="S100" i="5" s="1"/>
  <c r="J99" i="5"/>
  <c r="AL100" i="5"/>
  <c r="J101" i="5"/>
  <c r="N102" i="5"/>
  <c r="P104" i="5"/>
  <c r="Q104" i="5" s="1"/>
  <c r="R104" i="5" s="1"/>
  <c r="T104" i="5" s="1"/>
  <c r="Q108" i="5"/>
  <c r="G111" i="5"/>
  <c r="I112" i="5"/>
  <c r="AM112" i="5"/>
  <c r="AN119" i="5"/>
  <c r="L120" i="5"/>
  <c r="N125" i="5"/>
  <c r="N129" i="5" s="1"/>
  <c r="AJ128" i="5"/>
  <c r="Q135" i="5"/>
  <c r="N137" i="5"/>
  <c r="N141" i="5"/>
  <c r="Q146" i="5"/>
  <c r="G149" i="5"/>
  <c r="Q3" i="6"/>
  <c r="AI12" i="6"/>
  <c r="AO14" i="6"/>
  <c r="AJ15" i="6"/>
  <c r="L21" i="6"/>
  <c r="S28" i="6"/>
  <c r="O24" i="6"/>
  <c r="N24" i="6" s="1"/>
  <c r="H28" i="6"/>
  <c r="S35" i="6"/>
  <c r="S33" i="6"/>
  <c r="P38" i="6"/>
  <c r="O38" i="6" s="1"/>
  <c r="N38" i="6" s="1"/>
  <c r="I41" i="6"/>
  <c r="K44" i="6"/>
  <c r="S44" i="6"/>
  <c r="R44" i="6" s="1"/>
  <c r="R48" i="6" s="1"/>
  <c r="L47" i="6"/>
  <c r="K45" i="6"/>
  <c r="S45" i="6"/>
  <c r="R45" i="6" s="1"/>
  <c r="T48" i="6"/>
  <c r="AJ48" i="6"/>
  <c r="Q62" i="6"/>
  <c r="R62" i="6" s="1"/>
  <c r="K62" i="6"/>
  <c r="K65" i="6" s="1"/>
  <c r="AO76" i="6"/>
  <c r="AO77" i="6"/>
  <c r="AO75" i="6"/>
  <c r="AJ83" i="6"/>
  <c r="AJ84" i="6"/>
  <c r="AJ82" i="6"/>
  <c r="AI79" i="6"/>
  <c r="K125" i="6"/>
  <c r="K126" i="6"/>
  <c r="N201" i="6"/>
  <c r="AJ206" i="6"/>
  <c r="AJ207" i="6"/>
  <c r="AI203" i="6"/>
  <c r="AJ205" i="6"/>
  <c r="L99" i="5"/>
  <c r="G128" i="5"/>
  <c r="I136" i="5"/>
  <c r="AJ148" i="5"/>
  <c r="L14" i="6"/>
  <c r="H39" i="6"/>
  <c r="G39" i="6" s="1"/>
  <c r="G41" i="6" s="1"/>
  <c r="P39" i="6"/>
  <c r="I40" i="6"/>
  <c r="H84" i="6"/>
  <c r="H83" i="6"/>
  <c r="H82" i="6"/>
  <c r="G79" i="6"/>
  <c r="H83" i="5"/>
  <c r="Q89" i="5"/>
  <c r="J91" i="5"/>
  <c r="L92" i="5"/>
  <c r="R93" i="5"/>
  <c r="S94" i="5"/>
  <c r="AM96" i="5"/>
  <c r="AM99" i="5" s="1"/>
  <c r="N97" i="5"/>
  <c r="N101" i="5" s="1"/>
  <c r="AJ99" i="5"/>
  <c r="H102" i="5"/>
  <c r="P102" i="5"/>
  <c r="K108" i="5"/>
  <c r="I111" i="5"/>
  <c r="AM111" i="5"/>
  <c r="N117" i="5"/>
  <c r="N119" i="5" s="1"/>
  <c r="P123" i="5"/>
  <c r="H125" i="5"/>
  <c r="O125" i="5" s="1"/>
  <c r="O129" i="5" s="1"/>
  <c r="P125" i="5"/>
  <c r="J129" i="5"/>
  <c r="H131" i="5"/>
  <c r="Q131" i="5"/>
  <c r="J136" i="5"/>
  <c r="AL137" i="5"/>
  <c r="N139" i="5"/>
  <c r="P141" i="5"/>
  <c r="Q145" i="5"/>
  <c r="K146" i="5"/>
  <c r="G148" i="5"/>
  <c r="I149" i="5"/>
  <c r="K3" i="6"/>
  <c r="S3" i="6"/>
  <c r="I9" i="6"/>
  <c r="AF9" i="6"/>
  <c r="AF11" i="6"/>
  <c r="AO16" i="6"/>
  <c r="N17" i="6"/>
  <c r="AO20" i="6"/>
  <c r="G24" i="6"/>
  <c r="R24" i="6"/>
  <c r="P42" i="6"/>
  <c r="K41" i="6"/>
  <c r="K42" i="6"/>
  <c r="Q39" i="6"/>
  <c r="J41" i="6"/>
  <c r="K39" i="6"/>
  <c r="K40" i="6" s="1"/>
  <c r="J40" i="6"/>
  <c r="O48" i="6"/>
  <c r="O46" i="6"/>
  <c r="AM71" i="6"/>
  <c r="AM69" i="6"/>
  <c r="AM70" i="6"/>
  <c r="AO67" i="6"/>
  <c r="T72" i="6"/>
  <c r="Q96" i="6"/>
  <c r="Q95" i="6"/>
  <c r="Q97" i="6"/>
  <c r="AI92" i="5"/>
  <c r="G120" i="5"/>
  <c r="I128" i="5"/>
  <c r="J9" i="6"/>
  <c r="AJ14" i="6"/>
  <c r="AH20" i="6"/>
  <c r="G21" i="6"/>
  <c r="AF22" i="6"/>
  <c r="P27" i="6"/>
  <c r="L40" i="6"/>
  <c r="S47" i="6"/>
  <c r="AJ87" i="5"/>
  <c r="AJ91" i="5" s="1"/>
  <c r="AL99" i="5"/>
  <c r="K115" i="5"/>
  <c r="N136" i="5"/>
  <c r="H139" i="5"/>
  <c r="P139" i="5"/>
  <c r="H22" i="6"/>
  <c r="P22" i="6"/>
  <c r="AH19" i="6"/>
  <c r="AH21" i="6" s="1"/>
  <c r="H21" i="6"/>
  <c r="P21" i="6"/>
  <c r="N27" i="6"/>
  <c r="N29" i="6"/>
  <c r="AJ28" i="6"/>
  <c r="AJ27" i="6"/>
  <c r="AJ29" i="6"/>
  <c r="AA27" i="6"/>
  <c r="N28" i="6"/>
  <c r="AA29" i="6"/>
  <c r="J34" i="6"/>
  <c r="K30" i="6"/>
  <c r="T37" i="6"/>
  <c r="Q41" i="6"/>
  <c r="AI44" i="6"/>
  <c r="AJ47" i="6"/>
  <c r="G54" i="6"/>
  <c r="R128" i="6"/>
  <c r="R130" i="6" s="1"/>
  <c r="Q130" i="6"/>
  <c r="L9" i="6"/>
  <c r="AI9" i="6"/>
  <c r="AM21" i="6"/>
  <c r="AM22" i="6"/>
  <c r="P29" i="6"/>
  <c r="S34" i="6"/>
  <c r="J35" i="6"/>
  <c r="S39" i="6"/>
  <c r="Q40" i="6"/>
  <c r="AM48" i="6"/>
  <c r="AM46" i="6"/>
  <c r="AO44" i="6"/>
  <c r="N56" i="6"/>
  <c r="N55" i="6"/>
  <c r="P65" i="6"/>
  <c r="K71" i="6"/>
  <c r="K69" i="6"/>
  <c r="K70" i="6"/>
  <c r="L82" i="6"/>
  <c r="L69" i="6"/>
  <c r="L71" i="6"/>
  <c r="O74" i="6"/>
  <c r="AA83" i="6"/>
  <c r="AA82" i="6"/>
  <c r="AA84" i="6"/>
  <c r="AI90" i="6"/>
  <c r="AI88" i="6"/>
  <c r="AI89" i="6"/>
  <c r="K99" i="6"/>
  <c r="K123" i="6"/>
  <c r="K124" i="6" s="1"/>
  <c r="O128" i="6"/>
  <c r="AO137" i="6"/>
  <c r="AO139" i="6"/>
  <c r="AO138" i="6"/>
  <c r="R152" i="6"/>
  <c r="R150" i="6"/>
  <c r="T147" i="6"/>
  <c r="K149" i="6"/>
  <c r="K151" i="6" s="1"/>
  <c r="AM28" i="6"/>
  <c r="I33" i="6"/>
  <c r="AJ34" i="6"/>
  <c r="I35" i="6"/>
  <c r="S38" i="6"/>
  <c r="S42" i="6" s="1"/>
  <c r="AH40" i="6"/>
  <c r="AH42" i="6"/>
  <c r="N46" i="6"/>
  <c r="J47" i="6"/>
  <c r="R47" i="6"/>
  <c r="N48" i="6"/>
  <c r="S61" i="6"/>
  <c r="S66" i="6" s="1"/>
  <c r="O67" i="6"/>
  <c r="AJ69" i="6"/>
  <c r="I70" i="6"/>
  <c r="Q70" i="6"/>
  <c r="M72" i="6"/>
  <c r="H73" i="6"/>
  <c r="H76" i="6" s="1"/>
  <c r="S75" i="6"/>
  <c r="S76" i="6"/>
  <c r="O80" i="6"/>
  <c r="N80" i="6" s="1"/>
  <c r="AO89" i="6"/>
  <c r="AO90" i="6"/>
  <c r="AO88" i="6"/>
  <c r="R86" i="6"/>
  <c r="AO96" i="6"/>
  <c r="AO97" i="6"/>
  <c r="AO95" i="6"/>
  <c r="S122" i="6"/>
  <c r="L125" i="6"/>
  <c r="L126" i="6"/>
  <c r="R123" i="6"/>
  <c r="Q140" i="6"/>
  <c r="H140" i="6"/>
  <c r="J144" i="6"/>
  <c r="K140" i="6"/>
  <c r="R148" i="6"/>
  <c r="R151" i="6" s="1"/>
  <c r="R149" i="6"/>
  <c r="O154" i="6"/>
  <c r="O157" i="6" s="1"/>
  <c r="P156" i="6"/>
  <c r="P157" i="6"/>
  <c r="P71" i="6"/>
  <c r="J73" i="6"/>
  <c r="I77" i="6"/>
  <c r="N77" i="6"/>
  <c r="N82" i="6"/>
  <c r="R80" i="6"/>
  <c r="AI99" i="6"/>
  <c r="AJ102" i="6"/>
  <c r="AJ103" i="6"/>
  <c r="AJ101" i="6"/>
  <c r="S131" i="6"/>
  <c r="Q141" i="6"/>
  <c r="H141" i="6"/>
  <c r="G141" i="6" s="1"/>
  <c r="K141" i="6"/>
  <c r="J143" i="6"/>
  <c r="AI30" i="6"/>
  <c r="AJ40" i="6"/>
  <c r="H44" i="6"/>
  <c r="P46" i="6"/>
  <c r="N58" i="6"/>
  <c r="AH58" i="6"/>
  <c r="L64" i="6"/>
  <c r="AI64" i="6"/>
  <c r="H67" i="6"/>
  <c r="P84" i="6"/>
  <c r="K83" i="6"/>
  <c r="K82" i="6"/>
  <c r="H94" i="6"/>
  <c r="G94" i="6" s="1"/>
  <c r="P94" i="6"/>
  <c r="O94" i="6" s="1"/>
  <c r="N94" i="6" s="1"/>
  <c r="I96" i="6"/>
  <c r="S103" i="6"/>
  <c r="S101" i="6"/>
  <c r="S102" i="6"/>
  <c r="T98" i="6"/>
  <c r="AJ125" i="6"/>
  <c r="AI122" i="6"/>
  <c r="AJ126" i="6"/>
  <c r="AJ124" i="6"/>
  <c r="AH131" i="6"/>
  <c r="AH132" i="6"/>
  <c r="AH130" i="6"/>
  <c r="S138" i="6"/>
  <c r="G157" i="6"/>
  <c r="G158" i="6"/>
  <c r="R196" i="6"/>
  <c r="O196" i="6"/>
  <c r="N196" i="6" s="1"/>
  <c r="AO213" i="6"/>
  <c r="AO211" i="6"/>
  <c r="AO212" i="6"/>
  <c r="L33" i="6"/>
  <c r="I46" i="6"/>
  <c r="AJ64" i="6"/>
  <c r="I69" i="6"/>
  <c r="Q69" i="6"/>
  <c r="L70" i="6"/>
  <c r="H75" i="6"/>
  <c r="P75" i="6"/>
  <c r="AF76" i="6"/>
  <c r="AF77" i="6"/>
  <c r="Q84" i="6"/>
  <c r="O78" i="6"/>
  <c r="L83" i="6"/>
  <c r="S79" i="6"/>
  <c r="L84" i="6"/>
  <c r="H97" i="6"/>
  <c r="G93" i="6"/>
  <c r="G97" i="6" s="1"/>
  <c r="H96" i="6"/>
  <c r="G121" i="6"/>
  <c r="L124" i="6"/>
  <c r="K131" i="6"/>
  <c r="S139" i="6"/>
  <c r="S144" i="6"/>
  <c r="S145" i="6"/>
  <c r="S143" i="6"/>
  <c r="J145" i="6"/>
  <c r="O23" i="6"/>
  <c r="AJ33" i="6"/>
  <c r="J46" i="6"/>
  <c r="H58" i="6"/>
  <c r="S67" i="6"/>
  <c r="S68" i="6"/>
  <c r="R68" i="6" s="1"/>
  <c r="J69" i="6"/>
  <c r="I76" i="6"/>
  <c r="P73" i="6"/>
  <c r="P77" i="6" s="1"/>
  <c r="AH74" i="6"/>
  <c r="AH75" i="6" s="1"/>
  <c r="N75" i="6"/>
  <c r="R78" i="6"/>
  <c r="P83" i="6"/>
  <c r="O79" i="6"/>
  <c r="N79" i="6" s="1"/>
  <c r="N83" i="6" s="1"/>
  <c r="P82" i="6"/>
  <c r="Q83" i="6"/>
  <c r="O85" i="6"/>
  <c r="P89" i="6"/>
  <c r="P90" i="6"/>
  <c r="P88" i="6"/>
  <c r="M90" i="6"/>
  <c r="M88" i="6"/>
  <c r="M89" i="6"/>
  <c r="G88" i="6"/>
  <c r="G89" i="6"/>
  <c r="O93" i="6"/>
  <c r="N93" i="6" s="1"/>
  <c r="AI150" i="6"/>
  <c r="AO158" i="6"/>
  <c r="AO156" i="6"/>
  <c r="R155" i="6"/>
  <c r="AM40" i="6"/>
  <c r="G64" i="6"/>
  <c r="AI67" i="6"/>
  <c r="AJ70" i="6"/>
  <c r="R79" i="6"/>
  <c r="Q82" i="6"/>
  <c r="K88" i="6"/>
  <c r="O97" i="6"/>
  <c r="K100" i="6"/>
  <c r="Q113" i="6"/>
  <c r="J120" i="6"/>
  <c r="J121" i="6"/>
  <c r="J119" i="6"/>
  <c r="K113" i="6"/>
  <c r="H117" i="6"/>
  <c r="G117" i="6" s="1"/>
  <c r="G119" i="6" s="1"/>
  <c r="P117" i="6"/>
  <c r="O117" i="6" s="1"/>
  <c r="N117" i="6" s="1"/>
  <c r="N120" i="6" s="1"/>
  <c r="M132" i="6"/>
  <c r="M130" i="6"/>
  <c r="Q129" i="6"/>
  <c r="R129" i="6" s="1"/>
  <c r="T129" i="6" s="1"/>
  <c r="T131" i="6" s="1"/>
  <c r="K152" i="6"/>
  <c r="K150" i="6"/>
  <c r="N187" i="6"/>
  <c r="H88" i="6"/>
  <c r="L89" i="6"/>
  <c r="H90" i="6"/>
  <c r="J95" i="6"/>
  <c r="J97" i="6"/>
  <c r="I102" i="6"/>
  <c r="Q102" i="6"/>
  <c r="G110" i="6"/>
  <c r="I119" i="6"/>
  <c r="AJ120" i="6"/>
  <c r="I121" i="6"/>
  <c r="H125" i="6"/>
  <c r="J130" i="6"/>
  <c r="J132" i="6"/>
  <c r="R132" i="6"/>
  <c r="AH143" i="6"/>
  <c r="AH145" i="6"/>
  <c r="AJ150" i="6"/>
  <c r="I151" i="6"/>
  <c r="Q151" i="6"/>
  <c r="AJ152" i="6"/>
  <c r="O158" i="6"/>
  <c r="H156" i="6"/>
  <c r="Q157" i="6"/>
  <c r="H158" i="6"/>
  <c r="AM158" i="6"/>
  <c r="O168" i="6"/>
  <c r="K198" i="6"/>
  <c r="AM205" i="6"/>
  <c r="AO204" i="6"/>
  <c r="AM75" i="6"/>
  <c r="AM83" i="6"/>
  <c r="I88" i="6"/>
  <c r="Q88" i="6"/>
  <c r="AJ89" i="6"/>
  <c r="Q90" i="6"/>
  <c r="S93" i="6"/>
  <c r="R93" i="6" s="1"/>
  <c r="K94" i="6"/>
  <c r="S95" i="6"/>
  <c r="AH95" i="6"/>
  <c r="G96" i="6"/>
  <c r="AH97" i="6"/>
  <c r="AO99" i="6"/>
  <c r="J102" i="6"/>
  <c r="R102" i="6"/>
  <c r="N105" i="6"/>
  <c r="N109" i="6" s="1"/>
  <c r="S116" i="6"/>
  <c r="S120" i="6" s="1"/>
  <c r="K117" i="6"/>
  <c r="AO122" i="6"/>
  <c r="I125" i="6"/>
  <c r="Q125" i="6"/>
  <c r="AM125" i="6"/>
  <c r="O127" i="6"/>
  <c r="K130" i="6"/>
  <c r="S130" i="6"/>
  <c r="G131" i="6"/>
  <c r="K132" i="6"/>
  <c r="S132" i="6"/>
  <c r="H134" i="6"/>
  <c r="Q134" i="6"/>
  <c r="Q135" i="6"/>
  <c r="Q137" i="6" s="1"/>
  <c r="J138" i="6"/>
  <c r="AH138" i="6"/>
  <c r="AM139" i="6"/>
  <c r="L143" i="6"/>
  <c r="AI143" i="6"/>
  <c r="P144" i="6"/>
  <c r="AM144" i="6"/>
  <c r="L145" i="6"/>
  <c r="AI145" i="6"/>
  <c r="N146" i="6"/>
  <c r="AO149" i="6"/>
  <c r="J151" i="6"/>
  <c r="I156" i="6"/>
  <c r="Q156" i="6"/>
  <c r="AI157" i="6"/>
  <c r="G165" i="6"/>
  <c r="AM181" i="6"/>
  <c r="AM179" i="6"/>
  <c r="AM180" i="6"/>
  <c r="AO177" i="6"/>
  <c r="H187" i="6"/>
  <c r="R53" i="7"/>
  <c r="M53" i="7"/>
  <c r="T53" i="7" s="1"/>
  <c r="S85" i="6"/>
  <c r="R85" i="6" s="1"/>
  <c r="J88" i="6"/>
  <c r="J90" i="6"/>
  <c r="K93" i="6"/>
  <c r="AI93" i="6"/>
  <c r="L95" i="6"/>
  <c r="AM96" i="6"/>
  <c r="L97" i="6"/>
  <c r="G99" i="6"/>
  <c r="P99" i="6"/>
  <c r="K116" i="6"/>
  <c r="AI116" i="6"/>
  <c r="S119" i="6"/>
  <c r="AH119" i="6"/>
  <c r="G120" i="6"/>
  <c r="AH121" i="6"/>
  <c r="G122" i="6"/>
  <c r="P122" i="6"/>
  <c r="J125" i="6"/>
  <c r="P127" i="6"/>
  <c r="N129" i="6"/>
  <c r="O129" i="6" s="1"/>
  <c r="H131" i="6"/>
  <c r="AM131" i="6"/>
  <c r="L132" i="6"/>
  <c r="O133" i="6"/>
  <c r="AI138" i="6"/>
  <c r="P139" i="6"/>
  <c r="M143" i="6"/>
  <c r="M145" i="6"/>
  <c r="AJ145" i="6"/>
  <c r="O148" i="6"/>
  <c r="N148" i="6" s="1"/>
  <c r="G149" i="6"/>
  <c r="G151" i="6" s="1"/>
  <c r="P149" i="6"/>
  <c r="P152" i="6" s="1"/>
  <c r="S151" i="6"/>
  <c r="AH151" i="6"/>
  <c r="G152" i="6"/>
  <c r="S154" i="6"/>
  <c r="R154" i="6" s="1"/>
  <c r="J156" i="6"/>
  <c r="AJ157" i="6"/>
  <c r="L158" i="6"/>
  <c r="G164" i="6"/>
  <c r="N166" i="6"/>
  <c r="S175" i="6"/>
  <c r="S176" i="6"/>
  <c r="S174" i="6"/>
  <c r="AJ176" i="6"/>
  <c r="AJ174" i="6"/>
  <c r="AI171" i="6"/>
  <c r="H181" i="6"/>
  <c r="H179" i="6"/>
  <c r="G177" i="6"/>
  <c r="P192" i="6"/>
  <c r="AI199" i="6"/>
  <c r="AI200" i="6"/>
  <c r="AI198" i="6"/>
  <c r="T212" i="6"/>
  <c r="T213" i="6"/>
  <c r="T211" i="6"/>
  <c r="AJ95" i="6"/>
  <c r="H101" i="6"/>
  <c r="L119" i="6"/>
  <c r="H124" i="6"/>
  <c r="P150" i="6"/>
  <c r="L151" i="6"/>
  <c r="K158" i="6"/>
  <c r="K157" i="6"/>
  <c r="K156" i="6"/>
  <c r="S40" i="7"/>
  <c r="S42" i="7" s="1"/>
  <c r="K40" i="7"/>
  <c r="L44" i="7"/>
  <c r="L42" i="7"/>
  <c r="L43" i="7"/>
  <c r="L88" i="6"/>
  <c r="N91" i="6"/>
  <c r="T92" i="6"/>
  <c r="J96" i="6"/>
  <c r="R99" i="6"/>
  <c r="R101" i="6" s="1"/>
  <c r="I101" i="6"/>
  <c r="Q101" i="6"/>
  <c r="O113" i="6"/>
  <c r="AJ119" i="6"/>
  <c r="I120" i="6"/>
  <c r="R122" i="6"/>
  <c r="I124" i="6"/>
  <c r="Q124" i="6"/>
  <c r="AM124" i="6"/>
  <c r="H129" i="6"/>
  <c r="H132" i="6" s="1"/>
  <c r="AO129" i="6"/>
  <c r="AO131" i="6" s="1"/>
  <c r="N130" i="6"/>
  <c r="K134" i="6"/>
  <c r="J139" i="6"/>
  <c r="AH139" i="6"/>
  <c r="I150" i="6"/>
  <c r="Q150" i="6"/>
  <c r="Q152" i="6"/>
  <c r="S158" i="6"/>
  <c r="L156" i="6"/>
  <c r="AI156" i="6"/>
  <c r="AH175" i="6"/>
  <c r="AH176" i="6"/>
  <c r="AH174" i="6"/>
  <c r="L176" i="6"/>
  <c r="S203" i="6"/>
  <c r="S207" i="6" s="1"/>
  <c r="L207" i="6"/>
  <c r="L206" i="6"/>
  <c r="L205" i="6"/>
  <c r="K203" i="6"/>
  <c r="G213" i="6"/>
  <c r="G211" i="6"/>
  <c r="G212" i="6"/>
  <c r="AJ88" i="6"/>
  <c r="G95" i="6"/>
  <c r="J101" i="6"/>
  <c r="J103" i="6"/>
  <c r="H113" i="6"/>
  <c r="N119" i="6"/>
  <c r="J124" i="6"/>
  <c r="R133" i="6"/>
  <c r="P143" i="6"/>
  <c r="AM143" i="6"/>
  <c r="J150" i="6"/>
  <c r="J152" i="6"/>
  <c r="T153" i="6"/>
  <c r="AJ156" i="6"/>
  <c r="AM157" i="6"/>
  <c r="R168" i="6"/>
  <c r="Q172" i="6"/>
  <c r="R172" i="6" s="1"/>
  <c r="K172" i="6"/>
  <c r="K175" i="6" s="1"/>
  <c r="AJ175" i="6"/>
  <c r="K179" i="6"/>
  <c r="K180" i="6"/>
  <c r="Q200" i="6"/>
  <c r="Q198" i="6"/>
  <c r="R195" i="6"/>
  <c r="O195" i="6"/>
  <c r="Q199" i="6"/>
  <c r="P95" i="6"/>
  <c r="AM95" i="6"/>
  <c r="AH101" i="6"/>
  <c r="H130" i="6"/>
  <c r="AM130" i="6"/>
  <c r="I143" i="6"/>
  <c r="S150" i="6"/>
  <c r="AH150" i="6"/>
  <c r="AH158" i="6"/>
  <c r="AH157" i="6"/>
  <c r="K176" i="6"/>
  <c r="K174" i="6"/>
  <c r="M168" i="6"/>
  <c r="P171" i="6"/>
  <c r="P176" i="6" s="1"/>
  <c r="H171" i="6"/>
  <c r="G171" i="6" s="1"/>
  <c r="G176" i="6" s="1"/>
  <c r="I174" i="6"/>
  <c r="J184" i="6"/>
  <c r="S184" i="6"/>
  <c r="Q184" i="6" s="1"/>
  <c r="K199" i="6"/>
  <c r="S206" i="6"/>
  <c r="R204" i="6"/>
  <c r="Q171" i="6"/>
  <c r="Q175" i="6" s="1"/>
  <c r="AM174" i="6"/>
  <c r="L179" i="6"/>
  <c r="J181" i="6"/>
  <c r="I185" i="6"/>
  <c r="AF185" i="6"/>
  <c r="I187" i="6"/>
  <c r="AF187" i="6"/>
  <c r="S192" i="6"/>
  <c r="AA192" i="6"/>
  <c r="AI192" i="6"/>
  <c r="P193" i="6"/>
  <c r="M194" i="6"/>
  <c r="J198" i="6"/>
  <c r="AO198" i="6"/>
  <c r="J200" i="6"/>
  <c r="AO200" i="6"/>
  <c r="H206" i="6"/>
  <c r="P206" i="6"/>
  <c r="AM213" i="6"/>
  <c r="AM211" i="6"/>
  <c r="AM212" i="6"/>
  <c r="H211" i="6"/>
  <c r="Q41" i="7"/>
  <c r="K41" i="7"/>
  <c r="K43" i="7" s="1"/>
  <c r="S45" i="7"/>
  <c r="R45" i="7" s="1"/>
  <c r="L50" i="7"/>
  <c r="L48" i="7"/>
  <c r="S46" i="7"/>
  <c r="K46" i="7"/>
  <c r="K48" i="7" s="1"/>
  <c r="K55" i="7"/>
  <c r="R52" i="7"/>
  <c r="K56" i="7"/>
  <c r="K54" i="7"/>
  <c r="J174" i="6"/>
  <c r="J176" i="6"/>
  <c r="AJ179" i="6"/>
  <c r="I180" i="6"/>
  <c r="Q180" i="6"/>
  <c r="L181" i="6"/>
  <c r="AH185" i="6"/>
  <c r="G186" i="6"/>
  <c r="O186" i="6"/>
  <c r="AH187" i="6"/>
  <c r="H189" i="6"/>
  <c r="Q189" i="6"/>
  <c r="H190" i="6"/>
  <c r="G190" i="6" s="1"/>
  <c r="Q190" i="6"/>
  <c r="R190" i="6" s="1"/>
  <c r="M192" i="6"/>
  <c r="J193" i="6"/>
  <c r="AH193" i="6"/>
  <c r="AM194" i="6"/>
  <c r="L198" i="6"/>
  <c r="P199" i="6"/>
  <c r="AM199" i="6"/>
  <c r="L200" i="6"/>
  <c r="T202" i="6"/>
  <c r="J206" i="6"/>
  <c r="AH207" i="6"/>
  <c r="M212" i="6"/>
  <c r="M213" i="6"/>
  <c r="O209" i="6"/>
  <c r="N209" i="6" s="1"/>
  <c r="N213" i="6" s="1"/>
  <c r="M211" i="6"/>
  <c r="S44" i="7"/>
  <c r="P44" i="7"/>
  <c r="M52" i="7"/>
  <c r="G166" i="6"/>
  <c r="P177" i="6"/>
  <c r="J180" i="6"/>
  <c r="P182" i="6"/>
  <c r="N184" i="6"/>
  <c r="O184" i="6" s="1"/>
  <c r="O187" i="6" s="1"/>
  <c r="L185" i="6"/>
  <c r="H186" i="6"/>
  <c r="AM186" i="6"/>
  <c r="L187" i="6"/>
  <c r="O188" i="6"/>
  <c r="S193" i="6"/>
  <c r="AA193" i="6"/>
  <c r="AI193" i="6"/>
  <c r="P194" i="6"/>
  <c r="M198" i="6"/>
  <c r="AJ198" i="6"/>
  <c r="I199" i="6"/>
  <c r="M200" i="6"/>
  <c r="AJ200" i="6"/>
  <c r="O203" i="6"/>
  <c r="N203" i="6" s="1"/>
  <c r="G204" i="6"/>
  <c r="G206" i="6" s="1"/>
  <c r="O205" i="6"/>
  <c r="AH206" i="6"/>
  <c r="J207" i="6"/>
  <c r="N212" i="6"/>
  <c r="P211" i="6"/>
  <c r="M56" i="7"/>
  <c r="M54" i="7"/>
  <c r="AI55" i="7"/>
  <c r="AI56" i="7"/>
  <c r="AI54" i="7"/>
  <c r="O97" i="7"/>
  <c r="G97" i="7"/>
  <c r="N97" i="7" s="1"/>
  <c r="O213" i="6"/>
  <c r="H213" i="6"/>
  <c r="H212" i="6"/>
  <c r="O212" i="6"/>
  <c r="AC44" i="7"/>
  <c r="AC42" i="7"/>
  <c r="AC43" i="7"/>
  <c r="N96" i="7"/>
  <c r="O96" i="7" s="1"/>
  <c r="H96" i="7"/>
  <c r="S103" i="7"/>
  <c r="K103" i="7"/>
  <c r="L107" i="7"/>
  <c r="I179" i="6"/>
  <c r="Q179" i="6"/>
  <c r="L180" i="6"/>
  <c r="AO184" i="6"/>
  <c r="AO185" i="6" s="1"/>
  <c r="K189" i="6"/>
  <c r="J194" i="6"/>
  <c r="AH194" i="6"/>
  <c r="I205" i="6"/>
  <c r="M206" i="6"/>
  <c r="P213" i="6"/>
  <c r="G221" i="6"/>
  <c r="G220" i="6"/>
  <c r="N214" i="6"/>
  <c r="J43" i="7"/>
  <c r="Q38" i="7"/>
  <c r="J44" i="7"/>
  <c r="J42" i="7"/>
  <c r="H42" i="7"/>
  <c r="AO49" i="7"/>
  <c r="P106" i="7"/>
  <c r="P107" i="7"/>
  <c r="P105" i="7"/>
  <c r="O159" i="7"/>
  <c r="H163" i="7"/>
  <c r="H168" i="6"/>
  <c r="P172" i="6"/>
  <c r="O172" i="6" s="1"/>
  <c r="N172" i="6" s="1"/>
  <c r="J175" i="6"/>
  <c r="S177" i="6"/>
  <c r="S178" i="6"/>
  <c r="R178" i="6" s="1"/>
  <c r="S182" i="6"/>
  <c r="T182" i="6" s="1"/>
  <c r="G185" i="6"/>
  <c r="O185" i="6"/>
  <c r="R188" i="6"/>
  <c r="H195" i="6"/>
  <c r="H196" i="6"/>
  <c r="G196" i="6" s="1"/>
  <c r="P198" i="6"/>
  <c r="AM198" i="6"/>
  <c r="Q213" i="6"/>
  <c r="Q211" i="6"/>
  <c r="Q212" i="6"/>
  <c r="J213" i="6"/>
  <c r="J211" i="6"/>
  <c r="J212" i="6"/>
  <c r="AI212" i="6"/>
  <c r="AI213" i="6"/>
  <c r="AI211" i="6"/>
  <c r="AO43" i="7"/>
  <c r="J49" i="7"/>
  <c r="AF55" i="7"/>
  <c r="AH51" i="7"/>
  <c r="K101" i="7"/>
  <c r="K99" i="7"/>
  <c r="K100" i="7"/>
  <c r="P98" i="7"/>
  <c r="P99" i="7" s="1"/>
  <c r="H98" i="7"/>
  <c r="H100" i="7" s="1"/>
  <c r="Q169" i="7"/>
  <c r="G174" i="6"/>
  <c r="AI177" i="6"/>
  <c r="H185" i="6"/>
  <c r="AM185" i="6"/>
  <c r="I198" i="6"/>
  <c r="Q207" i="6"/>
  <c r="O206" i="6"/>
  <c r="AM206" i="6"/>
  <c r="R213" i="6"/>
  <c r="R211" i="6"/>
  <c r="R212" i="6"/>
  <c r="K209" i="6"/>
  <c r="Q47" i="7"/>
  <c r="Q49" i="7" s="1"/>
  <c r="J50" i="7"/>
  <c r="J48" i="7"/>
  <c r="K47" i="7"/>
  <c r="K50" i="7" s="1"/>
  <c r="L49" i="7"/>
  <c r="AF54" i="7"/>
  <c r="L105" i="7"/>
  <c r="L211" i="6"/>
  <c r="P212" i="6"/>
  <c r="G120" i="7"/>
  <c r="G177" i="7"/>
  <c r="G124" i="7"/>
  <c r="G181" i="7"/>
  <c r="G128" i="7"/>
  <c r="G185" i="7"/>
  <c r="G193" i="7"/>
  <c r="G136" i="7"/>
  <c r="G197" i="7"/>
  <c r="G140" i="7"/>
  <c r="G201" i="7"/>
  <c r="G144" i="7"/>
  <c r="G148" i="7"/>
  <c r="G205" i="7"/>
  <c r="AI40" i="7"/>
  <c r="I42" i="7"/>
  <c r="AF42" i="7"/>
  <c r="AJ43" i="7"/>
  <c r="I44" i="7"/>
  <c r="AF44" i="7"/>
  <c r="M45" i="7"/>
  <c r="AI46" i="7"/>
  <c r="I48" i="7"/>
  <c r="AF48" i="7"/>
  <c r="AJ49" i="7"/>
  <c r="I50" i="7"/>
  <c r="N51" i="7"/>
  <c r="J54" i="7"/>
  <c r="Q96" i="7"/>
  <c r="R96" i="7" s="1"/>
  <c r="K98" i="7"/>
  <c r="R102" i="7"/>
  <c r="Q104" i="7"/>
  <c r="J107" i="7"/>
  <c r="J105" i="7"/>
  <c r="K104" i="7"/>
  <c r="K105" i="7" s="1"/>
  <c r="K112" i="7"/>
  <c r="R109" i="7"/>
  <c r="K113" i="7"/>
  <c r="K111" i="7"/>
  <c r="M155" i="7"/>
  <c r="T155" i="7" s="1"/>
  <c r="R155" i="7"/>
  <c r="M161" i="7"/>
  <c r="T161" i="7" s="1"/>
  <c r="R161" i="7"/>
  <c r="AO168" i="7"/>
  <c r="N39" i="7"/>
  <c r="O39" i="7" s="1"/>
  <c r="AO42" i="7"/>
  <c r="AO44" i="7"/>
  <c r="AO48" i="7"/>
  <c r="AO50" i="7"/>
  <c r="AF100" i="7"/>
  <c r="R110" i="7"/>
  <c r="M110" i="7"/>
  <c r="M113" i="7" s="1"/>
  <c r="O165" i="7"/>
  <c r="P166" i="7"/>
  <c r="H166" i="7"/>
  <c r="I168" i="7"/>
  <c r="G198" i="7"/>
  <c r="G121" i="7"/>
  <c r="G178" i="7"/>
  <c r="G125" i="7"/>
  <c r="G182" i="7"/>
  <c r="G129" i="7"/>
  <c r="G186" i="7"/>
  <c r="G133" i="7"/>
  <c r="G190" i="7"/>
  <c r="G137" i="7"/>
  <c r="G194" i="7"/>
  <c r="G202" i="7"/>
  <c r="G145" i="7"/>
  <c r="AH38" i="7"/>
  <c r="O45" i="7"/>
  <c r="AH48" i="7"/>
  <c r="AH50" i="7"/>
  <c r="P51" i="7"/>
  <c r="H52" i="7"/>
  <c r="AO52" i="7"/>
  <c r="L54" i="7"/>
  <c r="AM55" i="7"/>
  <c r="L56" i="7"/>
  <c r="G66" i="7"/>
  <c r="I101" i="7"/>
  <c r="I99" i="7"/>
  <c r="R95" i="7"/>
  <c r="L101" i="7"/>
  <c r="S158" i="7"/>
  <c r="AI158" i="7"/>
  <c r="AM168" i="7"/>
  <c r="H40" i="7"/>
  <c r="P45" i="7"/>
  <c r="H46" i="7"/>
  <c r="Q52" i="7"/>
  <c r="Q55" i="7" s="1"/>
  <c r="G53" i="7"/>
  <c r="N53" i="7" s="1"/>
  <c r="AJ54" i="7"/>
  <c r="J100" i="7"/>
  <c r="S95" i="7"/>
  <c r="AC101" i="7"/>
  <c r="AC99" i="7"/>
  <c r="AJ101" i="7"/>
  <c r="AJ100" i="7"/>
  <c r="AI97" i="7"/>
  <c r="AH106" i="7"/>
  <c r="AH107" i="7"/>
  <c r="AH105" i="7"/>
  <c r="M111" i="7"/>
  <c r="G179" i="7"/>
  <c r="G122" i="7"/>
  <c r="G183" i="7"/>
  <c r="G126" i="7"/>
  <c r="G187" i="7"/>
  <c r="G130" i="7"/>
  <c r="G191" i="7"/>
  <c r="G134" i="7"/>
  <c r="G195" i="7"/>
  <c r="G138" i="7"/>
  <c r="G199" i="7"/>
  <c r="G142" i="7"/>
  <c r="G203" i="7"/>
  <c r="G146" i="7"/>
  <c r="AJ42" i="7"/>
  <c r="AJ48" i="7"/>
  <c r="J55" i="7"/>
  <c r="G63" i="7"/>
  <c r="G67" i="7"/>
  <c r="G71" i="7"/>
  <c r="G75" i="7"/>
  <c r="G79" i="7"/>
  <c r="G83" i="7"/>
  <c r="G87" i="7"/>
  <c r="G91" i="7"/>
  <c r="I100" i="7"/>
  <c r="O103" i="7"/>
  <c r="G103" i="7"/>
  <c r="N103" i="7" s="1"/>
  <c r="AI112" i="7"/>
  <c r="AI113" i="7"/>
  <c r="AI111" i="7"/>
  <c r="AI164" i="7"/>
  <c r="I211" i="6"/>
  <c r="H41" i="7"/>
  <c r="H47" i="7"/>
  <c r="S51" i="7"/>
  <c r="M95" i="7"/>
  <c r="AF101" i="7"/>
  <c r="AF99" i="7"/>
  <c r="AO97" i="7"/>
  <c r="Q98" i="7"/>
  <c r="J99" i="7"/>
  <c r="AM101" i="7"/>
  <c r="S106" i="7"/>
  <c r="S107" i="7"/>
  <c r="S105" i="7"/>
  <c r="L106" i="7"/>
  <c r="N153" i="7"/>
  <c r="O153" i="7" s="1"/>
  <c r="H153" i="7"/>
  <c r="AI156" i="7"/>
  <c r="AH164" i="7"/>
  <c r="AH162" i="7"/>
  <c r="AH163" i="7"/>
  <c r="G180" i="7"/>
  <c r="L227" i="7"/>
  <c r="L225" i="7"/>
  <c r="M222" i="7"/>
  <c r="S222" i="7"/>
  <c r="L226" i="7"/>
  <c r="G119" i="7"/>
  <c r="G176" i="7"/>
  <c r="G184" i="7"/>
  <c r="G127" i="7"/>
  <c r="G188" i="7"/>
  <c r="G131" i="7"/>
  <c r="G192" i="7"/>
  <c r="G135" i="7"/>
  <c r="G196" i="7"/>
  <c r="G139" i="7"/>
  <c r="G200" i="7"/>
  <c r="G143" i="7"/>
  <c r="G147" i="7"/>
  <c r="G204" i="7"/>
  <c r="AM54" i="7"/>
  <c r="G64" i="7"/>
  <c r="G68" i="7"/>
  <c r="G72" i="7"/>
  <c r="G76" i="7"/>
  <c r="G80" i="7"/>
  <c r="G84" i="7"/>
  <c r="G88" i="7"/>
  <c r="AH100" i="7"/>
  <c r="AH101" i="7"/>
  <c r="AC100" i="7"/>
  <c r="AO106" i="7"/>
  <c r="AO107" i="7"/>
  <c r="AO105" i="7"/>
  <c r="AF112" i="7"/>
  <c r="AH108" i="7"/>
  <c r="AF111" i="7"/>
  <c r="O154" i="7"/>
  <c r="G154" i="7"/>
  <c r="N154" i="7" s="1"/>
  <c r="AO158" i="7"/>
  <c r="AO156" i="7"/>
  <c r="AO157" i="7"/>
  <c r="O160" i="7"/>
  <c r="G160" i="7"/>
  <c r="N160" i="7" s="1"/>
  <c r="AO164" i="7"/>
  <c r="AO162" i="7"/>
  <c r="AO163" i="7"/>
  <c r="AI162" i="7"/>
  <c r="P170" i="7"/>
  <c r="M102" i="7"/>
  <c r="AI103" i="7"/>
  <c r="I105" i="7"/>
  <c r="Q105" i="7"/>
  <c r="AF105" i="7"/>
  <c r="AJ106" i="7"/>
  <c r="I107" i="7"/>
  <c r="Q107" i="7"/>
  <c r="AF107" i="7"/>
  <c r="N108" i="7"/>
  <c r="J111" i="7"/>
  <c r="J113" i="7"/>
  <c r="P152" i="7"/>
  <c r="AJ156" i="7"/>
  <c r="I157" i="7"/>
  <c r="AF157" i="7"/>
  <c r="AJ158" i="7"/>
  <c r="Q159" i="7"/>
  <c r="AJ162" i="7"/>
  <c r="I163" i="7"/>
  <c r="AF163" i="7"/>
  <c r="AJ164" i="7"/>
  <c r="I169" i="7"/>
  <c r="H167" i="7"/>
  <c r="P168" i="7"/>
  <c r="H215" i="7"/>
  <c r="H213" i="7"/>
  <c r="AJ214" i="7"/>
  <c r="P218" i="7"/>
  <c r="H218" i="7"/>
  <c r="Q227" i="7"/>
  <c r="Q26" i="8"/>
  <c r="X19" i="8"/>
  <c r="Q25" i="8"/>
  <c r="Q24" i="8"/>
  <c r="R19" i="8"/>
  <c r="R21" i="8"/>
  <c r="X21" i="8"/>
  <c r="O108" i="7"/>
  <c r="Q152" i="7"/>
  <c r="H155" i="7"/>
  <c r="AC156" i="7"/>
  <c r="J157" i="7"/>
  <c r="AC158" i="7"/>
  <c r="H161" i="7"/>
  <c r="P161" i="7"/>
  <c r="P162" i="7" s="1"/>
  <c r="J163" i="7"/>
  <c r="S165" i="7"/>
  <c r="R165" i="7" s="1"/>
  <c r="K166" i="7"/>
  <c r="Q167" i="7"/>
  <c r="Q168" i="7" s="1"/>
  <c r="AF168" i="7"/>
  <c r="P169" i="7"/>
  <c r="AI169" i="7"/>
  <c r="I170" i="7"/>
  <c r="I215" i="7"/>
  <c r="I213" i="7"/>
  <c r="I214" i="7"/>
  <c r="P209" i="7"/>
  <c r="AM215" i="7"/>
  <c r="AM213" i="7"/>
  <c r="AM214" i="7"/>
  <c r="H214" i="7"/>
  <c r="M217" i="7"/>
  <c r="T217" i="7" s="1"/>
  <c r="R217" i="7"/>
  <c r="K107" i="7"/>
  <c r="H109" i="7"/>
  <c r="P109" i="7"/>
  <c r="P113" i="7" s="1"/>
  <c r="AO109" i="7"/>
  <c r="L111" i="7"/>
  <c r="AM112" i="7"/>
  <c r="L113" i="7"/>
  <c r="K154" i="7"/>
  <c r="S154" i="7"/>
  <c r="S156" i="7" s="1"/>
  <c r="Q155" i="7"/>
  <c r="K157" i="7"/>
  <c r="AH157" i="7"/>
  <c r="S159" i="7"/>
  <c r="K160" i="7"/>
  <c r="K163" i="7" s="1"/>
  <c r="Q161" i="7"/>
  <c r="R167" i="7"/>
  <c r="AJ169" i="7"/>
  <c r="J170" i="7"/>
  <c r="AI170" i="7"/>
  <c r="AO215" i="7"/>
  <c r="AO213" i="7"/>
  <c r="AO214" i="7"/>
  <c r="K221" i="7"/>
  <c r="K219" i="7"/>
  <c r="M216" i="7"/>
  <c r="Z88" i="8"/>
  <c r="Q112" i="7"/>
  <c r="AM162" i="7"/>
  <c r="M209" i="7"/>
  <c r="L214" i="7"/>
  <c r="S209" i="7"/>
  <c r="L215" i="7"/>
  <c r="N210" i="7"/>
  <c r="O210" i="7" s="1"/>
  <c r="H210" i="7"/>
  <c r="O211" i="7"/>
  <c r="O212" i="7"/>
  <c r="G212" i="7"/>
  <c r="N212" i="7" s="1"/>
  <c r="L213" i="7"/>
  <c r="R24" i="8"/>
  <c r="R20" i="8"/>
  <c r="X20" i="8"/>
  <c r="X26" i="8" s="1"/>
  <c r="AJ105" i="7"/>
  <c r="Q106" i="7"/>
  <c r="H110" i="7"/>
  <c r="H111" i="7" s="1"/>
  <c r="I156" i="7"/>
  <c r="AF156" i="7"/>
  <c r="M159" i="7"/>
  <c r="AF162" i="7"/>
  <c r="AF164" i="7"/>
  <c r="AH165" i="7"/>
  <c r="AJ170" i="7"/>
  <c r="AJ168" i="7"/>
  <c r="L170" i="7"/>
  <c r="AH210" i="7"/>
  <c r="AH213" i="7" s="1"/>
  <c r="AF213" i="7"/>
  <c r="AF214" i="7"/>
  <c r="K224" i="7"/>
  <c r="Q224" i="7"/>
  <c r="H224" i="7"/>
  <c r="H104" i="7"/>
  <c r="H106" i="7" s="1"/>
  <c r="S108" i="7"/>
  <c r="J156" i="7"/>
  <c r="N159" i="7"/>
  <c r="J162" i="7"/>
  <c r="L168" i="7"/>
  <c r="AM169" i="7"/>
  <c r="G214" i="7"/>
  <c r="O209" i="7"/>
  <c r="K210" i="7"/>
  <c r="J214" i="7"/>
  <c r="Q210" i="7"/>
  <c r="R210" i="7" s="1"/>
  <c r="R211" i="7"/>
  <c r="S221" i="7"/>
  <c r="S219" i="7"/>
  <c r="AI220" i="7"/>
  <c r="K220" i="7"/>
  <c r="P226" i="7"/>
  <c r="K223" i="7"/>
  <c r="X22" i="8"/>
  <c r="R22" i="8"/>
  <c r="P111" i="7"/>
  <c r="AM111" i="7"/>
  <c r="K156" i="7"/>
  <c r="AH156" i="7"/>
  <c r="K162" i="7"/>
  <c r="AO170" i="7"/>
  <c r="Q215" i="7"/>
  <c r="Q214" i="7"/>
  <c r="AJ215" i="7"/>
  <c r="AJ213" i="7"/>
  <c r="AH221" i="7"/>
  <c r="AH219" i="7"/>
  <c r="AI215" i="7"/>
  <c r="P216" i="7"/>
  <c r="H217" i="7"/>
  <c r="AO217" i="7"/>
  <c r="H220" i="7"/>
  <c r="AM220" i="7"/>
  <c r="L221" i="7"/>
  <c r="AI221" i="7"/>
  <c r="Q223" i="7"/>
  <c r="Q226" i="7" s="1"/>
  <c r="AJ225" i="7"/>
  <c r="I226" i="7"/>
  <c r="AJ227" i="7"/>
  <c r="W12" i="8"/>
  <c r="AH13" i="8"/>
  <c r="L26" i="8"/>
  <c r="L24" i="8"/>
  <c r="W21" i="8"/>
  <c r="AV30" i="8"/>
  <c r="AV32" i="8"/>
  <c r="T43" i="8"/>
  <c r="T44" i="8"/>
  <c r="AH42" i="8"/>
  <c r="AH43" i="8"/>
  <c r="W57" i="8"/>
  <c r="W56" i="8"/>
  <c r="W55" i="8"/>
  <c r="V57" i="8"/>
  <c r="AA48" i="8"/>
  <c r="AV87" i="8"/>
  <c r="AV86" i="8"/>
  <c r="N119" i="8"/>
  <c r="U108" i="8"/>
  <c r="N118" i="8"/>
  <c r="I220" i="7"/>
  <c r="Q220" i="7"/>
  <c r="AJ221" i="7"/>
  <c r="J226" i="7"/>
  <c r="AO226" i="7"/>
  <c r="S26" i="8"/>
  <c r="S24" i="8"/>
  <c r="X25" i="8"/>
  <c r="L57" i="8"/>
  <c r="L55" i="8"/>
  <c r="Z61" i="8"/>
  <c r="Z63" i="8"/>
  <c r="AA123" i="8"/>
  <c r="AA124" i="8"/>
  <c r="AC215" i="7"/>
  <c r="R216" i="7"/>
  <c r="J220" i="7"/>
  <c r="AH226" i="7"/>
  <c r="AV12" i="8"/>
  <c r="T18" i="8"/>
  <c r="P24" i="8"/>
  <c r="AG24" i="8"/>
  <c r="L25" i="8"/>
  <c r="AV31" i="8"/>
  <c r="S57" i="8"/>
  <c r="S56" i="8"/>
  <c r="Z53" i="8"/>
  <c r="Z57" i="8" s="1"/>
  <c r="Q53" i="8"/>
  <c r="S55" i="8"/>
  <c r="AA58" i="8"/>
  <c r="AV75" i="8"/>
  <c r="AV73" i="8"/>
  <c r="U88" i="8"/>
  <c r="U87" i="8"/>
  <c r="U86" i="8"/>
  <c r="V78" i="8"/>
  <c r="V87" i="8" s="1"/>
  <c r="O88" i="8"/>
  <c r="O86" i="8"/>
  <c r="R84" i="8"/>
  <c r="X84" i="8"/>
  <c r="W104" i="8"/>
  <c r="W106" i="8"/>
  <c r="V118" i="8"/>
  <c r="Z125" i="8"/>
  <c r="Z123" i="8"/>
  <c r="AH12" i="8"/>
  <c r="L13" i="8"/>
  <c r="W44" i="8"/>
  <c r="W42" i="8"/>
  <c r="W43" i="8"/>
  <c r="W62" i="8"/>
  <c r="X82" i="8"/>
  <c r="R82" i="8"/>
  <c r="X94" i="8"/>
  <c r="X92" i="8"/>
  <c r="W119" i="8"/>
  <c r="W118" i="8"/>
  <c r="W117" i="8"/>
  <c r="N117" i="8"/>
  <c r="X123" i="8"/>
  <c r="X124" i="8"/>
  <c r="X125" i="8"/>
  <c r="H219" i="7"/>
  <c r="AM219" i="7"/>
  <c r="H221" i="7"/>
  <c r="AI223" i="7"/>
  <c r="I225" i="7"/>
  <c r="Q225" i="7"/>
  <c r="AF225" i="7"/>
  <c r="I227" i="7"/>
  <c r="S12" i="8"/>
  <c r="AA12" i="8"/>
  <c r="N13" i="8"/>
  <c r="N25" i="8"/>
  <c r="U19" i="8"/>
  <c r="O20" i="8"/>
  <c r="V20" i="8" s="1"/>
  <c r="V24" i="8" s="1"/>
  <c r="W20" i="8"/>
  <c r="Y23" i="8"/>
  <c r="P25" i="8"/>
  <c r="V30" i="8"/>
  <c r="V31" i="8"/>
  <c r="V32" i="8"/>
  <c r="X61" i="8"/>
  <c r="X62" i="8"/>
  <c r="Z62" i="8"/>
  <c r="V74" i="8"/>
  <c r="V75" i="8"/>
  <c r="U74" i="8"/>
  <c r="Z81" i="8"/>
  <c r="S88" i="8"/>
  <c r="Z83" i="8"/>
  <c r="Q83" i="8"/>
  <c r="X93" i="8"/>
  <c r="N103" i="8"/>
  <c r="L117" i="8"/>
  <c r="L119" i="8"/>
  <c r="Z124" i="8"/>
  <c r="I219" i="7"/>
  <c r="Q219" i="7"/>
  <c r="AF219" i="7"/>
  <c r="AF221" i="7"/>
  <c r="N222" i="7"/>
  <c r="J225" i="7"/>
  <c r="AO225" i="7"/>
  <c r="AV11" i="8"/>
  <c r="AV26" i="8"/>
  <c r="AV24" i="8"/>
  <c r="Z22" i="8"/>
  <c r="Z24" i="8" s="1"/>
  <c r="N26" i="8"/>
  <c r="X30" i="8"/>
  <c r="X32" i="8"/>
  <c r="L43" i="8"/>
  <c r="L44" i="8"/>
  <c r="Y44" i="8"/>
  <c r="Y42" i="8"/>
  <c r="Y43" i="8"/>
  <c r="N39" i="8"/>
  <c r="N57" i="8"/>
  <c r="U46" i="8"/>
  <c r="N56" i="8"/>
  <c r="Y52" i="8"/>
  <c r="L61" i="8"/>
  <c r="L62" i="8"/>
  <c r="L63" i="8"/>
  <c r="M58" i="8"/>
  <c r="W63" i="8"/>
  <c r="U75" i="8"/>
  <c r="O87" i="8"/>
  <c r="V92" i="8"/>
  <c r="V93" i="8"/>
  <c r="V94" i="8"/>
  <c r="AA93" i="8"/>
  <c r="AA94" i="8"/>
  <c r="R114" i="8"/>
  <c r="X114" i="8"/>
  <c r="Z115" i="8"/>
  <c r="Q115" i="8"/>
  <c r="J213" i="7"/>
  <c r="N216" i="7"/>
  <c r="J219" i="7"/>
  <c r="O222" i="7"/>
  <c r="AH225" i="7"/>
  <c r="N105" i="8"/>
  <c r="U15" i="8"/>
  <c r="W19" i="8"/>
  <c r="W24" i="8" s="1"/>
  <c r="S25" i="8"/>
  <c r="AG26" i="8"/>
  <c r="Y31" i="8"/>
  <c r="AA27" i="8"/>
  <c r="N41" i="8"/>
  <c r="O57" i="8"/>
  <c r="T49" i="8"/>
  <c r="P56" i="8"/>
  <c r="X63" i="8"/>
  <c r="N70" i="8"/>
  <c r="W73" i="8"/>
  <c r="L74" i="8"/>
  <c r="L75" i="8"/>
  <c r="Z87" i="8"/>
  <c r="Z86" i="8"/>
  <c r="S87" i="8"/>
  <c r="W93" i="8"/>
  <c r="W94" i="8"/>
  <c r="AV92" i="8"/>
  <c r="AV93" i="8"/>
  <c r="AV94" i="8"/>
  <c r="Z105" i="8"/>
  <c r="Z104" i="8"/>
  <c r="AA106" i="8"/>
  <c r="AA104" i="8"/>
  <c r="Z106" i="8"/>
  <c r="X112" i="8"/>
  <c r="Q119" i="8"/>
  <c r="R112" i="8"/>
  <c r="Z113" i="8"/>
  <c r="Q113" i="8"/>
  <c r="Q117" i="8" s="1"/>
  <c r="V117" i="8"/>
  <c r="AA125" i="8"/>
  <c r="H223" i="7"/>
  <c r="H226" i="7" s="1"/>
  <c r="N40" i="8"/>
  <c r="N71" i="8"/>
  <c r="N102" i="8"/>
  <c r="N104" i="8" s="1"/>
  <c r="N12" i="8"/>
  <c r="W31" i="8"/>
  <c r="W32" i="8"/>
  <c r="Z30" i="8"/>
  <c r="Z32" i="8"/>
  <c r="W30" i="8"/>
  <c r="Z42" i="8"/>
  <c r="Z43" i="8"/>
  <c r="AA35" i="8"/>
  <c r="L42" i="8"/>
  <c r="V56" i="8"/>
  <c r="R50" i="8"/>
  <c r="X50" i="8"/>
  <c r="P55" i="8"/>
  <c r="Q51" i="8"/>
  <c r="Q55" i="8" s="1"/>
  <c r="AT57" i="8"/>
  <c r="AT56" i="8"/>
  <c r="AV54" i="8"/>
  <c r="AV56" i="8" s="1"/>
  <c r="L56" i="8"/>
  <c r="AA66" i="8"/>
  <c r="Y75" i="8"/>
  <c r="Y73" i="8"/>
  <c r="Z94" i="8"/>
  <c r="N106" i="8"/>
  <c r="S118" i="8"/>
  <c r="V123" i="8"/>
  <c r="V125" i="8"/>
  <c r="AG87" i="8"/>
  <c r="AV104" i="8"/>
  <c r="Z112" i="8"/>
  <c r="Z117" i="8" s="1"/>
  <c r="O117" i="8"/>
  <c r="AV119" i="8"/>
  <c r="AV123" i="8"/>
  <c r="L125" i="8"/>
  <c r="AV43" i="8"/>
  <c r="Q81" i="8"/>
  <c r="N86" i="8"/>
  <c r="L87" i="8"/>
  <c r="Z93" i="8"/>
  <c r="L105" i="8"/>
  <c r="U105" i="8"/>
  <c r="X106" i="8"/>
  <c r="O118" i="8"/>
  <c r="AT24" i="8"/>
  <c r="AV63" i="8"/>
  <c r="Y79" i="8"/>
  <c r="W86" i="8"/>
  <c r="Z92" i="8"/>
  <c r="L94" i="8"/>
  <c r="S104" i="8"/>
  <c r="Y106" i="8"/>
  <c r="AV106" i="8"/>
  <c r="W125" i="8"/>
  <c r="AV42" i="8"/>
  <c r="O55" i="8"/>
  <c r="P87" i="8"/>
  <c r="U93" i="8"/>
  <c r="L104" i="8"/>
  <c r="U104" i="8"/>
  <c r="S117" i="8"/>
  <c r="O56" i="8"/>
  <c r="O146" i="3" l="1"/>
  <c r="V140" i="3"/>
  <c r="H11" i="3"/>
  <c r="J160" i="3"/>
  <c r="P109" i="3"/>
  <c r="K35" i="3"/>
  <c r="N220" i="3"/>
  <c r="N148" i="3"/>
  <c r="N146" i="3"/>
  <c r="S57" i="3"/>
  <c r="S56" i="3"/>
  <c r="H134" i="3"/>
  <c r="S222" i="3"/>
  <c r="M11" i="3"/>
  <c r="V117" i="3"/>
  <c r="H13" i="3"/>
  <c r="N161" i="3"/>
  <c r="N160" i="3"/>
  <c r="P192" i="3"/>
  <c r="S221" i="3"/>
  <c r="V183" i="3"/>
  <c r="P34" i="3"/>
  <c r="X78" i="3"/>
  <c r="K22" i="3"/>
  <c r="J221" i="3"/>
  <c r="K98" i="3"/>
  <c r="Q98" i="3"/>
  <c r="K23" i="3"/>
  <c r="V211" i="3"/>
  <c r="X211" i="3"/>
  <c r="X213" i="3"/>
  <c r="V139" i="3"/>
  <c r="K80" i="3"/>
  <c r="P33" i="3"/>
  <c r="V213" i="3"/>
  <c r="H69" i="3"/>
  <c r="X68" i="3"/>
  <c r="N183" i="3"/>
  <c r="Q168" i="3"/>
  <c r="Q205" i="3"/>
  <c r="J126" i="3"/>
  <c r="X77" i="3"/>
  <c r="K145" i="3"/>
  <c r="Q145" i="3"/>
  <c r="Q146" i="3" s="1"/>
  <c r="N159" i="3"/>
  <c r="P35" i="3"/>
  <c r="X212" i="3"/>
  <c r="K123" i="3"/>
  <c r="R123" i="3" s="1"/>
  <c r="P108" i="3"/>
  <c r="J102" i="3"/>
  <c r="K147" i="3"/>
  <c r="J127" i="3"/>
  <c r="J87" i="3"/>
  <c r="X109" i="3"/>
  <c r="X79" i="3"/>
  <c r="Q39" i="3"/>
  <c r="J222" i="3"/>
  <c r="P203" i="3"/>
  <c r="H148" i="3"/>
  <c r="S191" i="3"/>
  <c r="H89" i="3"/>
  <c r="J132" i="3"/>
  <c r="J88" i="3"/>
  <c r="R26" i="3"/>
  <c r="T26" i="3" s="1"/>
  <c r="V68" i="3"/>
  <c r="S213" i="3"/>
  <c r="J125" i="3"/>
  <c r="K34" i="3"/>
  <c r="H12" i="3"/>
  <c r="Y103" i="3"/>
  <c r="J193" i="3"/>
  <c r="Q40" i="3"/>
  <c r="K178" i="3"/>
  <c r="Q178" i="3"/>
  <c r="Q158" i="3"/>
  <c r="K158" i="3"/>
  <c r="H147" i="3"/>
  <c r="K199" i="3"/>
  <c r="M199" i="3" s="1"/>
  <c r="T199" i="3" s="1"/>
  <c r="V181" i="3"/>
  <c r="V67" i="3"/>
  <c r="V191" i="3"/>
  <c r="P183" i="3"/>
  <c r="O148" i="3"/>
  <c r="X110" i="3"/>
  <c r="R99" i="3"/>
  <c r="M99" i="3"/>
  <c r="T99" i="3" s="1"/>
  <c r="H10" i="5"/>
  <c r="H9" i="5"/>
  <c r="H90" i="5"/>
  <c r="S84" i="5"/>
  <c r="H53" i="5"/>
  <c r="AM148" i="5"/>
  <c r="P129" i="5"/>
  <c r="J62" i="5"/>
  <c r="K35" i="5"/>
  <c r="AM147" i="5"/>
  <c r="J92" i="5"/>
  <c r="P99" i="5"/>
  <c r="O138" i="5"/>
  <c r="N92" i="5"/>
  <c r="N127" i="5"/>
  <c r="H25" i="5"/>
  <c r="P84" i="5"/>
  <c r="K127" i="5"/>
  <c r="S63" i="5"/>
  <c r="Q37" i="5"/>
  <c r="K60" i="5"/>
  <c r="P25" i="5"/>
  <c r="AM63" i="5"/>
  <c r="N9" i="5"/>
  <c r="L149" i="5"/>
  <c r="M61" i="5"/>
  <c r="T61" i="5" s="1"/>
  <c r="R61" i="5"/>
  <c r="P83" i="5"/>
  <c r="AM54" i="5"/>
  <c r="AJ119" i="5"/>
  <c r="P54" i="5"/>
  <c r="AM18" i="5"/>
  <c r="AM53" i="5"/>
  <c r="P74" i="5"/>
  <c r="Q117" i="5"/>
  <c r="K117" i="5"/>
  <c r="O137" i="5"/>
  <c r="H127" i="5"/>
  <c r="R57" i="5"/>
  <c r="J63" i="5"/>
  <c r="H27" i="5"/>
  <c r="J119" i="5"/>
  <c r="H136" i="5"/>
  <c r="O141" i="5"/>
  <c r="P100" i="5"/>
  <c r="S128" i="5"/>
  <c r="K71" i="5"/>
  <c r="H137" i="5"/>
  <c r="AJ18" i="5"/>
  <c r="L148" i="5"/>
  <c r="Q63" i="5"/>
  <c r="N99" i="5"/>
  <c r="AM73" i="5"/>
  <c r="P73" i="5"/>
  <c r="K14" i="5"/>
  <c r="Q14" i="5"/>
  <c r="N90" i="5"/>
  <c r="Q100" i="5"/>
  <c r="K145" i="5"/>
  <c r="K149" i="5" s="1"/>
  <c r="P136" i="5"/>
  <c r="J64" i="5"/>
  <c r="N53" i="5"/>
  <c r="H26" i="5"/>
  <c r="P55" i="5"/>
  <c r="Q96" i="5"/>
  <c r="Q101" i="5" s="1"/>
  <c r="K96" i="5"/>
  <c r="R96" i="5" s="1"/>
  <c r="H115" i="5"/>
  <c r="H121" i="5" s="1"/>
  <c r="Q14" i="13"/>
  <c r="Q12" i="13"/>
  <c r="R184" i="6"/>
  <c r="Q186" i="6"/>
  <c r="Q185" i="6"/>
  <c r="Q187" i="6"/>
  <c r="R96" i="6"/>
  <c r="R97" i="6"/>
  <c r="R95" i="6"/>
  <c r="T165" i="7"/>
  <c r="T45" i="7"/>
  <c r="R156" i="6"/>
  <c r="R157" i="6"/>
  <c r="R158" i="6"/>
  <c r="R89" i="6"/>
  <c r="R90" i="6"/>
  <c r="R88" i="6"/>
  <c r="T82" i="8"/>
  <c r="AA82" i="8" s="1"/>
  <c r="Y82" i="8"/>
  <c r="O167" i="7"/>
  <c r="G167" i="7"/>
  <c r="N167" i="7" s="1"/>
  <c r="R100" i="7"/>
  <c r="T95" i="7"/>
  <c r="H48" i="6"/>
  <c r="H46" i="6"/>
  <c r="G44" i="6"/>
  <c r="H47" i="6"/>
  <c r="S54" i="5"/>
  <c r="X201" i="3"/>
  <c r="X202" i="3"/>
  <c r="Y195" i="3"/>
  <c r="X203" i="3"/>
  <c r="P56" i="3"/>
  <c r="P57" i="3"/>
  <c r="P55" i="3"/>
  <c r="R7" i="2"/>
  <c r="Q7" i="2"/>
  <c r="N74" i="8"/>
  <c r="N75" i="8"/>
  <c r="N73" i="8"/>
  <c r="Z55" i="8"/>
  <c r="V26" i="8"/>
  <c r="K215" i="7"/>
  <c r="K214" i="7"/>
  <c r="K213" i="7"/>
  <c r="M220" i="7"/>
  <c r="M221" i="7"/>
  <c r="M219" i="7"/>
  <c r="AV55" i="8"/>
  <c r="N43" i="8"/>
  <c r="N42" i="8"/>
  <c r="N44" i="8"/>
  <c r="Z26" i="8"/>
  <c r="Z56" i="8"/>
  <c r="Q213" i="7"/>
  <c r="O214" i="7"/>
  <c r="O215" i="7"/>
  <c r="O213" i="7"/>
  <c r="S112" i="7"/>
  <c r="S113" i="7"/>
  <c r="S111" i="7"/>
  <c r="Y20" i="8"/>
  <c r="T20" i="8"/>
  <c r="AA20" i="8" s="1"/>
  <c r="S164" i="7"/>
  <c r="S162" i="7"/>
  <c r="S163" i="7"/>
  <c r="M154" i="7"/>
  <c r="R154" i="7"/>
  <c r="O109" i="7"/>
  <c r="G109" i="7"/>
  <c r="S227" i="7"/>
  <c r="S225" i="7"/>
  <c r="S226" i="7"/>
  <c r="R222" i="7"/>
  <c r="AI100" i="7"/>
  <c r="AI99" i="7"/>
  <c r="AI101" i="7"/>
  <c r="R98" i="7"/>
  <c r="R101" i="7" s="1"/>
  <c r="M98" i="7"/>
  <c r="T98" i="7" s="1"/>
  <c r="Q48" i="7"/>
  <c r="K212" i="6"/>
  <c r="K213" i="6"/>
  <c r="K211" i="6"/>
  <c r="H113" i="7"/>
  <c r="T188" i="6"/>
  <c r="H176" i="6"/>
  <c r="H174" i="6"/>
  <c r="H175" i="6"/>
  <c r="P101" i="7"/>
  <c r="G175" i="6"/>
  <c r="S43" i="7"/>
  <c r="T206" i="6"/>
  <c r="T207" i="6"/>
  <c r="T205" i="6"/>
  <c r="S205" i="6"/>
  <c r="M176" i="6"/>
  <c r="M174" i="6"/>
  <c r="M175" i="6"/>
  <c r="T133" i="6"/>
  <c r="AO186" i="6"/>
  <c r="S157" i="6"/>
  <c r="R131" i="6"/>
  <c r="N97" i="6"/>
  <c r="N95" i="6"/>
  <c r="N96" i="6"/>
  <c r="S121" i="6"/>
  <c r="P101" i="6"/>
  <c r="O99" i="6"/>
  <c r="P102" i="6"/>
  <c r="R134" i="6"/>
  <c r="O134" i="6"/>
  <c r="N134" i="6" s="1"/>
  <c r="AO132" i="6"/>
  <c r="K120" i="6"/>
  <c r="K121" i="6"/>
  <c r="K119" i="6"/>
  <c r="M113" i="6"/>
  <c r="O95" i="6"/>
  <c r="AI71" i="6"/>
  <c r="AI70" i="6"/>
  <c r="AI69" i="6"/>
  <c r="N111" i="6"/>
  <c r="R46" i="6"/>
  <c r="S83" i="6"/>
  <c r="S82" i="6"/>
  <c r="S84" i="6"/>
  <c r="S96" i="6"/>
  <c r="S40" i="6"/>
  <c r="Q132" i="6"/>
  <c r="T41" i="6"/>
  <c r="T42" i="6"/>
  <c r="T40" i="6"/>
  <c r="O21" i="6"/>
  <c r="S65" i="6"/>
  <c r="H110" i="5"/>
  <c r="H111" i="5"/>
  <c r="H112" i="5"/>
  <c r="O39" i="6"/>
  <c r="K48" i="6"/>
  <c r="K46" i="6"/>
  <c r="K47" i="6"/>
  <c r="H138" i="5"/>
  <c r="R94" i="5"/>
  <c r="N83" i="5"/>
  <c r="H34" i="6"/>
  <c r="O22" i="6"/>
  <c r="AM127" i="5"/>
  <c r="P121" i="6"/>
  <c r="O13" i="6"/>
  <c r="N13" i="6" s="1"/>
  <c r="T56" i="5"/>
  <c r="T28" i="5"/>
  <c r="K22" i="6"/>
  <c r="R139" i="5"/>
  <c r="H128" i="5"/>
  <c r="AJ120" i="5"/>
  <c r="AM74" i="5"/>
  <c r="N27" i="5"/>
  <c r="AI41" i="6"/>
  <c r="AM101" i="5"/>
  <c r="T19" i="5"/>
  <c r="AJ55" i="5"/>
  <c r="AL45" i="5"/>
  <c r="AL46" i="5"/>
  <c r="AL47" i="5"/>
  <c r="AM41" i="5"/>
  <c r="AM16" i="5"/>
  <c r="R61" i="6"/>
  <c r="Q34" i="6"/>
  <c r="P127" i="5"/>
  <c r="S53" i="5"/>
  <c r="L73" i="5"/>
  <c r="R27" i="6"/>
  <c r="R29" i="6"/>
  <c r="T23" i="6"/>
  <c r="R28" i="6"/>
  <c r="Q64" i="5"/>
  <c r="K22" i="5"/>
  <c r="R22" i="5" s="1"/>
  <c r="Q22" i="5"/>
  <c r="J27" i="5"/>
  <c r="J25" i="5"/>
  <c r="N21" i="4"/>
  <c r="O11" i="4"/>
  <c r="J36" i="5"/>
  <c r="J37" i="5"/>
  <c r="K30" i="5"/>
  <c r="J38" i="5"/>
  <c r="H213" i="3"/>
  <c r="H212" i="3"/>
  <c r="O204" i="3"/>
  <c r="H211" i="3"/>
  <c r="S111" i="5"/>
  <c r="S112" i="5"/>
  <c r="S110" i="5"/>
  <c r="P212" i="3"/>
  <c r="P211" i="3"/>
  <c r="N37" i="5"/>
  <c r="X183" i="3"/>
  <c r="O50" i="5"/>
  <c r="H55" i="5"/>
  <c r="R199" i="3"/>
  <c r="O150" i="3"/>
  <c r="H153" i="3"/>
  <c r="N191" i="3"/>
  <c r="V203" i="3"/>
  <c r="V201" i="3"/>
  <c r="V202" i="3"/>
  <c r="Q167" i="3"/>
  <c r="K167" i="3"/>
  <c r="V192" i="3"/>
  <c r="Y154" i="3"/>
  <c r="Y155" i="3"/>
  <c r="AA149" i="3"/>
  <c r="Y153" i="3"/>
  <c r="J220" i="3"/>
  <c r="P202" i="3"/>
  <c r="H109" i="3"/>
  <c r="S212" i="3"/>
  <c r="N173" i="3"/>
  <c r="P110" i="3"/>
  <c r="R205" i="3"/>
  <c r="M205" i="3"/>
  <c r="T205" i="3" s="1"/>
  <c r="R122" i="3"/>
  <c r="M122" i="3"/>
  <c r="T122" i="3" s="1"/>
  <c r="Q125" i="3"/>
  <c r="Q126" i="3"/>
  <c r="Q127" i="3"/>
  <c r="Q61" i="3"/>
  <c r="K61" i="3"/>
  <c r="N48" i="3"/>
  <c r="N50" i="3"/>
  <c r="N49" i="3"/>
  <c r="H73" i="3"/>
  <c r="Q33" i="3"/>
  <c r="R25" i="3"/>
  <c r="Q34" i="3"/>
  <c r="Q35" i="3"/>
  <c r="L100" i="3"/>
  <c r="S96" i="3"/>
  <c r="L102" i="3"/>
  <c r="L101" i="3"/>
  <c r="S35" i="3"/>
  <c r="P23" i="3"/>
  <c r="O14" i="3"/>
  <c r="P24" i="3"/>
  <c r="P22" i="3"/>
  <c r="G11" i="3"/>
  <c r="G12" i="3"/>
  <c r="G13" i="3"/>
  <c r="P12" i="3"/>
  <c r="O104" i="7"/>
  <c r="O107" i="7" s="1"/>
  <c r="G104" i="7"/>
  <c r="Q56" i="7"/>
  <c r="Q54" i="7"/>
  <c r="P147" i="5"/>
  <c r="P148" i="5"/>
  <c r="P149" i="5"/>
  <c r="M66" i="6"/>
  <c r="M64" i="6"/>
  <c r="M65" i="6"/>
  <c r="P90" i="5"/>
  <c r="R7" i="5"/>
  <c r="M7" i="5"/>
  <c r="T7" i="5" s="1"/>
  <c r="H192" i="3"/>
  <c r="H193" i="3"/>
  <c r="O184" i="3"/>
  <c r="H191" i="3"/>
  <c r="Q136" i="3"/>
  <c r="K136" i="3"/>
  <c r="Y87" i="3"/>
  <c r="Y88" i="3"/>
  <c r="Y89" i="3"/>
  <c r="AA80" i="3"/>
  <c r="N213" i="7"/>
  <c r="O161" i="7"/>
  <c r="G161" i="7"/>
  <c r="H105" i="7"/>
  <c r="H156" i="7"/>
  <c r="H157" i="7"/>
  <c r="S55" i="7"/>
  <c r="R51" i="7"/>
  <c r="S56" i="7"/>
  <c r="S54" i="7"/>
  <c r="P164" i="7"/>
  <c r="O46" i="7"/>
  <c r="G46" i="7"/>
  <c r="H48" i="7"/>
  <c r="H50" i="7"/>
  <c r="O52" i="7"/>
  <c r="G52" i="7"/>
  <c r="AI50" i="7"/>
  <c r="AI48" i="7"/>
  <c r="AI49" i="7"/>
  <c r="AI44" i="7"/>
  <c r="AI42" i="7"/>
  <c r="AI43" i="7"/>
  <c r="AI180" i="6"/>
  <c r="AI181" i="6"/>
  <c r="AI179" i="6"/>
  <c r="H162" i="7"/>
  <c r="R103" i="7"/>
  <c r="M103" i="7"/>
  <c r="T103" i="7" s="1"/>
  <c r="H49" i="7"/>
  <c r="P163" i="7"/>
  <c r="R46" i="7"/>
  <c r="R48" i="7" s="1"/>
  <c r="M46" i="7"/>
  <c r="T46" i="7" s="1"/>
  <c r="O211" i="6"/>
  <c r="O121" i="6"/>
  <c r="O119" i="6"/>
  <c r="O120" i="6"/>
  <c r="Q192" i="6"/>
  <c r="S90" i="6"/>
  <c r="S88" i="6"/>
  <c r="S89" i="6"/>
  <c r="N85" i="6"/>
  <c r="O89" i="6"/>
  <c r="O90" i="6"/>
  <c r="O88" i="6"/>
  <c r="Q73" i="6"/>
  <c r="P76" i="6"/>
  <c r="G40" i="6"/>
  <c r="O82" i="6"/>
  <c r="O84" i="6"/>
  <c r="O83" i="6"/>
  <c r="H77" i="6"/>
  <c r="N154" i="6"/>
  <c r="O156" i="6"/>
  <c r="Q145" i="6"/>
  <c r="Q143" i="6"/>
  <c r="R140" i="6"/>
  <c r="O140" i="6"/>
  <c r="Q144" i="6"/>
  <c r="M77" i="6"/>
  <c r="M75" i="6"/>
  <c r="M76" i="6"/>
  <c r="AH76" i="6"/>
  <c r="Q131" i="6"/>
  <c r="K35" i="6"/>
  <c r="K33" i="6"/>
  <c r="K34" i="6"/>
  <c r="H147" i="5"/>
  <c r="H148" i="5"/>
  <c r="H149" i="5"/>
  <c r="AO70" i="6"/>
  <c r="AO69" i="6"/>
  <c r="AO71" i="6"/>
  <c r="G207" i="6"/>
  <c r="N112" i="5"/>
  <c r="N110" i="5"/>
  <c r="O102" i="5"/>
  <c r="N111" i="5"/>
  <c r="R22" i="6"/>
  <c r="R20" i="6"/>
  <c r="T17" i="6"/>
  <c r="R21" i="6"/>
  <c r="K88" i="5"/>
  <c r="Q88" i="5"/>
  <c r="J83" i="5"/>
  <c r="J84" i="5"/>
  <c r="K78" i="5"/>
  <c r="J82" i="5"/>
  <c r="K147" i="5"/>
  <c r="O128" i="5"/>
  <c r="K20" i="6"/>
  <c r="K50" i="5"/>
  <c r="Q50" i="5"/>
  <c r="Q53" i="5" s="1"/>
  <c r="L74" i="5"/>
  <c r="P10" i="5"/>
  <c r="N62" i="5"/>
  <c r="P26" i="5"/>
  <c r="I9" i="5"/>
  <c r="J4" i="5"/>
  <c r="I10" i="5"/>
  <c r="I8" i="5"/>
  <c r="K64" i="6"/>
  <c r="R43" i="5"/>
  <c r="M43" i="5"/>
  <c r="T43" i="5" s="1"/>
  <c r="R78" i="5"/>
  <c r="AM62" i="5"/>
  <c r="I45" i="5"/>
  <c r="I46" i="5"/>
  <c r="I47" i="5"/>
  <c r="J41" i="5"/>
  <c r="H41" i="5"/>
  <c r="N73" i="5"/>
  <c r="S27" i="5"/>
  <c r="N20" i="4"/>
  <c r="O91" i="5"/>
  <c r="H159" i="3"/>
  <c r="O156" i="3"/>
  <c r="H160" i="3"/>
  <c r="H161" i="3"/>
  <c r="T23" i="4"/>
  <c r="R31" i="4"/>
  <c r="R29" i="4"/>
  <c r="R30" i="4"/>
  <c r="J183" i="3"/>
  <c r="K174" i="3"/>
  <c r="J181" i="3"/>
  <c r="Q174" i="3"/>
  <c r="J182" i="3"/>
  <c r="P220" i="3"/>
  <c r="J191" i="3"/>
  <c r="Q24" i="5"/>
  <c r="K24" i="5"/>
  <c r="N9" i="4"/>
  <c r="V173" i="3"/>
  <c r="P191" i="3"/>
  <c r="S181" i="3"/>
  <c r="S182" i="3"/>
  <c r="S183" i="3"/>
  <c r="N54" i="5"/>
  <c r="H201" i="3"/>
  <c r="H202" i="3"/>
  <c r="H203" i="3"/>
  <c r="O195" i="3"/>
  <c r="M156" i="3"/>
  <c r="R156" i="3"/>
  <c r="X147" i="3"/>
  <c r="X148" i="3"/>
  <c r="Y143" i="3"/>
  <c r="X146" i="3"/>
  <c r="H8" i="5"/>
  <c r="Q179" i="3"/>
  <c r="K179" i="3"/>
  <c r="K157" i="3"/>
  <c r="Q157" i="3"/>
  <c r="P213" i="3"/>
  <c r="N139" i="3"/>
  <c r="N141" i="3"/>
  <c r="N140" i="3"/>
  <c r="Y117" i="3"/>
  <c r="Y118" i="3"/>
  <c r="Y116" i="3"/>
  <c r="AA111" i="3"/>
  <c r="T57" i="3"/>
  <c r="T55" i="3"/>
  <c r="T56" i="3"/>
  <c r="H155" i="3"/>
  <c r="H141" i="3"/>
  <c r="H140" i="3"/>
  <c r="H139" i="3"/>
  <c r="O135" i="3"/>
  <c r="Y121" i="3"/>
  <c r="X125" i="3"/>
  <c r="X126" i="3"/>
  <c r="X127" i="3"/>
  <c r="S155" i="3"/>
  <c r="S153" i="3"/>
  <c r="S154" i="3"/>
  <c r="I77" i="3"/>
  <c r="K33" i="3"/>
  <c r="P182" i="3"/>
  <c r="T3" i="3"/>
  <c r="X182" i="3"/>
  <c r="Y175" i="3"/>
  <c r="AA175" i="3" s="1"/>
  <c r="Q13" i="3"/>
  <c r="Q6" i="2"/>
  <c r="R6" i="2"/>
  <c r="V141" i="3"/>
  <c r="T114" i="8"/>
  <c r="AA114" i="8" s="1"/>
  <c r="Y114" i="8"/>
  <c r="U117" i="8"/>
  <c r="U119" i="8"/>
  <c r="U118" i="8"/>
  <c r="N22" i="6"/>
  <c r="N21" i="6"/>
  <c r="N20" i="6"/>
  <c r="AI83" i="6"/>
  <c r="AI82" i="6"/>
  <c r="AI84" i="6"/>
  <c r="H101" i="5"/>
  <c r="H99" i="5"/>
  <c r="O75" i="5"/>
  <c r="O73" i="5"/>
  <c r="O74" i="5"/>
  <c r="S126" i="3"/>
  <c r="S125" i="3"/>
  <c r="S127" i="3"/>
  <c r="K219" i="3"/>
  <c r="Q219" i="3"/>
  <c r="T22" i="8"/>
  <c r="AA22" i="8" s="1"/>
  <c r="Y22" i="8"/>
  <c r="O25" i="8"/>
  <c r="AA42" i="8"/>
  <c r="AA43" i="8"/>
  <c r="AA44" i="8"/>
  <c r="R25" i="8"/>
  <c r="Z119" i="8"/>
  <c r="AI227" i="7"/>
  <c r="AI225" i="7"/>
  <c r="AI226" i="7"/>
  <c r="W26" i="8"/>
  <c r="W25" i="8"/>
  <c r="AO221" i="7"/>
  <c r="AO219" i="7"/>
  <c r="AO220" i="7"/>
  <c r="N215" i="7"/>
  <c r="G215" i="7"/>
  <c r="O110" i="7"/>
  <c r="G110" i="7"/>
  <c r="N110" i="7" s="1"/>
  <c r="S215" i="7"/>
  <c r="S213" i="7"/>
  <c r="S214" i="7"/>
  <c r="R209" i="7"/>
  <c r="R26" i="8"/>
  <c r="S157" i="7"/>
  <c r="P112" i="7"/>
  <c r="O218" i="7"/>
  <c r="G218" i="7"/>
  <c r="N218" i="7" s="1"/>
  <c r="H158" i="7"/>
  <c r="K106" i="7"/>
  <c r="P49" i="7"/>
  <c r="P48" i="7"/>
  <c r="P50" i="7"/>
  <c r="P56" i="7"/>
  <c r="P54" i="7"/>
  <c r="P55" i="7"/>
  <c r="O166" i="7"/>
  <c r="O168" i="7" s="1"/>
  <c r="G166" i="7"/>
  <c r="Q99" i="7"/>
  <c r="K49" i="7"/>
  <c r="S186" i="6"/>
  <c r="S187" i="6"/>
  <c r="S185" i="6"/>
  <c r="H164" i="7"/>
  <c r="T52" i="7"/>
  <c r="M55" i="7"/>
  <c r="Q194" i="6"/>
  <c r="R189" i="6"/>
  <c r="R192" i="6" s="1"/>
  <c r="Q193" i="6"/>
  <c r="R171" i="6"/>
  <c r="Q174" i="6"/>
  <c r="K184" i="6"/>
  <c r="J187" i="6"/>
  <c r="J185" i="6"/>
  <c r="Q176" i="6"/>
  <c r="T158" i="6"/>
  <c r="T156" i="6"/>
  <c r="T157" i="6"/>
  <c r="H120" i="6"/>
  <c r="H121" i="6"/>
  <c r="H119" i="6"/>
  <c r="K205" i="6"/>
  <c r="K207" i="6"/>
  <c r="K206" i="6"/>
  <c r="J186" i="6"/>
  <c r="Q139" i="6"/>
  <c r="O207" i="6"/>
  <c r="P132" i="6"/>
  <c r="P130" i="6"/>
  <c r="P131" i="6"/>
  <c r="AO124" i="6"/>
  <c r="AO125" i="6"/>
  <c r="AO126" i="6"/>
  <c r="AO206" i="6"/>
  <c r="AO205" i="6"/>
  <c r="AO207" i="6"/>
  <c r="N131" i="6"/>
  <c r="R116" i="6"/>
  <c r="H71" i="6"/>
  <c r="H69" i="6"/>
  <c r="G67" i="6"/>
  <c r="H70" i="6"/>
  <c r="AI35" i="6"/>
  <c r="AI33" i="6"/>
  <c r="AI34" i="6"/>
  <c r="S156" i="6"/>
  <c r="S124" i="6"/>
  <c r="S125" i="6"/>
  <c r="S126" i="6"/>
  <c r="P97" i="6"/>
  <c r="R38" i="6"/>
  <c r="G66" i="6"/>
  <c r="S46" i="6"/>
  <c r="P41" i="6"/>
  <c r="M146" i="5"/>
  <c r="T146" i="5" s="1"/>
  <c r="R146" i="5"/>
  <c r="G82" i="6"/>
  <c r="G83" i="6"/>
  <c r="G84" i="6"/>
  <c r="O40" i="6"/>
  <c r="N207" i="6"/>
  <c r="N206" i="6"/>
  <c r="N205" i="6"/>
  <c r="AI16" i="6"/>
  <c r="AI14" i="6"/>
  <c r="AI15" i="6"/>
  <c r="P91" i="5"/>
  <c r="S147" i="5"/>
  <c r="O127" i="5"/>
  <c r="P20" i="6"/>
  <c r="N10" i="6"/>
  <c r="N9" i="6"/>
  <c r="O3" i="6"/>
  <c r="N11" i="6"/>
  <c r="N121" i="5"/>
  <c r="AH77" i="6"/>
  <c r="M97" i="5"/>
  <c r="T97" i="5" s="1"/>
  <c r="R97" i="5"/>
  <c r="R81" i="5"/>
  <c r="M81" i="5"/>
  <c r="T81" i="5" s="1"/>
  <c r="Q55" i="5"/>
  <c r="J20" i="6"/>
  <c r="O94" i="5"/>
  <c r="N100" i="5"/>
  <c r="N25" i="5"/>
  <c r="M60" i="5"/>
  <c r="T60" i="5" s="1"/>
  <c r="R60" i="5"/>
  <c r="N64" i="5"/>
  <c r="M34" i="5"/>
  <c r="T34" i="5" s="1"/>
  <c r="R34" i="5"/>
  <c r="K66" i="6"/>
  <c r="H64" i="5"/>
  <c r="H62" i="5"/>
  <c r="P47" i="5"/>
  <c r="R13" i="5"/>
  <c r="O82" i="5"/>
  <c r="N75" i="5"/>
  <c r="Q45" i="5"/>
  <c r="Q46" i="5"/>
  <c r="Q47" i="5"/>
  <c r="R41" i="5"/>
  <c r="N16" i="5"/>
  <c r="O90" i="5"/>
  <c r="H92" i="5"/>
  <c r="T9" i="4"/>
  <c r="T11" i="4"/>
  <c r="T10" i="4"/>
  <c r="X173" i="3"/>
  <c r="Y164" i="3"/>
  <c r="X171" i="3"/>
  <c r="X172" i="3"/>
  <c r="O20" i="5"/>
  <c r="O27" i="5" s="1"/>
  <c r="N11" i="4"/>
  <c r="K177" i="3"/>
  <c r="Q177" i="3"/>
  <c r="N47" i="5"/>
  <c r="K217" i="3"/>
  <c r="Q217" i="3"/>
  <c r="Q221" i="3" s="1"/>
  <c r="P193" i="3"/>
  <c r="Q150" i="3"/>
  <c r="K150" i="3"/>
  <c r="O182" i="3"/>
  <c r="O183" i="3"/>
  <c r="O181" i="3"/>
  <c r="V161" i="3"/>
  <c r="V160" i="3"/>
  <c r="V159" i="3"/>
  <c r="V146" i="3"/>
  <c r="V148" i="3"/>
  <c r="V147" i="3"/>
  <c r="Q36" i="5"/>
  <c r="X192" i="3"/>
  <c r="X193" i="3"/>
  <c r="Y184" i="3"/>
  <c r="X191" i="3"/>
  <c r="N118" i="3"/>
  <c r="N116" i="3"/>
  <c r="N117" i="3"/>
  <c r="V89" i="3"/>
  <c r="V87" i="3"/>
  <c r="V88" i="3"/>
  <c r="Y100" i="3"/>
  <c r="AA97" i="3"/>
  <c r="Y101" i="3"/>
  <c r="Y102" i="3"/>
  <c r="J117" i="3"/>
  <c r="J118" i="3"/>
  <c r="Q111" i="3"/>
  <c r="J116" i="3"/>
  <c r="X141" i="3"/>
  <c r="Y135" i="3"/>
  <c r="X139" i="3"/>
  <c r="X140" i="3"/>
  <c r="R16" i="3"/>
  <c r="T16" i="3" s="1"/>
  <c r="O16" i="3"/>
  <c r="N16" i="3" s="1"/>
  <c r="K198" i="3"/>
  <c r="Q198" i="3"/>
  <c r="I78" i="3"/>
  <c r="M23" i="3"/>
  <c r="M24" i="3"/>
  <c r="M22" i="3"/>
  <c r="Q72" i="3"/>
  <c r="K72" i="3"/>
  <c r="Q4" i="2"/>
  <c r="R4" i="2"/>
  <c r="R53" i="8"/>
  <c r="X53" i="8"/>
  <c r="X55" i="8" s="1"/>
  <c r="AO55" i="7"/>
  <c r="AO56" i="7"/>
  <c r="AO54" i="7"/>
  <c r="AO179" i="6"/>
  <c r="AO180" i="6"/>
  <c r="AO181" i="6"/>
  <c r="R131" i="5"/>
  <c r="Q97" i="3"/>
  <c r="K97" i="3"/>
  <c r="M144" i="3"/>
  <c r="T144" i="3" s="1"/>
  <c r="R144" i="3"/>
  <c r="O26" i="8"/>
  <c r="O224" i="7"/>
  <c r="G224" i="7"/>
  <c r="N224" i="7" s="1"/>
  <c r="Z118" i="8"/>
  <c r="R51" i="8"/>
  <c r="X51" i="8"/>
  <c r="X57" i="8" s="1"/>
  <c r="V25" i="8"/>
  <c r="AV57" i="8"/>
  <c r="R221" i="7"/>
  <c r="R219" i="7"/>
  <c r="T216" i="7"/>
  <c r="R220" i="7"/>
  <c r="X56" i="8"/>
  <c r="O217" i="7"/>
  <c r="G217" i="7"/>
  <c r="N214" i="7"/>
  <c r="X24" i="8"/>
  <c r="M224" i="7"/>
  <c r="T224" i="7" s="1"/>
  <c r="R224" i="7"/>
  <c r="H112" i="7"/>
  <c r="Q57" i="8"/>
  <c r="T21" i="8"/>
  <c r="AA21" i="8" s="1"/>
  <c r="Y21" i="8"/>
  <c r="P158" i="7"/>
  <c r="P156" i="7"/>
  <c r="P157" i="7"/>
  <c r="AH214" i="7"/>
  <c r="R108" i="7"/>
  <c r="AO100" i="7"/>
  <c r="AO99" i="7"/>
  <c r="AO101" i="7"/>
  <c r="O47" i="7"/>
  <c r="G47" i="7"/>
  <c r="N47" i="7" s="1"/>
  <c r="O40" i="7"/>
  <c r="G40" i="7"/>
  <c r="H44" i="7"/>
  <c r="AH43" i="7"/>
  <c r="AH44" i="7"/>
  <c r="AH42" i="7"/>
  <c r="Q101" i="7"/>
  <c r="K158" i="7"/>
  <c r="Q50" i="7"/>
  <c r="K42" i="7"/>
  <c r="Q170" i="7"/>
  <c r="O163" i="7"/>
  <c r="O164" i="7"/>
  <c r="O162" i="7"/>
  <c r="H99" i="7"/>
  <c r="H192" i="6"/>
  <c r="H194" i="6"/>
  <c r="H193" i="6"/>
  <c r="G189" i="6"/>
  <c r="AI175" i="6"/>
  <c r="AI176" i="6"/>
  <c r="AI174" i="6"/>
  <c r="AI121" i="6"/>
  <c r="AI119" i="6"/>
  <c r="AI120" i="6"/>
  <c r="P96" i="6"/>
  <c r="AO152" i="6"/>
  <c r="AO150" i="6"/>
  <c r="AO151" i="6"/>
  <c r="AO103" i="6"/>
  <c r="AO101" i="6"/>
  <c r="AO102" i="6"/>
  <c r="AO130" i="6"/>
  <c r="Q120" i="6"/>
  <c r="Q121" i="6"/>
  <c r="Q119" i="6"/>
  <c r="R113" i="6"/>
  <c r="O27" i="6"/>
  <c r="O28" i="6"/>
  <c r="O29" i="6"/>
  <c r="H95" i="6"/>
  <c r="T130" i="6"/>
  <c r="S41" i="6"/>
  <c r="S48" i="6"/>
  <c r="P40" i="6"/>
  <c r="P128" i="5"/>
  <c r="Q111" i="5"/>
  <c r="S99" i="5"/>
  <c r="S101" i="5"/>
  <c r="O42" i="6"/>
  <c r="G205" i="6"/>
  <c r="Q11" i="6"/>
  <c r="Q9" i="6"/>
  <c r="R3" i="6"/>
  <c r="Q10" i="6"/>
  <c r="H91" i="5"/>
  <c r="Q65" i="6"/>
  <c r="Q64" i="6"/>
  <c r="R58" i="6"/>
  <c r="Q66" i="6"/>
  <c r="H10" i="6"/>
  <c r="H11" i="6"/>
  <c r="H9" i="6"/>
  <c r="K118" i="5"/>
  <c r="Q118" i="5"/>
  <c r="O61" i="6"/>
  <c r="N61" i="6" s="1"/>
  <c r="P64" i="6"/>
  <c r="P66" i="6"/>
  <c r="K15" i="6"/>
  <c r="K16" i="6"/>
  <c r="K14" i="6"/>
  <c r="O118" i="5"/>
  <c r="O121" i="5" s="1"/>
  <c r="H119" i="5"/>
  <c r="N120" i="5"/>
  <c r="P14" i="6"/>
  <c r="O12" i="6"/>
  <c r="P15" i="6"/>
  <c r="P16" i="6"/>
  <c r="K15" i="5"/>
  <c r="Q15" i="5"/>
  <c r="Q17" i="5" s="1"/>
  <c r="J18" i="5"/>
  <c r="H41" i="6"/>
  <c r="Q21" i="6"/>
  <c r="Q22" i="6"/>
  <c r="Q20" i="6"/>
  <c r="P9" i="5"/>
  <c r="K28" i="6"/>
  <c r="K29" i="6"/>
  <c r="K27" i="6"/>
  <c r="P46" i="5"/>
  <c r="N30" i="6"/>
  <c r="Q218" i="3"/>
  <c r="K218" i="3"/>
  <c r="H173" i="3"/>
  <c r="H171" i="3"/>
  <c r="O164" i="3"/>
  <c r="H172" i="3"/>
  <c r="R21" i="4"/>
  <c r="T13" i="4"/>
  <c r="R20" i="4"/>
  <c r="R19" i="4"/>
  <c r="M215" i="3"/>
  <c r="T215" i="3" s="1"/>
  <c r="R215" i="3"/>
  <c r="J16" i="5"/>
  <c r="R197" i="3"/>
  <c r="M197" i="3"/>
  <c r="T197" i="3" s="1"/>
  <c r="J53" i="5"/>
  <c r="R189" i="3"/>
  <c r="M189" i="3"/>
  <c r="T189" i="3" s="1"/>
  <c r="H181" i="3"/>
  <c r="O21" i="4"/>
  <c r="R80" i="3"/>
  <c r="M80" i="3"/>
  <c r="K166" i="3"/>
  <c r="Q166" i="3"/>
  <c r="K146" i="3"/>
  <c r="H100" i="3"/>
  <c r="O96" i="3"/>
  <c r="Q175" i="3"/>
  <c r="K175" i="3"/>
  <c r="P133" i="3"/>
  <c r="P101" i="3"/>
  <c r="V78" i="3"/>
  <c r="V77" i="3"/>
  <c r="V79" i="3"/>
  <c r="S69" i="3"/>
  <c r="S67" i="3"/>
  <c r="S68" i="3"/>
  <c r="Q188" i="3"/>
  <c r="K188" i="3"/>
  <c r="J100" i="3"/>
  <c r="O82" i="3"/>
  <c r="H87" i="3"/>
  <c r="N69" i="3"/>
  <c r="AA69" i="3"/>
  <c r="AA67" i="3"/>
  <c r="AA68" i="3"/>
  <c r="Q11" i="3"/>
  <c r="Q23" i="3"/>
  <c r="O190" i="6"/>
  <c r="N190" i="6" s="1"/>
  <c r="H137" i="6"/>
  <c r="H139" i="6"/>
  <c r="G134" i="6"/>
  <c r="H138" i="6"/>
  <c r="AI125" i="6"/>
  <c r="AI126" i="6"/>
  <c r="AI124" i="6"/>
  <c r="R141" i="6"/>
  <c r="O141" i="6"/>
  <c r="N141" i="6" s="1"/>
  <c r="M20" i="6"/>
  <c r="M22" i="6"/>
  <c r="M21" i="6"/>
  <c r="K21" i="6"/>
  <c r="Q207" i="3"/>
  <c r="K207" i="3"/>
  <c r="K212" i="3" s="1"/>
  <c r="Q5" i="2"/>
  <c r="R5" i="2"/>
  <c r="R113" i="8"/>
  <c r="X113" i="8"/>
  <c r="Q118" i="8"/>
  <c r="O24" i="8"/>
  <c r="R83" i="8"/>
  <c r="X83" i="8"/>
  <c r="T84" i="8"/>
  <c r="AA84" i="8" s="1"/>
  <c r="Y84" i="8"/>
  <c r="P221" i="7"/>
  <c r="P219" i="7"/>
  <c r="P220" i="7"/>
  <c r="K227" i="7"/>
  <c r="K225" i="7"/>
  <c r="M223" i="7"/>
  <c r="T223" i="7" s="1"/>
  <c r="K226" i="7"/>
  <c r="R223" i="7"/>
  <c r="AH169" i="7"/>
  <c r="AH168" i="7"/>
  <c r="AH170" i="7"/>
  <c r="M214" i="7"/>
  <c r="M215" i="7"/>
  <c r="M213" i="7"/>
  <c r="AH215" i="7"/>
  <c r="P215" i="7"/>
  <c r="P213" i="7"/>
  <c r="P214" i="7"/>
  <c r="T19" i="8"/>
  <c r="T26" i="8" s="1"/>
  <c r="Y19" i="8"/>
  <c r="H54" i="7"/>
  <c r="S101" i="7"/>
  <c r="S99" i="7"/>
  <c r="S100" i="7"/>
  <c r="G213" i="7"/>
  <c r="H107" i="7"/>
  <c r="H170" i="7"/>
  <c r="T110" i="7"/>
  <c r="M112" i="7"/>
  <c r="T102" i="7"/>
  <c r="H56" i="7"/>
  <c r="K44" i="7"/>
  <c r="S179" i="6"/>
  <c r="S180" i="6"/>
  <c r="S181" i="6"/>
  <c r="R38" i="7"/>
  <c r="Q43" i="7"/>
  <c r="Q44" i="7"/>
  <c r="Q42" i="7"/>
  <c r="R177" i="6"/>
  <c r="N211" i="6"/>
  <c r="P187" i="6"/>
  <c r="P185" i="6"/>
  <c r="P186" i="6"/>
  <c r="R203" i="6"/>
  <c r="O200" i="6"/>
  <c r="O198" i="6"/>
  <c r="N195" i="6"/>
  <c r="O199" i="6"/>
  <c r="G150" i="6"/>
  <c r="P126" i="6"/>
  <c r="P124" i="6"/>
  <c r="O122" i="6"/>
  <c r="P125" i="6"/>
  <c r="O189" i="6"/>
  <c r="N189" i="6" s="1"/>
  <c r="N186" i="6"/>
  <c r="T102" i="6"/>
  <c r="T101" i="6"/>
  <c r="T103" i="6"/>
  <c r="N84" i="6"/>
  <c r="K73" i="6"/>
  <c r="J76" i="6"/>
  <c r="J75" i="6"/>
  <c r="J77" i="6"/>
  <c r="T132" i="6"/>
  <c r="G42" i="6"/>
  <c r="Q141" i="5"/>
  <c r="R141" i="5" s="1"/>
  <c r="T141" i="5" s="1"/>
  <c r="T93" i="5"/>
  <c r="R100" i="5"/>
  <c r="R101" i="5"/>
  <c r="R99" i="5"/>
  <c r="O31" i="6"/>
  <c r="N31" i="6" s="1"/>
  <c r="Q112" i="5"/>
  <c r="R145" i="5"/>
  <c r="M145" i="5"/>
  <c r="T145" i="5" s="1"/>
  <c r="AL120" i="5"/>
  <c r="AL121" i="5"/>
  <c r="AM115" i="5"/>
  <c r="AL119" i="5"/>
  <c r="P103" i="6"/>
  <c r="AJ90" i="5"/>
  <c r="M71" i="5"/>
  <c r="T71" i="5" s="1"/>
  <c r="R71" i="5"/>
  <c r="H14" i="6"/>
  <c r="G12" i="6"/>
  <c r="H15" i="6"/>
  <c r="H16" i="6"/>
  <c r="Q116" i="5"/>
  <c r="J120" i="5"/>
  <c r="K116" i="5"/>
  <c r="R116" i="5" s="1"/>
  <c r="H75" i="5"/>
  <c r="H73" i="5"/>
  <c r="H74" i="5"/>
  <c r="T11" i="5"/>
  <c r="S129" i="5"/>
  <c r="M109" i="5"/>
  <c r="T109" i="5" s="1"/>
  <c r="R109" i="5"/>
  <c r="N82" i="5"/>
  <c r="S26" i="5"/>
  <c r="K133" i="5"/>
  <c r="R133" i="5" s="1"/>
  <c r="J137" i="5"/>
  <c r="Q133" i="5"/>
  <c r="Q136" i="5" s="1"/>
  <c r="O64" i="5"/>
  <c r="O62" i="5"/>
  <c r="O63" i="5"/>
  <c r="R44" i="5"/>
  <c r="M44" i="5"/>
  <c r="T44" i="5" s="1"/>
  <c r="Q115" i="5"/>
  <c r="P119" i="5"/>
  <c r="N26" i="5"/>
  <c r="R34" i="6"/>
  <c r="R33" i="6"/>
  <c r="R35" i="6"/>
  <c r="L75" i="5"/>
  <c r="O41" i="4"/>
  <c r="H100" i="5"/>
  <c r="AL82" i="5"/>
  <c r="AL83" i="5"/>
  <c r="AL84" i="5"/>
  <c r="AM78" i="5"/>
  <c r="N18" i="5"/>
  <c r="H63" i="5"/>
  <c r="P221" i="3"/>
  <c r="V153" i="3"/>
  <c r="V154" i="3"/>
  <c r="V155" i="3"/>
  <c r="P30" i="4"/>
  <c r="P29" i="4"/>
  <c r="L110" i="5"/>
  <c r="P18" i="5"/>
  <c r="X220" i="3"/>
  <c r="X221" i="3"/>
  <c r="Y214" i="3"/>
  <c r="X222" i="3"/>
  <c r="N45" i="5"/>
  <c r="O18" i="5"/>
  <c r="V220" i="3"/>
  <c r="V222" i="3"/>
  <c r="V221" i="3"/>
  <c r="S141" i="3"/>
  <c r="S140" i="3"/>
  <c r="S139" i="3"/>
  <c r="Y213" i="3"/>
  <c r="Y212" i="3"/>
  <c r="Y211" i="3"/>
  <c r="AA204" i="3"/>
  <c r="K169" i="3"/>
  <c r="Q169" i="3"/>
  <c r="J211" i="3"/>
  <c r="N203" i="3"/>
  <c r="N201" i="3"/>
  <c r="N202" i="3"/>
  <c r="H183" i="3"/>
  <c r="P159" i="3"/>
  <c r="P160" i="3"/>
  <c r="P161" i="3"/>
  <c r="R128" i="3"/>
  <c r="M128" i="3"/>
  <c r="R214" i="3"/>
  <c r="M214" i="3"/>
  <c r="K222" i="3"/>
  <c r="N101" i="3"/>
  <c r="N102" i="3"/>
  <c r="N100" i="3"/>
  <c r="I79" i="3"/>
  <c r="J213" i="3"/>
  <c r="R104" i="3"/>
  <c r="R108" i="3" s="1"/>
  <c r="M104" i="3"/>
  <c r="O130" i="3"/>
  <c r="O133" i="3" s="1"/>
  <c r="H133" i="3"/>
  <c r="O111" i="3"/>
  <c r="H118" i="3"/>
  <c r="H116" i="3"/>
  <c r="H117" i="3"/>
  <c r="P102" i="3"/>
  <c r="N78" i="3"/>
  <c r="N77" i="3"/>
  <c r="N79" i="3"/>
  <c r="N193" i="3"/>
  <c r="Y134" i="3"/>
  <c r="Y132" i="3"/>
  <c r="Y133" i="3"/>
  <c r="AA128" i="3"/>
  <c r="P68" i="3"/>
  <c r="M35" i="3"/>
  <c r="M33" i="3"/>
  <c r="M34" i="3"/>
  <c r="N127" i="3"/>
  <c r="N125" i="3"/>
  <c r="N126" i="3"/>
  <c r="Y110" i="3"/>
  <c r="Y109" i="3"/>
  <c r="Y108" i="3"/>
  <c r="AA103" i="3"/>
  <c r="J68" i="3"/>
  <c r="J69" i="3"/>
  <c r="J67" i="3"/>
  <c r="K60" i="3"/>
  <c r="Q60" i="3"/>
  <c r="K148" i="5"/>
  <c r="Q22" i="3"/>
  <c r="V86" i="8"/>
  <c r="V88" i="8"/>
  <c r="O50" i="7"/>
  <c r="O48" i="7"/>
  <c r="O49" i="7"/>
  <c r="M104" i="7"/>
  <c r="T104" i="7" s="1"/>
  <c r="R104" i="7"/>
  <c r="R106" i="7" s="1"/>
  <c r="G98" i="7"/>
  <c r="G99" i="7" s="1"/>
  <c r="O98" i="7"/>
  <c r="O100" i="7" s="1"/>
  <c r="G181" i="6"/>
  <c r="G179" i="6"/>
  <c r="G180" i="6"/>
  <c r="H145" i="6"/>
  <c r="H143" i="6"/>
  <c r="G140" i="6"/>
  <c r="H144" i="6"/>
  <c r="T77" i="6"/>
  <c r="T76" i="6"/>
  <c r="T75" i="6"/>
  <c r="S138" i="5"/>
  <c r="S136" i="5"/>
  <c r="K80" i="5"/>
  <c r="Q80" i="5"/>
  <c r="Q82" i="5" s="1"/>
  <c r="K187" i="3"/>
  <c r="Q187" i="3"/>
  <c r="Q191" i="3" s="1"/>
  <c r="J192" i="3"/>
  <c r="N3" i="3"/>
  <c r="AA75" i="8"/>
  <c r="AA73" i="8"/>
  <c r="AA74" i="8"/>
  <c r="U26" i="8"/>
  <c r="U24" i="8"/>
  <c r="U25" i="8"/>
  <c r="R115" i="8"/>
  <c r="X115" i="8"/>
  <c r="U57" i="8"/>
  <c r="U55" i="8"/>
  <c r="U56" i="8"/>
  <c r="Z25" i="8"/>
  <c r="Q56" i="8"/>
  <c r="AO112" i="7"/>
  <c r="AO113" i="7"/>
  <c r="AO111" i="7"/>
  <c r="K169" i="7"/>
  <c r="K168" i="7"/>
  <c r="K170" i="7"/>
  <c r="M166" i="7"/>
  <c r="R166" i="7"/>
  <c r="R169" i="7" s="1"/>
  <c r="O155" i="7"/>
  <c r="O157" i="7" s="1"/>
  <c r="G155" i="7"/>
  <c r="G157" i="7" s="1"/>
  <c r="O41" i="7"/>
  <c r="G41" i="7"/>
  <c r="N41" i="7" s="1"/>
  <c r="H168" i="7"/>
  <c r="G107" i="7"/>
  <c r="AH55" i="7"/>
  <c r="AH56" i="7"/>
  <c r="AH54" i="7"/>
  <c r="P100" i="7"/>
  <c r="H43" i="7"/>
  <c r="S49" i="7"/>
  <c r="S50" i="7"/>
  <c r="S48" i="7"/>
  <c r="R199" i="6"/>
  <c r="R200" i="6"/>
  <c r="R198" i="6"/>
  <c r="R40" i="7"/>
  <c r="M40" i="7"/>
  <c r="O149" i="6"/>
  <c r="P151" i="6"/>
  <c r="G126" i="6"/>
  <c r="G124" i="6"/>
  <c r="G125" i="6"/>
  <c r="AI96" i="6"/>
  <c r="AI97" i="6"/>
  <c r="AI95" i="6"/>
  <c r="S97" i="6"/>
  <c r="N185" i="6"/>
  <c r="S69" i="6"/>
  <c r="S71" i="6"/>
  <c r="R67" i="6"/>
  <c r="S70" i="6"/>
  <c r="O73" i="6"/>
  <c r="AH65" i="6"/>
  <c r="AH66" i="6"/>
  <c r="AH64" i="6"/>
  <c r="AI102" i="6"/>
  <c r="AI101" i="6"/>
  <c r="AI103" i="6"/>
  <c r="O69" i="6"/>
  <c r="O71" i="6"/>
  <c r="O70" i="6"/>
  <c r="N67" i="6"/>
  <c r="AO48" i="6"/>
  <c r="AO46" i="6"/>
  <c r="AO47" i="6"/>
  <c r="AI47" i="6"/>
  <c r="AI46" i="6"/>
  <c r="AI48" i="6"/>
  <c r="T102" i="5"/>
  <c r="S64" i="6"/>
  <c r="S11" i="6"/>
  <c r="S9" i="6"/>
  <c r="S10" i="6"/>
  <c r="N147" i="5"/>
  <c r="O139" i="5"/>
  <c r="N148" i="5"/>
  <c r="N149" i="5"/>
  <c r="M108" i="5"/>
  <c r="T108" i="5" s="1"/>
  <c r="R108" i="5"/>
  <c r="R110" i="5" s="1"/>
  <c r="N128" i="5"/>
  <c r="G34" i="6"/>
  <c r="G35" i="6"/>
  <c r="G33" i="6"/>
  <c r="O62" i="6"/>
  <c r="N62" i="6" s="1"/>
  <c r="N66" i="6" s="1"/>
  <c r="AJ92" i="5"/>
  <c r="T137" i="5"/>
  <c r="S119" i="5"/>
  <c r="S120" i="5"/>
  <c r="O101" i="5"/>
  <c r="O99" i="5"/>
  <c r="O100" i="5"/>
  <c r="J22" i="6"/>
  <c r="Q110" i="5"/>
  <c r="Q54" i="5"/>
  <c r="H40" i="6"/>
  <c r="P138" i="5"/>
  <c r="R126" i="5"/>
  <c r="M126" i="5"/>
  <c r="T126" i="5" s="1"/>
  <c r="O104" i="5"/>
  <c r="S64" i="5"/>
  <c r="S62" i="5"/>
  <c r="P38" i="5"/>
  <c r="P36" i="5"/>
  <c r="P37" i="5"/>
  <c r="O28" i="5"/>
  <c r="J17" i="5"/>
  <c r="AI40" i="6"/>
  <c r="AM100" i="5"/>
  <c r="T33" i="4"/>
  <c r="R41" i="4"/>
  <c r="R39" i="4"/>
  <c r="R40" i="4"/>
  <c r="S121" i="5"/>
  <c r="M51" i="5"/>
  <c r="R51" i="5"/>
  <c r="AM27" i="5"/>
  <c r="AM25" i="5"/>
  <c r="AM26" i="5"/>
  <c r="AJ17" i="5"/>
  <c r="Q33" i="6"/>
  <c r="K5" i="5"/>
  <c r="R5" i="5" s="1"/>
  <c r="R8" i="5" s="1"/>
  <c r="Q5" i="5"/>
  <c r="M65" i="5"/>
  <c r="H38" i="5"/>
  <c r="H36" i="5"/>
  <c r="H37" i="5"/>
  <c r="P31" i="4"/>
  <c r="O83" i="5"/>
  <c r="P20" i="4"/>
  <c r="P19" i="4"/>
  <c r="J138" i="5"/>
  <c r="M184" i="3"/>
  <c r="R184" i="3"/>
  <c r="K192" i="3"/>
  <c r="O31" i="4"/>
  <c r="L112" i="5"/>
  <c r="N154" i="3"/>
  <c r="N36" i="5"/>
  <c r="O17" i="5"/>
  <c r="M168" i="3"/>
  <c r="T168" i="3" s="1"/>
  <c r="R168" i="3"/>
  <c r="O153" i="3"/>
  <c r="O155" i="3"/>
  <c r="O154" i="3"/>
  <c r="X181" i="3"/>
  <c r="R186" i="3"/>
  <c r="M186" i="3"/>
  <c r="T186" i="3" s="1"/>
  <c r="M151" i="3"/>
  <c r="T151" i="3" s="1"/>
  <c r="R151" i="3"/>
  <c r="J139" i="3"/>
  <c r="J141" i="3"/>
  <c r="J140" i="3"/>
  <c r="K135" i="3"/>
  <c r="Q135" i="3"/>
  <c r="P172" i="3"/>
  <c r="N182" i="3"/>
  <c r="K148" i="3"/>
  <c r="J101" i="3"/>
  <c r="H101" i="3"/>
  <c r="AA57" i="3"/>
  <c r="AA55" i="3"/>
  <c r="AA56" i="3"/>
  <c r="M196" i="3"/>
  <c r="T196" i="3" s="1"/>
  <c r="R196" i="3"/>
  <c r="P79" i="3"/>
  <c r="P77" i="3"/>
  <c r="P78" i="3"/>
  <c r="N25" i="3"/>
  <c r="P181" i="3"/>
  <c r="K130" i="3"/>
  <c r="Q130" i="3"/>
  <c r="P118" i="3"/>
  <c r="P116" i="3"/>
  <c r="P117" i="3"/>
  <c r="H88" i="3"/>
  <c r="P132" i="3"/>
  <c r="N172" i="3"/>
  <c r="V127" i="3"/>
  <c r="V125" i="3"/>
  <c r="V126" i="3"/>
  <c r="Q24" i="3"/>
  <c r="S12" i="3"/>
  <c r="S11" i="3"/>
  <c r="H125" i="3"/>
  <c r="H126" i="3"/>
  <c r="O121" i="3"/>
  <c r="H127" i="3"/>
  <c r="S33" i="3"/>
  <c r="S13" i="3"/>
  <c r="O68" i="3"/>
  <c r="O67" i="3"/>
  <c r="O69" i="3"/>
  <c r="O26" i="3"/>
  <c r="N26" i="3" s="1"/>
  <c r="O5" i="3"/>
  <c r="N5" i="3" s="1"/>
  <c r="R24" i="3"/>
  <c r="T14" i="3"/>
  <c r="R4" i="3"/>
  <c r="T4" i="3" s="1"/>
  <c r="P67" i="3"/>
  <c r="O223" i="7"/>
  <c r="O227" i="7" s="1"/>
  <c r="G223" i="7"/>
  <c r="H225" i="7"/>
  <c r="H227" i="7"/>
  <c r="O113" i="7"/>
  <c r="O111" i="7"/>
  <c r="O112" i="7"/>
  <c r="G102" i="6"/>
  <c r="G103" i="6"/>
  <c r="G101" i="6"/>
  <c r="K103" i="6"/>
  <c r="K101" i="6"/>
  <c r="K102" i="6"/>
  <c r="M6" i="5"/>
  <c r="T6" i="5" s="1"/>
  <c r="R6" i="5"/>
  <c r="X159" i="3"/>
  <c r="X160" i="3"/>
  <c r="Y156" i="3"/>
  <c r="X161" i="3"/>
  <c r="Q88" i="8"/>
  <c r="Q87" i="8"/>
  <c r="Q86" i="8"/>
  <c r="R81" i="8"/>
  <c r="X81" i="8"/>
  <c r="T50" i="8"/>
  <c r="AA50" i="8" s="1"/>
  <c r="Y50" i="8"/>
  <c r="R56" i="8"/>
  <c r="R55" i="8"/>
  <c r="R119" i="8"/>
  <c r="T112" i="8"/>
  <c r="R117" i="8"/>
  <c r="Y112" i="8"/>
  <c r="AA31" i="8"/>
  <c r="AA32" i="8"/>
  <c r="AA30" i="8"/>
  <c r="AA61" i="8"/>
  <c r="AA62" i="8"/>
  <c r="AA63" i="8"/>
  <c r="M160" i="7"/>
  <c r="T160" i="7" s="1"/>
  <c r="R160" i="7"/>
  <c r="S169" i="7"/>
  <c r="S168" i="7"/>
  <c r="S170" i="7"/>
  <c r="Q158" i="7"/>
  <c r="Q156" i="7"/>
  <c r="R152" i="7"/>
  <c r="Q157" i="7"/>
  <c r="Q164" i="7"/>
  <c r="Q162" i="7"/>
  <c r="R159" i="7"/>
  <c r="Q163" i="7"/>
  <c r="AI107" i="7"/>
  <c r="AI106" i="7"/>
  <c r="AI105" i="7"/>
  <c r="AH112" i="7"/>
  <c r="AH113" i="7"/>
  <c r="AH111" i="7"/>
  <c r="M101" i="7"/>
  <c r="M100" i="7"/>
  <c r="M99" i="7"/>
  <c r="K164" i="7"/>
  <c r="Q100" i="7"/>
  <c r="H55" i="7"/>
  <c r="H169" i="7"/>
  <c r="H101" i="7"/>
  <c r="M47" i="7"/>
  <c r="T47" i="7" s="1"/>
  <c r="R47" i="7"/>
  <c r="H200" i="6"/>
  <c r="H198" i="6"/>
  <c r="G195" i="6"/>
  <c r="H199" i="6"/>
  <c r="N221" i="6"/>
  <c r="N220" i="6"/>
  <c r="N219" i="6"/>
  <c r="K194" i="6"/>
  <c r="K193" i="6"/>
  <c r="K192" i="6"/>
  <c r="O193" i="6"/>
  <c r="O192" i="6"/>
  <c r="O194" i="6"/>
  <c r="P181" i="6"/>
  <c r="P179" i="6"/>
  <c r="O177" i="6"/>
  <c r="P180" i="6"/>
  <c r="M41" i="7"/>
  <c r="T41" i="7" s="1"/>
  <c r="R41" i="7"/>
  <c r="O171" i="6"/>
  <c r="N171" i="6" s="1"/>
  <c r="P174" i="6"/>
  <c r="P175" i="6"/>
  <c r="R175" i="6"/>
  <c r="R176" i="6"/>
  <c r="R174" i="6"/>
  <c r="T168" i="6"/>
  <c r="K139" i="6"/>
  <c r="K138" i="6"/>
  <c r="K137" i="6"/>
  <c r="R124" i="6"/>
  <c r="R125" i="6"/>
  <c r="R126" i="6"/>
  <c r="T96" i="6"/>
  <c r="T97" i="6"/>
  <c r="T95" i="6"/>
  <c r="K96" i="6"/>
  <c r="K97" i="6"/>
  <c r="K95" i="6"/>
  <c r="R135" i="6"/>
  <c r="R137" i="6" s="1"/>
  <c r="O135" i="6"/>
  <c r="N135" i="6" s="1"/>
  <c r="O132" i="6"/>
  <c r="O130" i="6"/>
  <c r="O131" i="6"/>
  <c r="Q138" i="6"/>
  <c r="O96" i="6"/>
  <c r="N110" i="6"/>
  <c r="T78" i="6"/>
  <c r="R82" i="6"/>
  <c r="R83" i="6"/>
  <c r="R84" i="6"/>
  <c r="H65" i="6"/>
  <c r="H66" i="6"/>
  <c r="H64" i="6"/>
  <c r="AO187" i="6"/>
  <c r="N64" i="6"/>
  <c r="O58" i="6"/>
  <c r="N65" i="6"/>
  <c r="R103" i="6"/>
  <c r="K144" i="6"/>
  <c r="K145" i="6"/>
  <c r="K143" i="6"/>
  <c r="T151" i="6"/>
  <c r="T150" i="6"/>
  <c r="T152" i="6"/>
  <c r="N132" i="6"/>
  <c r="R39" i="6"/>
  <c r="Q42" i="6"/>
  <c r="G27" i="6"/>
  <c r="G28" i="6"/>
  <c r="G29" i="6"/>
  <c r="K11" i="6"/>
  <c r="K9" i="6"/>
  <c r="M3" i="6"/>
  <c r="K10" i="6"/>
  <c r="P110" i="5"/>
  <c r="P111" i="5"/>
  <c r="P112" i="5"/>
  <c r="AI206" i="6"/>
  <c r="AI207" i="6"/>
  <c r="AI205" i="6"/>
  <c r="R73" i="5"/>
  <c r="R74" i="5"/>
  <c r="R75" i="5"/>
  <c r="T65" i="5"/>
  <c r="Q15" i="6"/>
  <c r="Q16" i="6"/>
  <c r="Q14" i="6"/>
  <c r="R12" i="6"/>
  <c r="P119" i="6"/>
  <c r="T136" i="5"/>
  <c r="J21" i="6"/>
  <c r="H129" i="5"/>
  <c r="J75" i="5"/>
  <c r="K67" i="5"/>
  <c r="M67" i="5" s="1"/>
  <c r="J73" i="5"/>
  <c r="H42" i="6"/>
  <c r="R23" i="5"/>
  <c r="M23" i="5"/>
  <c r="T23" i="5" s="1"/>
  <c r="AM9" i="5"/>
  <c r="AM8" i="5"/>
  <c r="AM10" i="5"/>
  <c r="AJ53" i="5"/>
  <c r="S29" i="6"/>
  <c r="S27" i="6"/>
  <c r="H82" i="5"/>
  <c r="Q35" i="6"/>
  <c r="T123" i="5"/>
  <c r="S127" i="5"/>
  <c r="L37" i="5"/>
  <c r="L38" i="5"/>
  <c r="S34" i="5"/>
  <c r="S10" i="5"/>
  <c r="S9" i="5"/>
  <c r="S73" i="5"/>
  <c r="S74" i="5"/>
  <c r="S75" i="5"/>
  <c r="O84" i="5"/>
  <c r="O9" i="4"/>
  <c r="H220" i="3"/>
  <c r="H222" i="3"/>
  <c r="O214" i="3"/>
  <c r="H221" i="3"/>
  <c r="P137" i="5"/>
  <c r="R125" i="5"/>
  <c r="M125" i="5"/>
  <c r="K111" i="5"/>
  <c r="K112" i="5"/>
  <c r="K110" i="5"/>
  <c r="M102" i="5"/>
  <c r="J202" i="3"/>
  <c r="K195" i="3"/>
  <c r="J203" i="3"/>
  <c r="Q195" i="3"/>
  <c r="J201" i="3"/>
  <c r="N38" i="5"/>
  <c r="M209" i="3"/>
  <c r="T209" i="3" s="1"/>
  <c r="R209" i="3"/>
  <c r="AA174" i="3"/>
  <c r="Y182" i="3"/>
  <c r="J171" i="3"/>
  <c r="Q164" i="3"/>
  <c r="J172" i="3"/>
  <c r="K164" i="3"/>
  <c r="J173" i="3"/>
  <c r="M204" i="3"/>
  <c r="R204" i="3"/>
  <c r="J212" i="3"/>
  <c r="K165" i="3"/>
  <c r="Q165" i="3"/>
  <c r="N153" i="3"/>
  <c r="N221" i="3"/>
  <c r="M185" i="3"/>
  <c r="T185" i="3" s="1"/>
  <c r="R185" i="3"/>
  <c r="J79" i="3"/>
  <c r="J77" i="3"/>
  <c r="Q70" i="3"/>
  <c r="J78" i="3"/>
  <c r="K70" i="3"/>
  <c r="T143" i="3"/>
  <c r="H102" i="3"/>
  <c r="Q147" i="3"/>
  <c r="K129" i="3"/>
  <c r="Q129" i="3"/>
  <c r="Q134" i="3" s="1"/>
  <c r="H79" i="3"/>
  <c r="H77" i="3"/>
  <c r="H78" i="3"/>
  <c r="O70" i="3"/>
  <c r="P173" i="3"/>
  <c r="O105" i="3"/>
  <c r="O108" i="3" s="1"/>
  <c r="H108" i="3"/>
  <c r="J154" i="3"/>
  <c r="K149" i="3"/>
  <c r="Q149" i="3"/>
  <c r="J153" i="3"/>
  <c r="J155" i="3"/>
  <c r="M121" i="3"/>
  <c r="K127" i="3"/>
  <c r="R121" i="3"/>
  <c r="K82" i="3"/>
  <c r="K87" i="3" s="1"/>
  <c r="Q82" i="3"/>
  <c r="J89" i="3"/>
  <c r="H35" i="3"/>
  <c r="H34" i="3"/>
  <c r="H33" i="3"/>
  <c r="G25" i="3"/>
  <c r="K108" i="3"/>
  <c r="Y77" i="3"/>
  <c r="Y78" i="3"/>
  <c r="Y79" i="3"/>
  <c r="AA70" i="3"/>
  <c r="H23" i="3"/>
  <c r="H22" i="3"/>
  <c r="H24" i="3"/>
  <c r="G14" i="3"/>
  <c r="Q12" i="3"/>
  <c r="Q3" i="2"/>
  <c r="R3" i="2"/>
  <c r="P11" i="3"/>
  <c r="O27" i="3"/>
  <c r="N27" i="3" s="1"/>
  <c r="K221" i="3" l="1"/>
  <c r="Q213" i="3"/>
  <c r="K193" i="3"/>
  <c r="R148" i="3"/>
  <c r="K213" i="3"/>
  <c r="Y181" i="3"/>
  <c r="O33" i="3"/>
  <c r="Q211" i="3"/>
  <c r="K125" i="3"/>
  <c r="Q148" i="3"/>
  <c r="K211" i="3"/>
  <c r="Y183" i="3"/>
  <c r="Q212" i="3"/>
  <c r="K191" i="3"/>
  <c r="K126" i="3"/>
  <c r="R23" i="3"/>
  <c r="O13" i="3"/>
  <c r="K220" i="3"/>
  <c r="M158" i="3"/>
  <c r="T158" i="3" s="1"/>
  <c r="R158" i="3"/>
  <c r="R22" i="3"/>
  <c r="M123" i="3"/>
  <c r="T123" i="3" s="1"/>
  <c r="O11" i="3"/>
  <c r="M145" i="3"/>
  <c r="R145" i="3"/>
  <c r="R147" i="3" s="1"/>
  <c r="K160" i="3"/>
  <c r="M98" i="3"/>
  <c r="T98" i="3" s="1"/>
  <c r="R98" i="3"/>
  <c r="Q222" i="3"/>
  <c r="M178" i="3"/>
  <c r="T178" i="3" s="1"/>
  <c r="R178" i="3"/>
  <c r="R63" i="5"/>
  <c r="K73" i="5"/>
  <c r="Q99" i="5"/>
  <c r="M117" i="5"/>
  <c r="T117" i="5" s="1"/>
  <c r="R117" i="5"/>
  <c r="H120" i="5"/>
  <c r="K75" i="5"/>
  <c r="K120" i="5"/>
  <c r="K74" i="5"/>
  <c r="K119" i="5"/>
  <c r="M14" i="5"/>
  <c r="T14" i="5" s="1"/>
  <c r="R14" i="5"/>
  <c r="R35" i="5"/>
  <c r="M35" i="5"/>
  <c r="T35" i="5" s="1"/>
  <c r="T36" i="5" s="1"/>
  <c r="R38" i="5"/>
  <c r="G24" i="3"/>
  <c r="G22" i="3"/>
  <c r="G23" i="3"/>
  <c r="R127" i="3"/>
  <c r="R126" i="3"/>
  <c r="R125" i="3"/>
  <c r="K155" i="3"/>
  <c r="M149" i="3"/>
  <c r="K153" i="3"/>
  <c r="K154" i="3"/>
  <c r="R149" i="3"/>
  <c r="S37" i="5"/>
  <c r="S36" i="5"/>
  <c r="S38" i="5"/>
  <c r="G200" i="6"/>
  <c r="G198" i="6"/>
  <c r="G199" i="6"/>
  <c r="K141" i="3"/>
  <c r="K140" i="3"/>
  <c r="K139" i="3"/>
  <c r="R135" i="3"/>
  <c r="M135" i="3"/>
  <c r="O76" i="6"/>
  <c r="O75" i="6"/>
  <c r="O77" i="6"/>
  <c r="O117" i="3"/>
  <c r="O116" i="3"/>
  <c r="O118" i="3"/>
  <c r="R169" i="3"/>
  <c r="M169" i="3"/>
  <c r="T169" i="3" s="1"/>
  <c r="AM119" i="5"/>
  <c r="AM120" i="5"/>
  <c r="AM121" i="5"/>
  <c r="R105" i="7"/>
  <c r="O226" i="7"/>
  <c r="M175" i="3"/>
  <c r="T175" i="3" s="1"/>
  <c r="R175" i="3"/>
  <c r="Q193" i="3"/>
  <c r="O35" i="6"/>
  <c r="M15" i="5"/>
  <c r="R15" i="5"/>
  <c r="O42" i="7"/>
  <c r="O44" i="7"/>
  <c r="O43" i="7"/>
  <c r="O132" i="3"/>
  <c r="Y192" i="3"/>
  <c r="AA184" i="3"/>
  <c r="Y193" i="3"/>
  <c r="Y191" i="3"/>
  <c r="M147" i="5"/>
  <c r="M45" i="5"/>
  <c r="R12" i="3"/>
  <c r="T156" i="3"/>
  <c r="O26" i="5"/>
  <c r="O120" i="5"/>
  <c r="N161" i="7"/>
  <c r="G162" i="7"/>
  <c r="G164" i="7"/>
  <c r="M136" i="3"/>
  <c r="T136" i="3" s="1"/>
  <c r="R136" i="3"/>
  <c r="R61" i="3"/>
  <c r="M61" i="3"/>
  <c r="T61" i="3" s="1"/>
  <c r="AA155" i="3"/>
  <c r="AA153" i="3"/>
  <c r="AA154" i="3"/>
  <c r="O213" i="3"/>
  <c r="O212" i="3"/>
  <c r="O211" i="3"/>
  <c r="R37" i="5"/>
  <c r="O175" i="6"/>
  <c r="T139" i="6"/>
  <c r="T138" i="6"/>
  <c r="T137" i="6"/>
  <c r="O170" i="7"/>
  <c r="M164" i="7"/>
  <c r="G47" i="6"/>
  <c r="G48" i="6"/>
  <c r="G46" i="6"/>
  <c r="R50" i="7"/>
  <c r="G35" i="3"/>
  <c r="G34" i="3"/>
  <c r="G33" i="3"/>
  <c r="T204" i="3"/>
  <c r="Q202" i="3"/>
  <c r="Q203" i="3"/>
  <c r="Q201" i="3"/>
  <c r="T125" i="5"/>
  <c r="T127" i="5" s="1"/>
  <c r="M129" i="5"/>
  <c r="M127" i="5"/>
  <c r="M10" i="6"/>
  <c r="M9" i="6"/>
  <c r="M11" i="6"/>
  <c r="T175" i="6"/>
  <c r="T176" i="6"/>
  <c r="T174" i="6"/>
  <c r="X87" i="8"/>
  <c r="X86" i="8"/>
  <c r="X88" i="8"/>
  <c r="N35" i="3"/>
  <c r="N34" i="3"/>
  <c r="N33" i="3"/>
  <c r="M74" i="5"/>
  <c r="M75" i="5"/>
  <c r="M73" i="5"/>
  <c r="T39" i="4"/>
  <c r="T40" i="4"/>
  <c r="T41" i="4"/>
  <c r="N149" i="6"/>
  <c r="O150" i="6"/>
  <c r="O152" i="6"/>
  <c r="M187" i="3"/>
  <c r="T187" i="3" s="1"/>
  <c r="R187" i="3"/>
  <c r="N98" i="7"/>
  <c r="G101" i="7"/>
  <c r="AA109" i="3"/>
  <c r="AA110" i="3"/>
  <c r="AA108" i="3"/>
  <c r="AA211" i="3"/>
  <c r="AA213" i="3"/>
  <c r="AA212" i="3"/>
  <c r="G14" i="6"/>
  <c r="G15" i="6"/>
  <c r="G16" i="6"/>
  <c r="R43" i="7"/>
  <c r="R44" i="7"/>
  <c r="R42" i="7"/>
  <c r="T38" i="7"/>
  <c r="R107" i="7"/>
  <c r="X117" i="8"/>
  <c r="M166" i="3"/>
  <c r="T166" i="3" s="1"/>
  <c r="R166" i="3"/>
  <c r="Q192" i="3"/>
  <c r="O173" i="3"/>
  <c r="O171" i="3"/>
  <c r="O172" i="3"/>
  <c r="O33" i="6"/>
  <c r="R11" i="6"/>
  <c r="R9" i="6"/>
  <c r="T3" i="6"/>
  <c r="R10" i="6"/>
  <c r="T51" i="8"/>
  <c r="AA51" i="8" s="1"/>
  <c r="AA56" i="8" s="1"/>
  <c r="Y51" i="8"/>
  <c r="M198" i="3"/>
  <c r="T198" i="3" s="1"/>
  <c r="R198" i="3"/>
  <c r="Y140" i="3"/>
  <c r="AA135" i="3"/>
  <c r="Y139" i="3"/>
  <c r="Y141" i="3"/>
  <c r="O134" i="3"/>
  <c r="M217" i="3"/>
  <c r="T217" i="3" s="1"/>
  <c r="R217" i="3"/>
  <c r="Y171" i="3"/>
  <c r="Y172" i="3"/>
  <c r="Y173" i="3"/>
  <c r="AA164" i="3"/>
  <c r="R45" i="5"/>
  <c r="R47" i="5"/>
  <c r="R46" i="5"/>
  <c r="K17" i="5"/>
  <c r="M47" i="5"/>
  <c r="M225" i="7"/>
  <c r="R11" i="3"/>
  <c r="K161" i="3"/>
  <c r="Q84" i="5"/>
  <c r="J8" i="5"/>
  <c r="J9" i="5"/>
  <c r="K4" i="5"/>
  <c r="J10" i="5"/>
  <c r="O119" i="5"/>
  <c r="T22" i="6"/>
  <c r="T21" i="6"/>
  <c r="T20" i="6"/>
  <c r="O145" i="6"/>
  <c r="O143" i="6"/>
  <c r="N140" i="6"/>
  <c r="O144" i="6"/>
  <c r="N90" i="6"/>
  <c r="N88" i="6"/>
  <c r="N89" i="6"/>
  <c r="N104" i="7"/>
  <c r="G105" i="7"/>
  <c r="O24" i="3"/>
  <c r="O22" i="3"/>
  <c r="N14" i="3"/>
  <c r="O23" i="3"/>
  <c r="R36" i="5"/>
  <c r="O174" i="6"/>
  <c r="R138" i="6"/>
  <c r="G100" i="7"/>
  <c r="T154" i="7"/>
  <c r="M158" i="7"/>
  <c r="M156" i="7"/>
  <c r="M157" i="7"/>
  <c r="M163" i="7"/>
  <c r="R49" i="7"/>
  <c r="X119" i="8"/>
  <c r="M125" i="3"/>
  <c r="T121" i="3"/>
  <c r="R128" i="5"/>
  <c r="R129" i="5"/>
  <c r="R127" i="5"/>
  <c r="R86" i="8"/>
  <c r="T81" i="8"/>
  <c r="Y81" i="8"/>
  <c r="R88" i="8"/>
  <c r="R87" i="8"/>
  <c r="R69" i="6"/>
  <c r="R71" i="6"/>
  <c r="R70" i="6"/>
  <c r="T40" i="7"/>
  <c r="M44" i="7"/>
  <c r="M43" i="7"/>
  <c r="M42" i="7"/>
  <c r="G145" i="6"/>
  <c r="G143" i="6"/>
  <c r="G144" i="6"/>
  <c r="T128" i="3"/>
  <c r="T100" i="5"/>
  <c r="T101" i="5"/>
  <c r="T99" i="5"/>
  <c r="Y113" i="8"/>
  <c r="Y118" i="8" s="1"/>
  <c r="T113" i="8"/>
  <c r="AA113" i="8" s="1"/>
  <c r="O100" i="3"/>
  <c r="O101" i="3"/>
  <c r="O102" i="3"/>
  <c r="T80" i="3"/>
  <c r="O34" i="6"/>
  <c r="R120" i="6"/>
  <c r="R121" i="6"/>
  <c r="R119" i="6"/>
  <c r="T113" i="6"/>
  <c r="M72" i="3"/>
  <c r="T72" i="3" s="1"/>
  <c r="R72" i="3"/>
  <c r="Q220" i="3"/>
  <c r="K16" i="5"/>
  <c r="M49" i="7"/>
  <c r="N166" i="7"/>
  <c r="G169" i="7"/>
  <c r="G168" i="7"/>
  <c r="G170" i="7"/>
  <c r="R215" i="7"/>
  <c r="R213" i="7"/>
  <c r="R214" i="7"/>
  <c r="T209" i="7"/>
  <c r="M227" i="7"/>
  <c r="T11" i="3"/>
  <c r="T12" i="3"/>
  <c r="T13" i="3"/>
  <c r="T29" i="4"/>
  <c r="T30" i="4"/>
  <c r="T31" i="4"/>
  <c r="R144" i="6"/>
  <c r="R145" i="6"/>
  <c r="R143" i="6"/>
  <c r="N52" i="7"/>
  <c r="G54" i="7"/>
  <c r="G55" i="7"/>
  <c r="G56" i="7"/>
  <c r="G106" i="7"/>
  <c r="T25" i="3"/>
  <c r="R33" i="3"/>
  <c r="R34" i="3"/>
  <c r="R35" i="3"/>
  <c r="M8" i="5"/>
  <c r="Q147" i="5"/>
  <c r="T37" i="5"/>
  <c r="T38" i="5"/>
  <c r="O176" i="6"/>
  <c r="R139" i="6"/>
  <c r="T194" i="6"/>
  <c r="T193" i="6"/>
  <c r="T192" i="6"/>
  <c r="G163" i="7"/>
  <c r="X118" i="8"/>
  <c r="R170" i="7"/>
  <c r="M129" i="3"/>
  <c r="T129" i="3" s="1"/>
  <c r="R129" i="3"/>
  <c r="R15" i="6"/>
  <c r="R16" i="6"/>
  <c r="R14" i="6"/>
  <c r="K79" i="3"/>
  <c r="R70" i="3"/>
  <c r="M70" i="3"/>
  <c r="K77" i="3"/>
  <c r="K78" i="3"/>
  <c r="K202" i="3"/>
  <c r="M195" i="3"/>
  <c r="K203" i="3"/>
  <c r="R195" i="3"/>
  <c r="K201" i="3"/>
  <c r="R158" i="7"/>
  <c r="R156" i="7"/>
  <c r="T152" i="7"/>
  <c r="R157" i="7"/>
  <c r="AA112" i="8"/>
  <c r="T23" i="3"/>
  <c r="T24" i="3"/>
  <c r="T22" i="3"/>
  <c r="T104" i="3"/>
  <c r="M109" i="3"/>
  <c r="M108" i="3"/>
  <c r="M110" i="3"/>
  <c r="K132" i="3"/>
  <c r="AM83" i="5"/>
  <c r="AM84" i="5"/>
  <c r="AM82" i="5"/>
  <c r="R207" i="3"/>
  <c r="M207" i="3"/>
  <c r="T207" i="3" s="1"/>
  <c r="K88" i="3"/>
  <c r="N35" i="6"/>
  <c r="N33" i="6"/>
  <c r="N34" i="6"/>
  <c r="O14" i="6"/>
  <c r="N12" i="6"/>
  <c r="O15" i="6"/>
  <c r="O16" i="6"/>
  <c r="N217" i="7"/>
  <c r="G221" i="7"/>
  <c r="G219" i="7"/>
  <c r="G220" i="7"/>
  <c r="M97" i="3"/>
  <c r="R97" i="3"/>
  <c r="K102" i="3"/>
  <c r="K100" i="3"/>
  <c r="K101" i="3"/>
  <c r="M48" i="7"/>
  <c r="R109" i="3"/>
  <c r="M226" i="7"/>
  <c r="Y147" i="3"/>
  <c r="AA143" i="3"/>
  <c r="Y146" i="3"/>
  <c r="Y148" i="3"/>
  <c r="O201" i="3"/>
  <c r="O202" i="3"/>
  <c r="O203" i="3"/>
  <c r="Q183" i="3"/>
  <c r="Q181" i="3"/>
  <c r="Q182" i="3"/>
  <c r="H45" i="5"/>
  <c r="H47" i="5"/>
  <c r="H46" i="5"/>
  <c r="Q83" i="5"/>
  <c r="R50" i="5"/>
  <c r="K55" i="5"/>
  <c r="K53" i="5"/>
  <c r="K54" i="5"/>
  <c r="K83" i="5"/>
  <c r="K84" i="5"/>
  <c r="K82" i="5"/>
  <c r="O55" i="7"/>
  <c r="O56" i="7"/>
  <c r="O54" i="7"/>
  <c r="T51" i="7"/>
  <c r="R55" i="7"/>
  <c r="R56" i="7"/>
  <c r="R54" i="7"/>
  <c r="O192" i="3"/>
  <c r="O193" i="3"/>
  <c r="O191" i="3"/>
  <c r="Q25" i="5"/>
  <c r="Q26" i="5"/>
  <c r="Q27" i="5"/>
  <c r="M10" i="5"/>
  <c r="AM46" i="5"/>
  <c r="AM47" i="5"/>
  <c r="AM45" i="5"/>
  <c r="R148" i="5"/>
  <c r="R149" i="5"/>
  <c r="T139" i="5"/>
  <c r="R147" i="5"/>
  <c r="R64" i="5"/>
  <c r="M121" i="6"/>
  <c r="M119" i="6"/>
  <c r="M120" i="6"/>
  <c r="N137" i="6"/>
  <c r="N139" i="6"/>
  <c r="N138" i="6"/>
  <c r="R193" i="6"/>
  <c r="M106" i="7"/>
  <c r="Y202" i="3"/>
  <c r="AA195" i="3"/>
  <c r="Y203" i="3"/>
  <c r="Y201" i="3"/>
  <c r="R99" i="7"/>
  <c r="K121" i="5"/>
  <c r="O101" i="7"/>
  <c r="R185" i="6"/>
  <c r="T184" i="6"/>
  <c r="R187" i="6"/>
  <c r="R186" i="6"/>
  <c r="O66" i="6"/>
  <c r="O64" i="6"/>
  <c r="O65" i="6"/>
  <c r="O181" i="6"/>
  <c r="O179" i="6"/>
  <c r="O180" i="6"/>
  <c r="N177" i="6"/>
  <c r="T8" i="5"/>
  <c r="T9" i="5"/>
  <c r="T10" i="5"/>
  <c r="O34" i="3"/>
  <c r="R80" i="5"/>
  <c r="R82" i="5" s="1"/>
  <c r="M80" i="5"/>
  <c r="AA78" i="3"/>
  <c r="AA77" i="3"/>
  <c r="AA79" i="3"/>
  <c r="AA181" i="3"/>
  <c r="AA182" i="3"/>
  <c r="AA183" i="3"/>
  <c r="T83" i="6"/>
  <c r="T84" i="6"/>
  <c r="T82" i="6"/>
  <c r="O35" i="3"/>
  <c r="Q10" i="5"/>
  <c r="Q8" i="5"/>
  <c r="Q9" i="5"/>
  <c r="T51" i="5"/>
  <c r="M53" i="5"/>
  <c r="M55" i="5"/>
  <c r="M54" i="5"/>
  <c r="T111" i="5"/>
  <c r="T112" i="5"/>
  <c r="T110" i="5"/>
  <c r="N155" i="7"/>
  <c r="G156" i="7"/>
  <c r="G158" i="7"/>
  <c r="T115" i="8"/>
  <c r="AA115" i="8" s="1"/>
  <c r="Y115" i="8"/>
  <c r="O12" i="3"/>
  <c r="Q68" i="3"/>
  <c r="Q69" i="3"/>
  <c r="Q67" i="3"/>
  <c r="AA133" i="3"/>
  <c r="AA134" i="3"/>
  <c r="AA132" i="3"/>
  <c r="K134" i="3"/>
  <c r="Q137" i="5"/>
  <c r="K77" i="6"/>
  <c r="K76" i="6"/>
  <c r="K75" i="6"/>
  <c r="N200" i="6"/>
  <c r="N198" i="6"/>
  <c r="N199" i="6"/>
  <c r="Y24" i="8"/>
  <c r="Y26" i="8"/>
  <c r="Y25" i="8"/>
  <c r="O88" i="3"/>
  <c r="O87" i="3"/>
  <c r="O89" i="3"/>
  <c r="Q133" i="3"/>
  <c r="K89" i="3"/>
  <c r="R218" i="3"/>
  <c r="M218" i="3"/>
  <c r="T218" i="3" s="1"/>
  <c r="R65" i="6"/>
  <c r="R66" i="6"/>
  <c r="R64" i="6"/>
  <c r="T58" i="6"/>
  <c r="G193" i="6"/>
  <c r="G192" i="6"/>
  <c r="G194" i="6"/>
  <c r="O219" i="7"/>
  <c r="O220" i="7"/>
  <c r="O221" i="7"/>
  <c r="Q102" i="3"/>
  <c r="Q101" i="3"/>
  <c r="Q100" i="3"/>
  <c r="O109" i="3"/>
  <c r="Q117" i="3"/>
  <c r="Q116" i="3"/>
  <c r="Q118" i="3"/>
  <c r="R177" i="3"/>
  <c r="M177" i="3"/>
  <c r="T177" i="3" s="1"/>
  <c r="O10" i="6"/>
  <c r="O11" i="6"/>
  <c r="O9" i="6"/>
  <c r="M184" i="6"/>
  <c r="K186" i="6"/>
  <c r="K187" i="6"/>
  <c r="K185" i="6"/>
  <c r="M50" i="7"/>
  <c r="R110" i="3"/>
  <c r="Y125" i="3"/>
  <c r="Y126" i="3"/>
  <c r="Y127" i="3"/>
  <c r="AA121" i="3"/>
  <c r="J46" i="5"/>
  <c r="J47" i="5"/>
  <c r="K41" i="5"/>
  <c r="J45" i="5"/>
  <c r="T46" i="5"/>
  <c r="T45" i="5"/>
  <c r="T47" i="5"/>
  <c r="AA89" i="3"/>
  <c r="AA88" i="3"/>
  <c r="AA87" i="3"/>
  <c r="R167" i="3"/>
  <c r="M167" i="3"/>
  <c r="T167" i="3" s="1"/>
  <c r="M30" i="5"/>
  <c r="K37" i="5"/>
  <c r="K36" i="5"/>
  <c r="K38" i="5"/>
  <c r="M9" i="5"/>
  <c r="Q149" i="5"/>
  <c r="R62" i="5"/>
  <c r="O151" i="6"/>
  <c r="R194" i="6"/>
  <c r="M105" i="7"/>
  <c r="T101" i="7"/>
  <c r="T99" i="7"/>
  <c r="T100" i="7"/>
  <c r="R118" i="8"/>
  <c r="R168" i="7"/>
  <c r="O77" i="3"/>
  <c r="O79" i="3"/>
  <c r="O78" i="3"/>
  <c r="K172" i="3"/>
  <c r="M164" i="3"/>
  <c r="K171" i="3"/>
  <c r="R164" i="3"/>
  <c r="K173" i="3"/>
  <c r="R9" i="5"/>
  <c r="O38" i="5"/>
  <c r="O36" i="5"/>
  <c r="O37" i="5"/>
  <c r="R112" i="5"/>
  <c r="O139" i="6"/>
  <c r="O156" i="7"/>
  <c r="O158" i="7"/>
  <c r="N12" i="3"/>
  <c r="N13" i="3"/>
  <c r="N11" i="3"/>
  <c r="M60" i="3"/>
  <c r="K69" i="3"/>
  <c r="K67" i="3"/>
  <c r="R60" i="3"/>
  <c r="K68" i="3"/>
  <c r="K133" i="3"/>
  <c r="N194" i="6"/>
  <c r="N193" i="6"/>
  <c r="N192" i="6"/>
  <c r="R179" i="6"/>
  <c r="R180" i="6"/>
  <c r="R181" i="6"/>
  <c r="AA19" i="8"/>
  <c r="T25" i="8"/>
  <c r="T24" i="8"/>
  <c r="Q132" i="3"/>
  <c r="Q138" i="5"/>
  <c r="O110" i="3"/>
  <c r="R150" i="3"/>
  <c r="M150" i="3"/>
  <c r="T150" i="3" s="1"/>
  <c r="R40" i="6"/>
  <c r="R41" i="6"/>
  <c r="R42" i="6"/>
  <c r="O141" i="3"/>
  <c r="O139" i="3"/>
  <c r="O140" i="3"/>
  <c r="AA118" i="3"/>
  <c r="AA116" i="3"/>
  <c r="AA117" i="3"/>
  <c r="Q159" i="3"/>
  <c r="Q160" i="3"/>
  <c r="Q161" i="3"/>
  <c r="K181" i="3"/>
  <c r="R174" i="3"/>
  <c r="K182" i="3"/>
  <c r="M174" i="3"/>
  <c r="K183" i="3"/>
  <c r="O161" i="3"/>
  <c r="O159" i="3"/>
  <c r="O160" i="3"/>
  <c r="O110" i="5"/>
  <c r="O111" i="5"/>
  <c r="O112" i="5"/>
  <c r="Q75" i="6"/>
  <c r="R73" i="6"/>
  <c r="Q76" i="6"/>
  <c r="Q77" i="6"/>
  <c r="Q148" i="5"/>
  <c r="N39" i="6"/>
  <c r="O41" i="6"/>
  <c r="O105" i="7"/>
  <c r="R227" i="7"/>
  <c r="R225" i="7"/>
  <c r="R226" i="7"/>
  <c r="T222" i="7"/>
  <c r="M107" i="7"/>
  <c r="O106" i="7"/>
  <c r="T56" i="8"/>
  <c r="R12" i="2"/>
  <c r="S3" i="2" s="1"/>
  <c r="R165" i="3"/>
  <c r="M165" i="3"/>
  <c r="T165" i="3" s="1"/>
  <c r="T73" i="5"/>
  <c r="T74" i="5"/>
  <c r="T75" i="5"/>
  <c r="O147" i="5"/>
  <c r="O148" i="5"/>
  <c r="O149" i="5"/>
  <c r="R111" i="5"/>
  <c r="N71" i="6"/>
  <c r="N70" i="6"/>
  <c r="N69" i="6"/>
  <c r="O137" i="6"/>
  <c r="Y221" i="3"/>
  <c r="AA214" i="3"/>
  <c r="Y222" i="3"/>
  <c r="Y220" i="3"/>
  <c r="Y83" i="8"/>
  <c r="T83" i="8"/>
  <c r="AA83" i="8" s="1"/>
  <c r="O225" i="7"/>
  <c r="M188" i="3"/>
  <c r="T188" i="3" s="1"/>
  <c r="R188" i="3"/>
  <c r="R193" i="3" s="1"/>
  <c r="T19" i="4"/>
  <c r="T21" i="4"/>
  <c r="T20" i="4"/>
  <c r="R10" i="5"/>
  <c r="T108" i="7"/>
  <c r="R112" i="7"/>
  <c r="R113" i="7"/>
  <c r="R111" i="7"/>
  <c r="M128" i="5"/>
  <c r="M149" i="5"/>
  <c r="R157" i="3"/>
  <c r="R159" i="3" s="1"/>
  <c r="M157" i="3"/>
  <c r="T157" i="3" s="1"/>
  <c r="R160" i="3"/>
  <c r="R24" i="5"/>
  <c r="R26" i="5" s="1"/>
  <c r="M24" i="5"/>
  <c r="T24" i="5" s="1"/>
  <c r="T26" i="5" s="1"/>
  <c r="O25" i="5"/>
  <c r="Q91" i="5"/>
  <c r="Q92" i="5"/>
  <c r="Q90" i="5"/>
  <c r="N157" i="6"/>
  <c r="N156" i="6"/>
  <c r="N158" i="6"/>
  <c r="N46" i="7"/>
  <c r="G49" i="7"/>
  <c r="G48" i="7"/>
  <c r="G50" i="7"/>
  <c r="S102" i="3"/>
  <c r="S101" i="3"/>
  <c r="S100" i="3"/>
  <c r="T63" i="5"/>
  <c r="T64" i="5"/>
  <c r="T62" i="5"/>
  <c r="N99" i="6"/>
  <c r="O101" i="6"/>
  <c r="O103" i="6"/>
  <c r="O102" i="6"/>
  <c r="O169" i="7"/>
  <c r="N109" i="7"/>
  <c r="G112" i="7"/>
  <c r="G111" i="7"/>
  <c r="G113" i="7"/>
  <c r="T55" i="8"/>
  <c r="S7" i="2"/>
  <c r="T7" i="2" s="1"/>
  <c r="T50" i="7"/>
  <c r="T48" i="7"/>
  <c r="T49" i="7"/>
  <c r="R57" i="8"/>
  <c r="Q77" i="3"/>
  <c r="Q78" i="3"/>
  <c r="Q79" i="3"/>
  <c r="M112" i="5"/>
  <c r="M110" i="5"/>
  <c r="M111" i="5"/>
  <c r="O221" i="3"/>
  <c r="O220" i="3"/>
  <c r="O222" i="3"/>
  <c r="Q87" i="3"/>
  <c r="Q88" i="3"/>
  <c r="Q89" i="3"/>
  <c r="R82" i="3"/>
  <c r="R88" i="3" s="1"/>
  <c r="M82" i="3"/>
  <c r="T82" i="3" s="1"/>
  <c r="Q154" i="3"/>
  <c r="Q155" i="3"/>
  <c r="Q153" i="3"/>
  <c r="R213" i="3"/>
  <c r="R212" i="3"/>
  <c r="R211" i="3"/>
  <c r="Q171" i="3"/>
  <c r="Q172" i="3"/>
  <c r="Q173" i="3"/>
  <c r="N175" i="6"/>
  <c r="N174" i="6"/>
  <c r="N176" i="6"/>
  <c r="R164" i="7"/>
  <c r="R162" i="7"/>
  <c r="T159" i="7"/>
  <c r="R163" i="7"/>
  <c r="Y159" i="3"/>
  <c r="Y160" i="3"/>
  <c r="AA156" i="3"/>
  <c r="Y161" i="3"/>
  <c r="N223" i="7"/>
  <c r="G225" i="7"/>
  <c r="G226" i="7"/>
  <c r="G227" i="7"/>
  <c r="O127" i="3"/>
  <c r="O126" i="3"/>
  <c r="O125" i="3"/>
  <c r="M130" i="3"/>
  <c r="T130" i="3" s="1"/>
  <c r="R130" i="3"/>
  <c r="Q140" i="3"/>
  <c r="Q139" i="3"/>
  <c r="Q141" i="3"/>
  <c r="M191" i="3"/>
  <c r="T184" i="3"/>
  <c r="M192" i="3"/>
  <c r="M193" i="3"/>
  <c r="O138" i="6"/>
  <c r="T166" i="7"/>
  <c r="T168" i="7" s="1"/>
  <c r="M170" i="7"/>
  <c r="M168" i="7"/>
  <c r="M169" i="7"/>
  <c r="T214" i="3"/>
  <c r="R115" i="5"/>
  <c r="Q119" i="5"/>
  <c r="Q120" i="5"/>
  <c r="Q121" i="5"/>
  <c r="O126" i="6"/>
  <c r="O124" i="6"/>
  <c r="N122" i="6"/>
  <c r="O125" i="6"/>
  <c r="R207" i="6"/>
  <c r="R206" i="6"/>
  <c r="R205" i="6"/>
  <c r="T107" i="7"/>
  <c r="T105" i="7"/>
  <c r="T106" i="7"/>
  <c r="G138" i="6"/>
  <c r="G137" i="6"/>
  <c r="G139" i="6"/>
  <c r="Q18" i="5"/>
  <c r="Q16" i="5"/>
  <c r="M118" i="5"/>
  <c r="R118" i="5"/>
  <c r="N40" i="7"/>
  <c r="G43" i="7"/>
  <c r="G44" i="7"/>
  <c r="G42" i="7"/>
  <c r="T220" i="7"/>
  <c r="T221" i="7"/>
  <c r="T219" i="7"/>
  <c r="R137" i="5"/>
  <c r="R138" i="5"/>
  <c r="R136" i="5"/>
  <c r="Y53" i="8"/>
  <c r="Y57" i="8" s="1"/>
  <c r="T53" i="8"/>
  <c r="AA53" i="8" s="1"/>
  <c r="AA102" i="3"/>
  <c r="AA101" i="3"/>
  <c r="AA100" i="3"/>
  <c r="K18" i="5"/>
  <c r="M148" i="5"/>
  <c r="M46" i="5"/>
  <c r="G71" i="6"/>
  <c r="G69" i="6"/>
  <c r="G70" i="6"/>
  <c r="O99" i="7"/>
  <c r="M219" i="3"/>
  <c r="T219" i="3" s="1"/>
  <c r="R219" i="3"/>
  <c r="R13" i="3"/>
  <c r="R179" i="3"/>
  <c r="M179" i="3"/>
  <c r="T179" i="3" s="1"/>
  <c r="K159" i="3"/>
  <c r="M88" i="5"/>
  <c r="R88" i="5"/>
  <c r="K92" i="5"/>
  <c r="K91" i="5"/>
  <c r="K90" i="5"/>
  <c r="O54" i="5"/>
  <c r="O55" i="5"/>
  <c r="O53" i="5"/>
  <c r="T28" i="6"/>
  <c r="T27" i="6"/>
  <c r="T29" i="6"/>
  <c r="M162" i="7"/>
  <c r="R132" i="3" l="1"/>
  <c r="M221" i="3"/>
  <c r="M88" i="3"/>
  <c r="T145" i="3"/>
  <c r="M148" i="3"/>
  <c r="M147" i="3"/>
  <c r="M146" i="3"/>
  <c r="R146" i="3"/>
  <c r="M222" i="3"/>
  <c r="M126" i="3"/>
  <c r="R222" i="3"/>
  <c r="R133" i="3"/>
  <c r="R161" i="3"/>
  <c r="M127" i="3"/>
  <c r="T128" i="5"/>
  <c r="T129" i="5"/>
  <c r="T3" i="2"/>
  <c r="T88" i="5"/>
  <c r="M91" i="5"/>
  <c r="M92" i="5"/>
  <c r="M90" i="5"/>
  <c r="T163" i="7"/>
  <c r="T164" i="7"/>
  <c r="T162" i="7"/>
  <c r="R171" i="3"/>
  <c r="R173" i="3"/>
  <c r="R172" i="3"/>
  <c r="M220" i="3"/>
  <c r="N113" i="7"/>
  <c r="N111" i="7"/>
  <c r="N112" i="7"/>
  <c r="T222" i="3"/>
  <c r="T220" i="3"/>
  <c r="T221" i="3"/>
  <c r="T193" i="3"/>
  <c r="T191" i="3"/>
  <c r="T192" i="3"/>
  <c r="R87" i="3"/>
  <c r="R183" i="3"/>
  <c r="R181" i="3"/>
  <c r="R182" i="3"/>
  <c r="M172" i="3"/>
  <c r="M171" i="3"/>
  <c r="T164" i="3"/>
  <c r="M173" i="3"/>
  <c r="T170" i="7"/>
  <c r="T119" i="8"/>
  <c r="R202" i="3"/>
  <c r="R203" i="3"/>
  <c r="R201" i="3"/>
  <c r="R84" i="5"/>
  <c r="T121" i="6"/>
  <c r="T119" i="6"/>
  <c r="T120" i="6"/>
  <c r="T89" i="3"/>
  <c r="T87" i="3"/>
  <c r="T88" i="3"/>
  <c r="T25" i="5"/>
  <c r="N105" i="7"/>
  <c r="N106" i="7"/>
  <c r="N107" i="7"/>
  <c r="T44" i="7"/>
  <c r="T42" i="7"/>
  <c r="T43" i="7"/>
  <c r="Y117" i="8"/>
  <c r="M212" i="3"/>
  <c r="M160" i="3"/>
  <c r="AA57" i="8"/>
  <c r="R154" i="3"/>
  <c r="R155" i="3"/>
  <c r="R153" i="3"/>
  <c r="T118" i="5"/>
  <c r="M120" i="5"/>
  <c r="M121" i="5"/>
  <c r="M119" i="5"/>
  <c r="R89" i="3"/>
  <c r="N40" i="6"/>
  <c r="N42" i="6"/>
  <c r="N41" i="6"/>
  <c r="M69" i="3"/>
  <c r="M67" i="3"/>
  <c r="T60" i="3"/>
  <c r="M68" i="3"/>
  <c r="AA126" i="3"/>
  <c r="AA125" i="3"/>
  <c r="AA127" i="3"/>
  <c r="R192" i="3"/>
  <c r="T169" i="7"/>
  <c r="N220" i="7"/>
  <c r="N221" i="7"/>
  <c r="N219" i="7"/>
  <c r="T117" i="8"/>
  <c r="R83" i="5"/>
  <c r="S6" i="2"/>
  <c r="T6" i="2" s="1"/>
  <c r="T126" i="3"/>
  <c r="T127" i="3"/>
  <c r="T125" i="3"/>
  <c r="T27" i="5"/>
  <c r="AA172" i="3"/>
  <c r="AA171" i="3"/>
  <c r="AA173" i="3"/>
  <c r="Y119" i="8"/>
  <c r="M213" i="3"/>
  <c r="T160" i="3"/>
  <c r="T159" i="3"/>
  <c r="T161" i="3"/>
  <c r="R16" i="5"/>
  <c r="R17" i="5"/>
  <c r="R18" i="5"/>
  <c r="R220" i="3"/>
  <c r="AA55" i="8"/>
  <c r="Y55" i="8"/>
  <c r="AA221" i="3"/>
  <c r="AA222" i="3"/>
  <c r="AA220" i="3"/>
  <c r="T57" i="8"/>
  <c r="M187" i="6"/>
  <c r="M185" i="6"/>
  <c r="M186" i="6"/>
  <c r="R191" i="3"/>
  <c r="AA148" i="3"/>
  <c r="AA146" i="3"/>
  <c r="AA147" i="3"/>
  <c r="AA118" i="8"/>
  <c r="AA117" i="8"/>
  <c r="AA119" i="8"/>
  <c r="M203" i="3"/>
  <c r="T195" i="3"/>
  <c r="M201" i="3"/>
  <c r="M202" i="3"/>
  <c r="R25" i="5"/>
  <c r="N169" i="7"/>
  <c r="N168" i="7"/>
  <c r="N170" i="7"/>
  <c r="AA141" i="3"/>
  <c r="AA140" i="3"/>
  <c r="AA139" i="3"/>
  <c r="M211" i="3"/>
  <c r="M159" i="3"/>
  <c r="AA193" i="3"/>
  <c r="AA191" i="3"/>
  <c r="AA192" i="3"/>
  <c r="T15" i="5"/>
  <c r="M16" i="5"/>
  <c r="M18" i="5"/>
  <c r="M17" i="5"/>
  <c r="R221" i="3"/>
  <c r="M140" i="3"/>
  <c r="T135" i="3"/>
  <c r="M141" i="3"/>
  <c r="M139" i="3"/>
  <c r="Y56" i="8"/>
  <c r="T112" i="7"/>
  <c r="T113" i="7"/>
  <c r="T111" i="7"/>
  <c r="T149" i="5"/>
  <c r="T147" i="5"/>
  <c r="T148" i="5"/>
  <c r="T55" i="7"/>
  <c r="T56" i="7"/>
  <c r="T54" i="7"/>
  <c r="T110" i="3"/>
  <c r="T109" i="3"/>
  <c r="T108" i="3"/>
  <c r="T214" i="7"/>
  <c r="T215" i="7"/>
  <c r="T213" i="7"/>
  <c r="M132" i="3"/>
  <c r="Y88" i="8"/>
  <c r="Y86" i="8"/>
  <c r="Y87" i="8"/>
  <c r="T11" i="6"/>
  <c r="T9" i="6"/>
  <c r="T10" i="6"/>
  <c r="N151" i="6"/>
  <c r="N152" i="6"/>
  <c r="N150" i="6"/>
  <c r="M161" i="3"/>
  <c r="R139" i="3"/>
  <c r="R141" i="3"/>
  <c r="R140" i="3"/>
  <c r="M155" i="3"/>
  <c r="M153" i="3"/>
  <c r="T149" i="3"/>
  <c r="M154" i="3"/>
  <c r="R91" i="5"/>
  <c r="R90" i="5"/>
  <c r="R92" i="5"/>
  <c r="T227" i="7"/>
  <c r="T225" i="7"/>
  <c r="T226" i="7"/>
  <c r="R120" i="5"/>
  <c r="R121" i="5"/>
  <c r="R119" i="5"/>
  <c r="N102" i="6"/>
  <c r="N101" i="6"/>
  <c r="N103" i="6"/>
  <c r="R134" i="3"/>
  <c r="M36" i="5"/>
  <c r="M37" i="5"/>
  <c r="M38" i="5"/>
  <c r="N180" i="6"/>
  <c r="N181" i="6"/>
  <c r="N179" i="6"/>
  <c r="R102" i="3"/>
  <c r="R101" i="3"/>
  <c r="R100" i="3"/>
  <c r="N16" i="6"/>
  <c r="N14" i="6"/>
  <c r="N15" i="6"/>
  <c r="T157" i="7"/>
  <c r="T158" i="7"/>
  <c r="T156" i="7"/>
  <c r="N56" i="7"/>
  <c r="N54" i="7"/>
  <c r="N55" i="7"/>
  <c r="T133" i="3"/>
  <c r="T132" i="3"/>
  <c r="T134" i="3"/>
  <c r="AA81" i="8"/>
  <c r="T87" i="8"/>
  <c r="T86" i="8"/>
  <c r="T88" i="8"/>
  <c r="N24" i="3"/>
  <c r="N22" i="3"/>
  <c r="N23" i="3"/>
  <c r="N226" i="7"/>
  <c r="N227" i="7"/>
  <c r="N225" i="7"/>
  <c r="S11" i="2"/>
  <c r="T11" i="2" s="1"/>
  <c r="S9" i="2"/>
  <c r="T9" i="2" s="1"/>
  <c r="S10" i="2"/>
  <c r="T10" i="2" s="1"/>
  <c r="S8" i="2"/>
  <c r="T8" i="2" s="1"/>
  <c r="R75" i="6"/>
  <c r="R76" i="6"/>
  <c r="R77" i="6"/>
  <c r="AA26" i="8"/>
  <c r="AA24" i="8"/>
  <c r="AA25" i="8"/>
  <c r="T66" i="6"/>
  <c r="T64" i="6"/>
  <c r="T65" i="6"/>
  <c r="T55" i="5"/>
  <c r="T53" i="5"/>
  <c r="T54" i="5"/>
  <c r="T186" i="6"/>
  <c r="T187" i="6"/>
  <c r="T185" i="6"/>
  <c r="R54" i="5"/>
  <c r="R55" i="5"/>
  <c r="R53" i="5"/>
  <c r="T97" i="3"/>
  <c r="M101" i="3"/>
  <c r="M102" i="3"/>
  <c r="M100" i="3"/>
  <c r="M89" i="3"/>
  <c r="M134" i="3"/>
  <c r="N145" i="6"/>
  <c r="N143" i="6"/>
  <c r="N144" i="6"/>
  <c r="K10" i="5"/>
  <c r="K9" i="5"/>
  <c r="K8" i="5"/>
  <c r="S5" i="2"/>
  <c r="T5" i="2" s="1"/>
  <c r="N163" i="7"/>
  <c r="N164" i="7"/>
  <c r="N162" i="7"/>
  <c r="S4" i="2"/>
  <c r="T4" i="2" s="1"/>
  <c r="R27" i="5"/>
  <c r="T80" i="5"/>
  <c r="M84" i="5"/>
  <c r="M82" i="5"/>
  <c r="M83" i="5"/>
  <c r="M77" i="3"/>
  <c r="M78" i="3"/>
  <c r="M79" i="3"/>
  <c r="T70" i="3"/>
  <c r="M133" i="3"/>
  <c r="N100" i="7"/>
  <c r="N101" i="7"/>
  <c r="N99" i="7"/>
  <c r="N125" i="6"/>
  <c r="N126" i="6"/>
  <c r="N124" i="6"/>
  <c r="N48" i="7"/>
  <c r="N50" i="7"/>
  <c r="N49" i="7"/>
  <c r="M182" i="3"/>
  <c r="M181" i="3"/>
  <c r="T174" i="3"/>
  <c r="M183" i="3"/>
  <c r="R68" i="3"/>
  <c r="R69" i="3"/>
  <c r="R67" i="3"/>
  <c r="K45" i="5"/>
  <c r="K47" i="5"/>
  <c r="K46" i="5"/>
  <c r="N156" i="7"/>
  <c r="N158" i="7"/>
  <c r="N157" i="7"/>
  <c r="N42" i="7"/>
  <c r="N44" i="7"/>
  <c r="N43" i="7"/>
  <c r="AA160" i="3"/>
  <c r="AA161" i="3"/>
  <c r="AA159" i="3"/>
  <c r="AA202" i="3"/>
  <c r="AA203" i="3"/>
  <c r="AA201" i="3"/>
  <c r="T118" i="8"/>
  <c r="R79" i="3"/>
  <c r="R77" i="3"/>
  <c r="R78" i="3"/>
  <c r="T35" i="3"/>
  <c r="T34" i="3"/>
  <c r="T33" i="3"/>
  <c r="M87" i="3"/>
  <c r="T213" i="3"/>
  <c r="T211" i="3"/>
  <c r="T212" i="3"/>
  <c r="T148" i="3" l="1"/>
  <c r="T146" i="3"/>
  <c r="T147" i="3"/>
  <c r="T16" i="5"/>
  <c r="T17" i="5"/>
  <c r="T18" i="5"/>
  <c r="T84" i="5"/>
  <c r="T82" i="5"/>
  <c r="T83" i="5"/>
  <c r="T78" i="3"/>
  <c r="T79" i="3"/>
  <c r="T77" i="3"/>
  <c r="T141" i="3"/>
  <c r="T140" i="3"/>
  <c r="T139" i="3"/>
  <c r="T100" i="3"/>
  <c r="T102" i="3"/>
  <c r="T101" i="3"/>
  <c r="AA86" i="8"/>
  <c r="AA88" i="8"/>
  <c r="AA87" i="8"/>
  <c r="T172" i="3"/>
  <c r="T173" i="3"/>
  <c r="T171" i="3"/>
  <c r="T181" i="3"/>
  <c r="T182" i="3"/>
  <c r="T183" i="3"/>
  <c r="T69" i="3"/>
  <c r="T67" i="3"/>
  <c r="T68" i="3"/>
  <c r="T92" i="5"/>
  <c r="T91" i="5"/>
  <c r="T90" i="5"/>
  <c r="T12" i="2"/>
  <c r="T155" i="3"/>
  <c r="T154" i="3"/>
  <c r="T153" i="3"/>
  <c r="T203" i="3"/>
  <c r="T201" i="3"/>
  <c r="T202" i="3"/>
  <c r="T119" i="5"/>
  <c r="T121" i="5"/>
  <c r="T120" i="5"/>
  <c r="S12" i="2"/>
  <c r="U9" i="2" l="1"/>
  <c r="U10" i="2"/>
  <c r="U11" i="2"/>
  <c r="U8" i="2"/>
  <c r="U4" i="2"/>
  <c r="U5" i="2"/>
  <c r="U6" i="2"/>
  <c r="U3" i="2"/>
  <c r="U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tc={EC71E20E-53F8-ED43-90EF-5D3150D7576A}</author>
    <author>tc={9CE5E13D-AB00-B74B-8DD8-5A4306D327BC}</author>
    <author>tc={A2998C75-E0AF-924E-915A-75DDCA0A8CA4}</author>
    <author>tc={FF41CE24-81F7-4840-B104-D3F50D973039}</author>
  </authors>
  <commentList>
    <comment ref="G2" authorId="0" shapeId="0" xr:uid="{EC71E20E-53F8-ED43-90EF-5D3150D7576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Allgemein 100%
</t>
      </text>
    </comment>
    <comment ref="G3" authorId="1" shapeId="0" xr:uid="{9CE5E13D-AB00-B74B-8DD8-5A4306D327B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Allgemein 100%
</t>
      </text>
    </comment>
    <comment ref="G4" authorId="2" shapeId="0" xr:uid="{A2998C75-E0AF-924E-915A-75DDCA0A8CA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Allgemein 100%
</t>
      </text>
    </comment>
    <comment ref="G5" authorId="3" shapeId="0" xr:uid="{FF41CE24-81F7-4840-B104-D3F50D97303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Allgemein 100%
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tc={E01FA893-E0A6-F04A-AC92-BFDEB43A818B}</author>
    <author>tc={B7B48A90-7340-AE46-8494-15144A34E37D}</author>
    <author>tc={00310087-003C-46C5-B537-00F2004200E8}</author>
    <author>tc={004100C2-0026-444D-81EF-005F00CD0002}</author>
    <author>tc={009900D8-002D-43DC-9A58-00C300BE0014}</author>
  </authors>
  <commentList>
    <comment ref="Q2" authorId="0" shapeId="0" xr:uid="{E01FA893-E0A6-F04A-AC92-BFDEB43A818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 BIP gewichtete regionale stündliche labour cocts
</t>
      </text>
    </comment>
    <comment ref="T12" authorId="1" shapeId="0" xr:uid="{B7B48A90-7340-AE46-8494-15144A34E37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BIP gewichteter globaler Durchschnitt der stündlichen labour costs
</t>
      </text>
    </comment>
    <comment ref="F31" authorId="2" shapeId="0" xr:uid="{00310087-003C-46C5-B537-00F2004200E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- Nonstandard economic activity: Including B
</t>
      </text>
    </comment>
    <comment ref="G31" authorId="3" shapeId="0" xr:uid="{004100C2-0026-444D-81EF-005F00CD000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- Nonstandard economic activity: Including B
</t>
      </text>
    </comment>
    <comment ref="H31" authorId="4" shapeId="0" xr:uid="{009900D8-002D-43DC-9A58-00C300BE001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- Nonstandard economic activity: Including B
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tc={69EE735A-E0E8-4541-A755-5F525CD1A06B}</author>
    <author>tc={BE996D99-7133-5748-A56E-CD4129B260CA}</author>
    <author>tc={622B95C8-FFAE-3A4F-9099-CCB41E22ECFD}</author>
    <author>tc={E3813F68-48D4-304F-B5E2-0508354F6D92}</author>
    <author>tc={F2B72FCE-760D-3C40-9C39-E0B5A937B6D0}</author>
    <author>tc={AF68F2FE-B6EB-8341-82BB-91C37F8172CB}</author>
    <author>tc={654D0654-A747-41FA-A9DF-0D1C9E74BE38}</author>
    <author>tc={66C18350-C627-4FD8-9EA0-A9D56C1C5468}</author>
    <author>tc={7A169873-BB90-4AC2-84E3-A6B6ECC1868D}</author>
    <author>tc={3B3C3492-9694-4FD4-AB15-5D4DD13C97C4}</author>
    <author>tc={295586D7-0163-6E49-94ED-BA5776BA9C79}</author>
    <author>tc={694DA101-4CA6-A440-B125-36D68AB4E936}</author>
    <author>tc={32B4207B-C7BF-F542-B44E-466DC920A6D3}</author>
    <author>tc={468F353C-DB19-4032-B735-2A7094100E48}</author>
    <author>tc={A5F183DA-F797-AD40-ADD9-847C87F6C492}</author>
    <author>tc={AB99FA7B-CF29-4097-A492-3EA9570D1974}</author>
    <author>tc={A40DD06D-3E5A-224E-8548-91A5A23FA248}</author>
    <author>tc={87AC9F5E-8375-40E8-ABBD-995EEF3B6C87}</author>
    <author>tc={020441BD-18B1-45E8-88F5-AFBDF03E7AEF}</author>
    <author>tc={F7A6B117-D07E-4FAD-A26C-0548C9FB458B}</author>
    <author>tc={9696D9A3-7512-4111-AAE3-15536EB95B46}</author>
    <author>tc={31B44083-4A4D-4D61-8A7A-0580DAB83603}</author>
    <author>tc={188E3A4B-B2D9-492A-8B92-0C316151A368}</author>
    <author>tc={331E6A1E-D148-4CF0-A459-57BCBF00E0AB}</author>
    <author>tc={29491C23-4395-4D15-8D51-1A9451D52F10}</author>
    <author>tc={F50D6C6C-06B2-4F75-90C5-691EE52A6F48}</author>
    <author>tc={1783EC64-532C-4B42-98F7-CC9EFEE2B049}</author>
  </authors>
  <commentList>
    <comment ref="AT53" authorId="0" shapeId="0" xr:uid="{69EE735A-E0E8-4541-A755-5F525CD1A06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
</t>
      </text>
    </comment>
    <comment ref="AU53" authorId="1" shapeId="0" xr:uid="{BE996D99-7133-5748-A56E-CD4129B260C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
</t>
      </text>
    </comment>
    <comment ref="AV53" authorId="2" shapeId="0" xr:uid="{622B95C8-FFAE-3A4F-9099-CCB41E22ECF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
</t>
      </text>
    </comment>
    <comment ref="AT54" authorId="3" shapeId="0" xr:uid="{E3813F68-48D4-304F-B5E2-0508354F6D9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
</t>
      </text>
    </comment>
    <comment ref="AU54" authorId="4" shapeId="0" xr:uid="{F2B72FCE-760D-3C40-9C39-E0B5A937B6D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
</t>
      </text>
    </comment>
    <comment ref="AV54" authorId="5" shapeId="0" xr:uid="{AF68F2FE-B6EB-8341-82BB-91C37F8172C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
</t>
      </text>
    </comment>
    <comment ref="G66" authorId="6" shapeId="0" xr:uid="{654D0654-A747-41FA-A9DF-0D1C9E74BE3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europäischen Länder
Antwort:
    Datei inkl. Berechnungen im Sciebo-Ordner
</t>
      </text>
    </comment>
    <comment ref="G76" authorId="7" shapeId="0" xr:uid="{66C18350-C627-4FD8-9EA0-A9D56C1C546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europäischen Länder; Technologien &gt;=1MW berücksichtigt
Antwort:
    Datei inkl. der Berechnungen befindet sich im Sciebo-Ordner
</t>
      </text>
    </comment>
    <comment ref="G86" authorId="8" shapeId="0" xr:uid="{7A169873-BB90-4AC2-84E3-A6B6ECC1868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europäischen Länder; PV utility
Antwort:
    Datei inkl. der Berechnungen befindet sich im Sciebo-Ordner
</t>
      </text>
    </comment>
    <comment ref="G91" authorId="9" shapeId="0" xr:uid="{3B3C3492-9694-4FD4-AB15-5D4DD13C97C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europäischen Länder; PV residential
Antwort:
    Datei inkl. der Berechnungen befindet sich im Sciebo-Ordner
</t>
      </text>
    </comment>
    <comment ref="G96" authorId="10" shapeId="0" xr:uid="{295586D7-0163-6E49-94ED-BA5776BA9C7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 aus Hard Coal und Lignite PP
</t>
      </text>
    </comment>
    <comment ref="U96" authorId="11" shapeId="0" xr:uid="{694DA101-4CA6-A440-B125-36D68AB4E93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Laut Tabelle 6 bzw. 9 e/MWh -&gt; Was soll „e“ sein?  
Antwort:
    6*0,001=0,006 €/kWh wäre wohl zu wenig im Vergleich zu den anderen Werten
</t>
      </text>
    </comment>
    <comment ref="AP96" authorId="12" shapeId="0" xr:uid="{32B4207B-C7BF-F542-B44E-466DC920A6D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„When efficiency ranges are given, they refer to plants installed from 1970 to 2015, with plants installed after 2010 having the value at the upper end of the range“
</t>
      </text>
    </comment>
    <comment ref="I97" authorId="13" shapeId="0" xr:uid="{468F353C-DB19-4032-B735-2A7094100E4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Kohle allgemein (nicht zw. BK und SK unterschieden)
</t>
      </text>
    </comment>
    <comment ref="U106" authorId="14" shapeId="0" xr:uid="{A5F183DA-F797-AD40-ADD9-847C87F6C49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 e/MWh -&gt; was soll _x001E_„e“ sein?
</t>
      </text>
    </comment>
    <comment ref="G107" authorId="15" shapeId="0" xr:uid="{AB99FA7B-CF29-4097-A492-3EA9570D197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europäischen Länder
Antwort:
    Datei inkl. der Berechnungen befindet sich im Sciebo-Ordner
</t>
      </text>
    </comment>
    <comment ref="U114" authorId="16" shapeId="0" xr:uid="{A40DD06D-3E5A-224E-8548-91A5A23FA24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 e/MWh -&gt; Was soll „e“ sein?
</t>
      </text>
    </comment>
    <comment ref="G124" authorId="17" shapeId="0" xr:uid="{87AC9F5E-8375-40E8-ABBD-995EEF3B6C8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amerikanischen Länder
Antwort:
    Datei inkl. der Berechnungen befindet sich im Sciebo-Ordner
</t>
      </text>
    </comment>
    <comment ref="G131" authorId="18" shapeId="0" xr:uid="{020441BD-18B1-45E8-88F5-AFBDF03E7AE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amerikanischen Länder; Technologien &gt;=1MW berücksichtigt
Antwort:
    Datei inkl. der Berechnungen befindet sich im Sciebo-Ordner
</t>
      </text>
    </comment>
    <comment ref="G138" authorId="19" shapeId="0" xr:uid="{F7A6B117-D07E-4FAD-A26C-0548C9FB458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amerikanischen Länder; PV utility
Antwort:
    Datei inkl. der Berechnungen befindet sich im Sciebo-Ordner
</t>
      </text>
    </comment>
    <comment ref="G142" authorId="20" shapeId="0" xr:uid="{9696D9A3-7512-4111-AAE3-15536EB95B4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amerikanischen Länder; PV residential
Antwort:
    Datei inkl. der Berechnungen befindet sich im Sciebo-Ordner
</t>
      </text>
    </comment>
    <comment ref="G152" authorId="21" shapeId="0" xr:uid="{31B44083-4A4D-4D61-8A7A-0580DAB8360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amerikanischen Länder
Antwort:
    Datei inkl. der Berechnungen befindet sich im Sciebo-Ordner
</t>
      </text>
    </comment>
    <comment ref="G170" authorId="22" shapeId="0" xr:uid="{188E3A4B-B2D9-492A-8B92-0C316151A36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asiatischen Länder
Antwort:
    Datei inkl. der Berechnungen befindet sich im Sciebo-Ordner
</t>
      </text>
    </comment>
    <comment ref="G180" authorId="23" shapeId="0" xr:uid="{331E6A1E-D148-4CF0-A459-57BCBF00E0A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asiatischen Länder; Technologien &gt;=1MW berücksichtigt
Antwort:
    Datei inkl. der Berechnungen befindet sich im Sciebo-Ordner
</t>
      </text>
    </comment>
    <comment ref="G190" authorId="24" shapeId="0" xr:uid="{29491C23-4395-4D15-8D51-1A9451D52F1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asiatischen Länder; PV utility
Antwort:
    Datei inkl. der Berechnungen befindet sich im Sciebo-Ordner
</t>
      </text>
    </comment>
    <comment ref="G194" authorId="25" shapeId="0" xr:uid="{F50D6C6C-06B2-4F75-90C5-691EE52A6F4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asiatischen Länder; PV residential
Antwort:
    Datei inkl. der Berechnungen befindet sich im Sciebo-Ordner
</t>
      </text>
    </comment>
    <comment ref="G210" authorId="26" shapeId="0" xr:uid="{1783EC64-532C-4B42-98F7-CC9EFEE2B04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Durchschnittsberechnung für alle angegebenen asiatischen Länder
Antwort:
    Datei inkl. der Berechnungen befindet sich im Sciebo-Ordner
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tc={8DF4913C-292B-644B-9987-66F5DC38BC2C}</author>
    <author>tc={7F5FCF83-5BAA-1A43-8CEB-7AF992E39142}</author>
    <author>tc={CB42914B-C8D1-2943-84A3-C5E2C0AD03C3}</author>
    <author>tc={089505A0-CD88-B545-AD49-4A7D8D619A02}</author>
    <author>tc={72B55B3F-7A70-CD4D-BAB9-F79411D78895}</author>
    <author>tc={FDA6162B-EAE6-E746-9E07-2A45C8FC8436}</author>
    <author>tc={11CBA90E-A259-AC4B-896B-C1AC8D7BCE00}</author>
    <author>tc={71AAB86A-14AB-E04B-AC54-626CAA35EEDB}</author>
    <author>tc={609D2F68-3E72-3747-BAF4-F36444BBAA65}</author>
    <author>tc={CE3E7BC1-FC8D-5249-A777-C109DA860953}</author>
    <author>tc={F2F56280-B2EC-9F47-9813-CE8D4570A83B}</author>
    <author>tc={F9362818-ACD5-E74E-8FF9-E22AFDC15EEF}</author>
    <author>tc={BD643284-F14F-6B45-A5F1-D9BA3AE93091}</author>
    <author>tc={AF971DB2-DC8F-CF42-9844-040B6D95A107}</author>
    <author>tc={E7494DF4-97B6-C443-9FD2-5F9D2B337A8A}</author>
    <author>tc={5C1F4ED3-3B2C-1146-BE3F-73490CC8E45C}</author>
    <author>tc={68218810-FD52-B249-8D68-EA67AB8827AD}</author>
    <author>tc={4A6A6B37-74CB-1F4B-AD16-14427AA10AC6}</author>
    <author>tc={0789F63E-E345-9A40-9A5B-D900EA65A426}</author>
    <author>tc={170B2BA2-0E25-DF49-9D7C-456DE3D8F830}</author>
    <author>tc={C5E2BA5E-84A9-C34F-9B16-50E6D30BBE31}</author>
    <author>tc={481B06B4-2B25-D94A-8BAE-CB61E1B850D3}</author>
    <author>tc={F737C045-1ACA-114D-9CE6-3A4ABB45ADDE}</author>
    <author>tc={A96B20C2-DE92-DB41-885B-B8A7B77B42B0}</author>
    <author>tc={E39FF253-1C1F-1D41-9C73-7097D35FBD5B}</author>
    <author>tc={0F258550-DDB4-024B-A356-CA2097A648E8}</author>
    <author>tc={A63C16E3-8698-E640-9D85-F38D3E9884C8}</author>
    <author>tc={FA177E89-FB8E-D34D-B6C5-98D94EFC2F67}</author>
  </authors>
  <commentList>
    <comment ref="M3" authorId="0" shapeId="0" xr:uid="{8DF4913C-292B-644B-9987-66F5DC38BC2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
</t>
      </text>
    </comment>
    <comment ref="N3" authorId="1" shapeId="0" xr:uid="{7F5FCF83-5BAA-1A43-8CEB-7AF992E3914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4% der Invests pro Jahr
</t>
      </text>
    </comment>
    <comment ref="J7" authorId="2" shapeId="0" xr:uid="{CB42914B-C8D1-2943-84A3-C5E2C0AD03C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K7" authorId="3" shapeId="0" xr:uid="{089505A0-CD88-B545-AD49-4A7D8D619A0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L7" authorId="4" shapeId="0" xr:uid="{72B55B3F-7A70-CD4D-BAB9-F79411D78895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M7" authorId="5" shapeId="0" xr:uid="{FDA6162B-EAE6-E746-9E07-2A45C8FC843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N8" authorId="6" shapeId="0" xr:uid="{11CBA90E-A259-AC4B-896B-C1AC8D7BCE0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2% der Invests
</t>
      </text>
    </comment>
    <comment ref="M13" authorId="7" shapeId="0" xr:uid="{71AAB86A-14AB-E04B-AC54-626CAA35EED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
</t>
      </text>
    </comment>
    <comment ref="N13" authorId="8" shapeId="0" xr:uid="{609D2F68-3E72-3747-BAF4-F36444BBAA65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4% der Invests pro Jahr
</t>
      </text>
    </comment>
    <comment ref="J17" authorId="9" shapeId="0" xr:uid="{CE3E7BC1-FC8D-5249-A777-C109DA86095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K17" authorId="10" shapeId="0" xr:uid="{F2F56280-B2EC-9F47-9813-CE8D4570A83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L17" authorId="11" shapeId="0" xr:uid="{F9362818-ACD5-E74E-8FF9-E22AFDC15EE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M17" authorId="12" shapeId="0" xr:uid="{BD643284-F14F-6B45-A5F1-D9BA3AE9309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N18" authorId="13" shapeId="0" xr:uid="{AF971DB2-DC8F-CF42-9844-040B6D95A10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2% der Invests
</t>
      </text>
    </comment>
    <comment ref="M23" authorId="14" shapeId="0" xr:uid="{E7494DF4-97B6-C443-9FD2-5F9D2B337A8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
</t>
      </text>
    </comment>
    <comment ref="N23" authorId="15" shapeId="0" xr:uid="{5C1F4ED3-3B2C-1146-BE3F-73490CC8E45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4% der Invests pro Jahr
</t>
      </text>
    </comment>
    <comment ref="J27" authorId="16" shapeId="0" xr:uid="{68218810-FD52-B249-8D68-EA67AB8827A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K27" authorId="17" shapeId="0" xr:uid="{4A6A6B37-74CB-1F4B-AD16-14427AA10AC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L27" authorId="18" shapeId="0" xr:uid="{0789F63E-E345-9A40-9A5B-D900EA65A42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M27" authorId="19" shapeId="0" xr:uid="{170B2BA2-0E25-DF49-9D7C-456DE3D8F83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N28" authorId="20" shapeId="0" xr:uid="{C5E2BA5E-84A9-C34F-9B16-50E6D30BBE3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2% der Invests
</t>
      </text>
    </comment>
    <comment ref="M33" authorId="21" shapeId="0" xr:uid="{481B06B4-2B25-D94A-8BAE-CB61E1B850D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
</t>
      </text>
    </comment>
    <comment ref="N33" authorId="22" shapeId="0" xr:uid="{F737C045-1ACA-114D-9CE6-3A4ABB45ADD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4% der Invests pro Jahr
</t>
      </text>
    </comment>
    <comment ref="J37" authorId="23" shapeId="0" xr:uid="{A96B20C2-DE92-DB41-885B-B8A7B77B42B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K37" authorId="24" shapeId="0" xr:uid="{E39FF253-1C1F-1D41-9C73-7097D35FBD5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L37" authorId="25" shapeId="0" xr:uid="{0F258550-DDB4-024B-A356-CA2097A648E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M37" authorId="26" shapeId="0" xr:uid="{A63C16E3-8698-E640-9D85-F38D3E9884C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Werte sonst zu niedrig werden würden
</t>
      </text>
    </comment>
    <comment ref="N38" authorId="27" shapeId="0" xr:uid="{FA177E89-FB8E-D34D-B6C5-98D94EFC2F6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2% der Invests
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tc={67974A37-1811-400D-8D45-ABAA3CA107D7}</author>
    <author>tc={E48BF87D-9B81-034E-853E-3A7BB5536876}</author>
    <author>tc={0368A3EC-227B-5349-B4A3-658D33BF3151}</author>
    <author>tc={64BEF299-2BE0-C340-B4C3-622D0DCCF2EC}</author>
    <author>tc={1D9398D5-A78D-4FB9-8054-51FA415C7A4A}</author>
    <author>tc={32D5B8B4-4344-AB47-8A97-FCCC05B973D6}</author>
    <author>tc={F1A9FA30-F611-9141-9E72-16D03A4EF6FD}</author>
    <author>tc={7CC40FD2-8B4F-B14B-B6F0-62B5D5DD1DFF}</author>
    <author>tc={267EF24A-859A-C54A-AE1A-965E2BC1745A}</author>
    <author>tc={2301B2C2-2440-8A49-BC17-9B53A4B6649A}</author>
    <author>tc={9544F75B-E977-854C-A241-E41698769A31}</author>
    <author>tc={131642A8-37E3-094D-94BC-150617BAC9DC}</author>
    <author>tc={F5A51E66-48F4-4E42-B0FA-997987F92F7A}</author>
    <author>tc={7C6276A3-FE8E-7B4D-85F9-F0615DC48AD2}</author>
    <author>tc={1CD9C93E-D221-8E45-A6D6-59280F60E4EE}</author>
    <author>tc={A9767A1F-4C10-E340-8BB7-212B9B425863}</author>
    <author>tc={809B0C12-3EAB-D741-A6DD-5B8230CC8718}</author>
    <author>tc={934F2E05-EA1F-AC48-9961-4F203322A4AE}</author>
    <author>tc={0648F8B5-0C64-4D4C-ABC1-08ACF2EF1E4D}</author>
    <author>tc={D657715D-7A0B-C944-A71B-978EF1471679}</author>
    <author>tc={EBCAF522-980C-4A45-BC13-2D36FDC7BFEB}</author>
    <author>tc={D102DB15-46A7-CF4E-B1DF-60FFF716F489}</author>
    <author>tc={128DDD33-95E6-B547-A88F-B2C020528AFF}</author>
    <author>tc={16ED7D6E-3752-B142-8DC8-E3D33D87DEEB}</author>
    <author>tc={C6C6EF21-D12E-6746-B6D7-A07ABD189EA8}</author>
    <author>tc={1408C841-4DB2-7142-8128-88380909707C}</author>
    <author>tc={BFC31622-09C3-3A4B-80CB-AF642202FCE1}</author>
    <author>tc={90C7C137-56A6-E849-B281-60C55B76A4C1}</author>
    <author>tc={E9F8480E-6CFE-7743-B917-75DC0BDB843B}</author>
    <author>tc={C87A9D88-5617-5B4C-B5D0-E069709ABD89}</author>
    <author>tc={69C04DF9-08A3-FC4E-BDB3-4192FE7AFDB3}</author>
    <author>tc={0B55D274-3C4C-8E4A-84A2-175DF78C0F40}</author>
    <author>tc={54933A8F-B6CC-CD43-B349-97EC8299F6B6}</author>
    <author>tc={DCFA52CD-93D2-A94A-AC25-6B92CF01A0CA}</author>
    <author>tc={D341B467-9A5F-FD4C-A98B-FC2479BDDC60}</author>
    <author>tc={6357F5D3-C836-C446-BEB9-E21AD5F1D8EB}</author>
    <author>tc={A13978E5-B229-4E4C-BDB1-DCC43878E4E4}</author>
    <author>tc={D05F4ECA-5F9B-F646-9210-87CA49B19B9E}</author>
    <author>tc={75EA36B6-DBF7-4147-9C7B-BE2D28FC2514}</author>
    <author>tc={B104C1DE-028B-E344-A673-06B93F534990}</author>
    <author>tc={6AC580AC-4D0E-4746-8067-DFDFAA03A3D9}</author>
    <author>tc={8DE85B3C-9041-CD4C-B1BD-3E6CB24CB8C0}</author>
    <author>tc={2557C081-2BAD-0045-AF7C-C49CFA001502}</author>
    <author>tc={805EFE61-2113-914E-93EF-65BB4A6DEA3F}</author>
    <author>tc={208179E6-5EEB-764E-9D95-E653614C34B8}</author>
    <author>tc={9F4C64B7-C718-194A-8ACA-A9C31131A7ED}</author>
    <author>tc={D75F3BB6-8A7E-FF45-B1FE-3395247B7830}</author>
    <author>tc={7A4CBBC2-9483-CD48-BB80-9CF5138930D5}</author>
    <author>tc={185D2693-0E5A-7347-A6CB-F9081FFA6333}</author>
    <author>tc={926C8236-8EA1-6D4C-8B2C-9BE094A1162C}</author>
    <author>tc={2671D60B-FCD5-CC49-9C5F-8638FB982CF2}</author>
    <author>tc={821E5489-C67D-0C42-8E87-9625BB63EBBC}</author>
    <author>tc={84143338-FF63-8143-B79B-A25C3DE8C59D}</author>
    <author>tc={6A8969BC-4578-CF48-B49B-6D24307B306F}</author>
    <author>tc={3C869D5D-DC8D-C648-84B7-39ECEF1DBC77}</author>
    <author>tc={58B241B5-2C9A-B54E-999D-BFD674DA510B}</author>
    <author>tc={E70C89A6-7E37-0A40-876C-87A952EE0E9B}</author>
    <author>tc={CF88A3EC-F8F4-0545-88EB-884009BCF263}</author>
    <author>tc={996C34A3-4B5B-3948-8377-DA097B2132D4}</author>
    <author>tc={DDF30F6D-13F8-774F-B7DB-CCC023D1CAF9}</author>
    <author>tc={DB8FA0EB-80E4-3340-B4DB-A53CE8956784}</author>
    <author>tc={E41CC6DD-4FCE-AE4A-9861-3B77B96E78B6}</author>
    <author>tc={38752B50-12B5-B543-B2BA-CCFC8E61EC0F}</author>
    <author>tc={BCBDCC74-AFE4-1048-A24F-D11AC2B87BD0}</author>
    <author>tc={5515604F-D4DD-4F4E-B6A2-28FA05E3AADD}</author>
    <author>tc={AD2C97B8-B071-B040-BA90-B01506D21BC9}</author>
    <author>tc={07B553A1-B05F-9E45-9EED-92CCAB02C8FF}</author>
    <author>tc={130D3821-EFCC-4D44-A8E4-2491B6821190}</author>
    <author>tc={62F94F6F-5F2B-DD42-A927-5DC7C79D566D}</author>
    <author>tc={98666F64-7256-4C44-B3DC-0B10D79009C9}</author>
    <author>tc={4D86F48B-BC79-8D4B-A73A-5307E207C1E8}</author>
    <author>tc={A2D0BB0C-8690-C443-8BF7-4191E12B8538}</author>
    <author>tc={C0096F98-B733-3148-B4AC-E72407B96F9E}</author>
    <author>tc={AB563737-1FC0-834A-8CD2-FFB6408666E2}</author>
    <author>tc={C3566A95-3DAE-BB47-9CB7-ACD314368D92}</author>
    <author>tc={A12D6AEE-6173-F64A-A947-4478DFD48F48}</author>
    <author>tc={6CCCFB67-B2C9-9449-B95D-BE85CF705AB5}</author>
    <author>tc={D2996A1C-76F6-FD43-9B16-9E96658B71DA}</author>
  </authors>
  <commentList>
    <comment ref="AH2" authorId="0" shapeId="0" xr:uid="{67974A37-1811-400D-8D45-ABAA3CA107D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
</t>
      </text>
    </comment>
    <comment ref="AO2" authorId="1" shapeId="0" xr:uid="{E48BF87D-9B81-034E-853E-3A7BB553687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
</t>
      </text>
    </comment>
    <comment ref="M4" authorId="2" shapeId="0" xr:uid="{0368A3EC-227B-5349-B4A3-658D33BF315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4" authorId="3" shapeId="0" xr:uid="{64BEF299-2BE0-C340-B4C3-622D0DCCF2E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AI4" authorId="4" shapeId="0" xr:uid="{1D9398D5-A78D-4FB9-8054-51FA415C7A4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Effizienz berechnet über Heizwert von H2 geteilt durch Strombedarf pro kgH2
</t>
      </text>
    </comment>
    <comment ref="M5" authorId="5" shapeId="0" xr:uid="{32D5B8B4-4344-AB47-8A97-FCCC05B973D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13" authorId="6" shapeId="0" xr:uid="{F1A9FA30-F611-9141-9E72-16D03A4EF6F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20" authorId="7" shapeId="0" xr:uid="{7CC40FD2-8B4F-B14B-B6F0-62B5D5DD1DF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20" authorId="8" shapeId="0" xr:uid="{267EF24A-859A-C54A-AE1A-965E2BC1745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21" authorId="9" shapeId="0" xr:uid="{2301B2C2-2440-8A49-BC17-9B53A4B6649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21" authorId="10" shapeId="0" xr:uid="{9544F75B-E977-854C-A241-E41698769A3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22" authorId="11" shapeId="0" xr:uid="{131642A8-37E3-094D-94BC-150617BAC9D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29" authorId="12" shapeId="0" xr:uid="{F5A51E66-48F4-4E42-B0FA-997987F92F7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29" authorId="13" shapeId="0" xr:uid="{7C6276A3-FE8E-7B4D-85F9-F0615DC48AD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J31" authorId="14" shapeId="0" xr:uid="{1CD9C93E-D221-8E45-A6D6-59280F60E4E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K31" authorId="15" shapeId="0" xr:uid="{A9767A1F-4C10-E340-8BB7-212B9B42586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L31" authorId="16" shapeId="0" xr:uid="{809B0C12-3EAB-D741-A6DD-5B8230CC871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M31" authorId="17" shapeId="0" xr:uid="{934F2E05-EA1F-AC48-9961-4F203322A4A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K32" authorId="18" shapeId="0" xr:uid="{0648F8B5-0C64-4D4C-ABC1-08ACF2EF1E4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L32" authorId="19" shapeId="0" xr:uid="{D657715D-7A0B-C944-A71B-978EF147167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32" authorId="20" shapeId="0" xr:uid="{EBCAF522-980C-4A45-BC13-2D36FDC7BFE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41" authorId="21" shapeId="0" xr:uid="{D102DB15-46A7-CF4E-B1DF-60FFF716F48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41" authorId="22" shapeId="0" xr:uid="{128DDD33-95E6-B547-A88F-B2C020528AF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AI41" authorId="23" shapeId="0" xr:uid="{16ED7D6E-3752-B142-8DC8-E3D33D87DEE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Effizienz berechnet über Heizwert von H2 geteilt durch Strombedarf pro kgH2
</t>
      </text>
    </comment>
    <comment ref="M42" authorId="24" shapeId="0" xr:uid="{C6C6EF21-D12E-6746-B6D7-A07ABD189EA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50" authorId="25" shapeId="0" xr:uid="{1408C841-4DB2-7142-8128-88380909707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57" authorId="26" shapeId="0" xr:uid="{BFC31622-09C3-3A4B-80CB-AF642202FCE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57" authorId="27" shapeId="0" xr:uid="{90C7C137-56A6-E849-B281-60C55B76A4C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58" authorId="28" shapeId="0" xr:uid="{E9F8480E-6CFE-7743-B917-75DC0BDB843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58" authorId="29" shapeId="0" xr:uid="{C87A9D88-5617-5B4C-B5D0-E069709ABD8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59" authorId="30" shapeId="0" xr:uid="{69C04DF9-08A3-FC4E-BDB3-4192FE7AFDB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66" authorId="31" shapeId="0" xr:uid="{0B55D274-3C4C-8E4A-84A2-175DF78C0F4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66" authorId="32" shapeId="0" xr:uid="{54933A8F-B6CC-CD43-B349-97EC8299F6B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J68" authorId="33" shapeId="0" xr:uid="{DCFA52CD-93D2-A94A-AC25-6B92CF01A0C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K68" authorId="34" shapeId="0" xr:uid="{D341B467-9A5F-FD4C-A98B-FC2479BDDC6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L68" authorId="35" shapeId="0" xr:uid="{6357F5D3-C836-C446-BEB9-E21AD5F1D8E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M68" authorId="36" shapeId="0" xr:uid="{A13978E5-B229-4E4C-BDB1-DCC43878E4E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K69" authorId="37" shapeId="0" xr:uid="{D05F4ECA-5F9B-F646-9210-87CA49B19B9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L69" authorId="38" shapeId="0" xr:uid="{75EA36B6-DBF7-4147-9C7B-BE2D28FC251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69" authorId="39" shapeId="0" xr:uid="{B104C1DE-028B-E344-A673-06B93F53499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78" authorId="40" shapeId="0" xr:uid="{6AC580AC-4D0E-4746-8067-DFDFAA03A3D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78" authorId="41" shapeId="0" xr:uid="{8DE85B3C-9041-CD4C-B1BD-3E6CB24CB8C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AI78" authorId="42" shapeId="0" xr:uid="{2557C081-2BAD-0045-AF7C-C49CFA00150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Effizienz berechnet über Heizwert von H2 geteilt durch Strombedarf pro kgH2
</t>
      </text>
    </comment>
    <comment ref="M79" authorId="43" shapeId="0" xr:uid="{805EFE61-2113-914E-93EF-65BB4A6DEA3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87" authorId="44" shapeId="0" xr:uid="{208179E6-5EEB-764E-9D95-E653614C34B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94" authorId="45" shapeId="0" xr:uid="{9F4C64B7-C718-194A-8ACA-A9C31131A7E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94" authorId="46" shapeId="0" xr:uid="{D75F3BB6-8A7E-FF45-B1FE-3395247B783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95" authorId="47" shapeId="0" xr:uid="{7A4CBBC2-9483-CD48-BB80-9CF5138930D5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95" authorId="48" shapeId="0" xr:uid="{185D2693-0E5A-7347-A6CB-F9081FFA633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96" authorId="49" shapeId="0" xr:uid="{926C8236-8EA1-6D4C-8B2C-9BE094A1162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103" authorId="50" shapeId="0" xr:uid="{2671D60B-FCD5-CC49-9C5F-8638FB982CF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103" authorId="51" shapeId="0" xr:uid="{821E5489-C67D-0C42-8E87-9625BB63EBB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J105" authorId="52" shapeId="0" xr:uid="{84143338-FF63-8143-B79B-A25C3DE8C59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K105" authorId="53" shapeId="0" xr:uid="{6A8969BC-4578-CF48-B49B-6D24307B306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L105" authorId="54" shapeId="0" xr:uid="{3C869D5D-DC8D-C648-84B7-39ECEF1DBC7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M105" authorId="55" shapeId="0" xr:uid="{58B241B5-2C9A-B54E-999D-BFD674DA510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K106" authorId="56" shapeId="0" xr:uid="{E70C89A6-7E37-0A40-876C-87A952EE0E9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L106" authorId="57" shapeId="0" xr:uid="{CF88A3EC-F8F4-0545-88EB-884009BCF26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106" authorId="58" shapeId="0" xr:uid="{996C34A3-4B5B-3948-8377-DA097B2132D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115" authorId="59" shapeId="0" xr:uid="{DDF30F6D-13F8-774F-B7DB-CCC023D1CAF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115" authorId="60" shapeId="0" xr:uid="{DB8FA0EB-80E4-3340-B4DB-A53CE895678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AI115" authorId="61" shapeId="0" xr:uid="{E41CC6DD-4FCE-AE4A-9861-3B77B96E78B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Effizienz berechnet über Heizwert von H2 geteilt durch Strombedarf pro kgH2
</t>
      </text>
    </comment>
    <comment ref="M116" authorId="62" shapeId="0" xr:uid="{38752B50-12B5-B543-B2BA-CCFC8E61EC0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124" authorId="63" shapeId="0" xr:uid="{BCBDCC74-AFE4-1048-A24F-D11AC2B87BD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131" authorId="64" shapeId="0" xr:uid="{5515604F-D4DD-4F4E-B6A2-28FA05E3AAD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131" authorId="65" shapeId="0" xr:uid="{AD2C97B8-B071-B040-BA90-B01506D21BC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132" authorId="66" shapeId="0" xr:uid="{07B553A1-B05F-9E45-9EED-92CCAB02C8F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132" authorId="67" shapeId="0" xr:uid="{130D3821-EFCC-4D44-A8E4-2491B682119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133" authorId="68" shapeId="0" xr:uid="{62F94F6F-5F2B-DD42-A927-5DC7C79D566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140" authorId="69" shapeId="0" xr:uid="{98666F64-7256-4C44-B3DC-0B10D79009C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T140" authorId="70" shapeId="0" xr:uid="{4D86F48B-BC79-8D4B-A73A-5307E207C1E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J142" authorId="71" shapeId="0" xr:uid="{A2D0BB0C-8690-C443-8BF7-4191E12B853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K142" authorId="72" shapeId="0" xr:uid="{C0096F98-B733-3148-B4AC-E72407B96F9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L142" authorId="73" shapeId="0" xr:uid="{AB563737-1FC0-834A-8CD2-FFB6408666E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M142" authorId="74" shapeId="0" xr:uid="{C3566A95-3DAE-BB47-9CB7-ACD314368D9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Extrapolation: Wert würde zu klein werden -&gt; macht kein Sinn
</t>
      </text>
    </comment>
    <comment ref="K143" authorId="75" shapeId="0" xr:uid="{A12D6AEE-6173-F64A-A947-4478DFD48F4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L143" authorId="76" shapeId="0" xr:uid="{6CCCFB67-B2C9-9449-B95D-BE85CF705AB5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  <comment ref="M143" authorId="77" shapeId="0" xr:uid="{D2996A1C-76F6-FD43-9B16-9E96658B71D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Extrapolationsergebnis wäre schon zu gering, deswegen hier konstanter Wert genommen
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tc={63FD80B4-5E12-4D6E-ACD0-7B33C8426ECE}</author>
    <author>tc={0C4FAC23-D33E-4561-8EA2-B0E7EC0EE373}</author>
    <author>tc={FC922068-3C1D-4B86-9CC7-607CB990650D}</author>
    <author>tc={5E4CBCD3-8EF8-3245-B6F9-4A75D80132F5}</author>
    <author>tc={CAB63E64-1208-404B-990F-F404EA73D4CB}</author>
    <author>tc={74CB9990-0CEB-8343-BF7D-3966F9B63EAF}</author>
    <author>tc={D91C13DB-0067-3F48-B115-03B69BE26F1B}</author>
    <author>tc={D1EED104-60A3-4C4C-9C74-63FA9F846B7A}</author>
    <author>tc={DABF7364-16B7-4E4E-B248-FCD6CE487879}</author>
    <author>tc={9F302995-BA01-3B4D-8365-67C9274D54E7}</author>
    <author>tc={14805E30-6DA6-4640-8BBF-7BA8C5F1ECE1}</author>
    <author>tc={83A5E6D7-0363-7943-BA9A-42263E8A2320}</author>
    <author>tc={43C69194-D87C-6649-8A56-63F08D2F5D0D}</author>
    <author>tc={9D7AC6BC-6B65-7149-8589-5B1DCC659D3A}</author>
    <author>tc={444251E3-6B0C-604D-8854-752AFA43E718}</author>
    <author>tc={A0A4CDDA-E3CF-D944-B74E-778F13B97F99}</author>
    <author>tc={2011FA4D-013A-6342-81A1-34539A6BBAC7}</author>
    <author>tc={8DC677E4-2AA2-40CF-9124-655F01306CCE}</author>
    <author>tc={91F288AB-49C2-4B7C-AAD1-452945CDABCE}</author>
    <author>tc={C5D90BDC-785A-4A98-A846-5C5D51B2165E}</author>
    <author>tc={103EC3B9-FD81-9348-97CB-CBB2FD74BDB6}</author>
    <author>tc={45DCFF1E-31C8-6F45-83C0-7740F07090D4}</author>
    <author>tc={7B29AA36-CA95-644F-A956-297AD4EC8F1B}</author>
    <author>tc={31307EC4-CE45-464C-B519-BC72A28424D1}</author>
    <author>tc={737A558D-BA7D-EA47-BA7B-0CF1F642C0D6}</author>
    <author>tc={D683477A-5070-2C46-BFF5-4921E735509F}</author>
    <author>tc={A38E280C-71B8-9D47-AD80-B7CCE5FF9CE9}</author>
    <author>tc={C6F8867A-0387-E743-9024-61F4DD6786EA}</author>
    <author>tc={F9E09E87-2F3A-4549-B87D-92BC1462242E}</author>
    <author>tc={576EA5CB-8306-5442-837D-4A4E00E7FAEA}</author>
    <author>tc={1CE551D3-3A6B-4044-A6FC-0310103A15A6}</author>
    <author>tc={7FB9D4E7-6794-4A45-9B5A-A0284EBDE1CB}</author>
    <author>tc={EEB6AF6B-41BB-D340-A71F-56BEF770B5DB}</author>
    <author>tc={655B53F1-F0F2-F54E-BD3E-A78C2CC55FB9}</author>
    <author>tc={906A6151-ADB5-BA45-8614-493380216FEF}</author>
    <author>tc={A9828AA4-1A6A-4249-9FD7-55250FEDF75F}</author>
    <author>tc={10BAEEFC-91A7-0F46-85F1-BCA7E608C8A1}</author>
    <author>tc={F061016E-3AB3-6D41-9A0F-14BA669BB653}</author>
    <author>tc={915C509F-1097-2041-BEBA-C81AEFE2BD10}</author>
    <author>tc={49D5B93D-1C4C-0E44-80A6-205A51B6EF83}</author>
    <author>tc={B4D8C24F-DBFA-6F4E-89B6-E512701186EF}</author>
    <author>tc={8632063D-3E7C-AD46-97C3-B4AC6A785DB9}</author>
    <author>tc={77AA069A-C8C4-0849-816A-C792E8CA6F6B}</author>
    <author>tc={03B8009D-F7C6-8C44-82FB-58D2F50E8E67}</author>
    <author>tc={E769693D-39B4-9442-AF29-0AF0A1259B3E}</author>
    <author>tc={90908DE4-9890-9D49-B865-D8EF552E9F39}</author>
    <author>tc={BA0C84F8-00C2-2146-A3C1-3A15B5FFC758}</author>
    <author>tc={AD4F8A19-3F8E-264C-BE0F-ECABEBD88F46}</author>
    <author>tc={FE47CB7A-93C1-C540-8063-5972DC4DB978}</author>
    <author>tc={770AEBBD-86C5-3348-BA14-605478791B4F}</author>
    <author>tc={68652E0E-A95F-2244-AC9B-0F03EECD841B}</author>
    <author>tc={929A4763-0A4A-114A-A855-C5C448A4D9BD}</author>
    <author>tc={D26DCF1D-4B3E-C042-96B8-91647FBEF7BD}</author>
    <author>tc={B7420450-F6C9-174C-9EEE-47DF564FC662}</author>
    <author>tc={EAECBFA5-79F0-9343-A5AC-E93F0ACD9E8D}</author>
    <author>tc={C37C9D04-2C82-9144-9E3F-C60FAE8A66DB}</author>
    <author>tc={6DC11D14-79B8-FA4B-823B-7C6EFD48E372}</author>
    <author>tc={30E0B383-870E-C24E-9383-2BA12EA0769F}</author>
    <author>tc={DDBBA9A0-2E77-A546-935D-0D824153C83F}</author>
    <author>tc={ACBB906E-3C0A-F045-99AE-0C68523044EE}</author>
    <author>tc={2FE3EFC7-2FCF-D94F-9DF5-27AE3EE976B8}</author>
    <author>tc={06A8AE6C-84BF-2B4E-BF62-BCEA4660157C}</author>
    <author>tc={24A5E4CD-D0C9-3B41-93A4-1CA746AB7DD3}</author>
    <author>tc={A602B690-5F5C-BC4D-9962-6CE2390E282C}</author>
    <author>tc={345562FB-0AE6-6C4B-8399-43F3C54D936F}</author>
    <author>tc={F5483CCD-92E1-0D4A-AE83-DD5A802B324E}</author>
    <author>tc={517A6E6A-3A1C-E742-8387-028F0E0D800F}</author>
    <author>tc={FD4BFC71-DA73-5C4D-B1E4-9F7F04FAEC56}</author>
    <author>tc={DF760125-A477-8548-9F71-1DE2B3B2B5B5}</author>
    <author>tc={4C371DFE-0D57-564E-A77F-B650DE1C7E2F}</author>
    <author>tc={670130F8-A9C6-C941-94BB-50EC17CF28FE}</author>
    <author>tc={B40B629B-FEE2-4848-AF21-4547EC46C99D}</author>
    <author>tc={EC4E3B58-9EA6-4444-A89E-16FF61C4785E}</author>
    <author>tc={5173DDBC-3F77-7747-9C26-A55DA9777D88}</author>
    <author>tc={5AB363FB-49C2-D042-BB71-CDE53FA548D8}</author>
    <author>tc={0F1A4AEE-FD20-0E4C-A85F-EB620296EC2D}</author>
    <author>tc={2FA6D1D2-C082-7B4E-9A59-7296C139482A}</author>
    <author>tc={56466D17-5272-B645-9CEE-88FF128E5ADE}</author>
    <author>tc={B52C1679-F81C-2346-B00E-EE6353453527}</author>
    <author>tc={1AB813E6-59CF-1549-939D-98A93C607CEC}</author>
    <author>tc={1763F9D3-2AB3-7D45-A190-A24820F7DC0C}</author>
    <author>tc={A3E7BE38-9DC1-D640-A388-319FB5817776}</author>
    <author>tc={F59E8E43-2713-204B-969D-DDD0156B317C}</author>
    <author>tc={1B1118F0-576C-F146-809E-13C50F4A3CAB}</author>
    <author>tc={91AECD63-6231-864B-9585-399103D7507F}</author>
    <author>tc={56CD1E7A-2B25-6F45-9C96-3101E9AE0342}</author>
    <author>tc={D8C0F6A4-6DB6-1A4D-8C39-AD1AA36FD103}</author>
    <author>tc={979E6E1B-FA84-5143-8CBB-3448488C2A49}</author>
    <author>tc={4C5508E9-F495-D94C-8E71-115DCA6B7900}</author>
    <author>tc={997BE85F-905D-5345-8351-AC26DC459819}</author>
    <author>tc={711C9DEB-B226-8A4D-9A45-DFDC03F1BE77}</author>
    <author>tc={E0E36033-4D57-644C-B682-DCF3F401C184}</author>
    <author>tc={F2251FE6-929A-594D-986E-D9695AA5303B}</author>
    <author>tc={B9EF4808-02DC-A24E-9C46-ACFE97E79DD3}</author>
    <author>tc={97039D38-14FF-EC43-B986-8A05A759FDEE}</author>
    <author>tc={BAA6D250-B977-0746-9F6C-F4D93A0AF781}</author>
    <author>tc={3636DAA4-0D1E-DB43-BB6E-42469F3FC2BC}</author>
    <author>tc={C92EE616-4982-2842-938D-96F33AFA57EF}</author>
    <author>tc={DFF43358-2E43-BD47-9AAD-FD4FAD363FAD}</author>
    <author>tc={E483DF9E-8D64-F54E-A39E-98AE625B4D0E}</author>
    <author>tc={2E1C1A2C-8426-AF43-844B-A54DD614A4F0}</author>
    <author>tc={6097AC75-C1C2-6741-ADD5-2A7626E85D53}</author>
    <author>tc={568BB090-7602-0346-A4CE-AD4A9D371457}</author>
    <author>tc={4DA177AA-2034-E94E-A816-751FDC135CE5}</author>
    <author>tc={AC6F8B7C-A53D-FE43-88CF-88AC32C733E2}</author>
    <author>tc={75AE8919-A63C-8E49-876E-7F0DA4DA39B6}</author>
    <author>tc={54503B82-C740-5E41-9F53-4405FC2B01A7}</author>
    <author>tc={401FCDEE-92E9-7A4F-86CD-4115572C64E7}</author>
    <author>tc={192759A8-7BA9-DA4A-9B80-B62E23F1365C}</author>
    <author>tc={3D85E109-AD95-1E40-BF42-2A91724DF4CC}</author>
    <author>tc={8FFAEA68-2EA4-C445-90C9-EC22D468FAD6}</author>
    <author>tc={6BF198EC-25C4-6B4D-84DD-664EDDD53356}</author>
    <author>tc={3679B352-15BF-0041-BF74-451BA9A7A36C}</author>
    <author>tc={83B2E9E0-8F25-BB41-AE22-4C211DE9FC5B}</author>
    <author>tc={9F500D63-6E9F-7A47-B660-7C9284969F5D}</author>
    <author>tc={E9A700C3-E2F5-954A-9278-5FE07CCC5907}</author>
    <author>tc={997898F1-730F-C043-A726-89E8D1AFC19A}</author>
    <author>tc={37292871-D5F7-D248-94EE-5A2F7138C058}</author>
    <author>tc={FAC0BDCB-F0A6-1748-B71E-44A1731DF7BA}</author>
    <author>tc={E96CFA05-0B9A-6646-8ACD-5F10961FBDAC}</author>
    <author>tc={470E5CB8-66A3-EB48-9C2E-2AFC11419006}</author>
    <author>tc={11A7B044-2877-4E49-89E1-D3FC25676842}</author>
    <author>tc={7B231529-4CA8-3C4F-A6E1-5AC27EC277DF}</author>
    <author>tc={2EC5F6E6-B63E-8547-B795-6E88872F6892}</author>
    <author>tc={D46DA047-251B-7545-A556-A485B44386DB}</author>
    <author>tc={A8A2096B-9DDA-C946-8FB9-BDCDF3D3A604}</author>
    <author>tc={D33735AA-7766-1446-B5F4-E02C4B3E66C4}</author>
    <author>tc={C6838838-3C4C-7344-85C2-885A0A422F0F}</author>
    <author>tc={C0849C34-778F-4245-B02C-19145FC84868}</author>
    <author>tc={BB7CCF7A-1849-6D4E-962E-7F574A5B43BF}</author>
    <author>tc={54F19FD6-EDD8-924B-8185-987BBC86B18A}</author>
    <author>tc={DDE5E225-DD97-714C-A8F2-944CAC70B817}</author>
    <author>tc={1AE164A5-8882-4C46-9597-4113C7C308EC}</author>
    <author>tc={A84A3754-ED66-EB4C-BB93-0EABD9FBB7A4}</author>
    <author>tc={16971806-BABD-FA43-B3D4-E50697E3905C}</author>
    <author>tc={997BCEAA-F62E-9845-98E0-51E3114EC430}</author>
    <author>tc={8551CD8D-96E1-F045-9931-F35958DC47ED}</author>
    <author>tc={9E74153F-FD36-4D48-9BB4-CAF0AC87F649}</author>
    <author>tc={845ED60C-8BE5-8B4F-8A23-E1E9729E2682}</author>
    <author>tc={D049AB3F-C713-194B-8691-0C6EEF215EF4}</author>
    <author>tc={041FE3C0-3F92-1E4F-8DA9-CD019C2B1EA6}</author>
    <author>tc={CE5CEF2A-2C16-5543-9D87-116B3173CC2D}</author>
    <author>tc={69D6C04D-13D9-CB45-9BBF-EB277D66ECA0}</author>
    <author>tc={4A17C279-D4FB-D845-8BB4-B5D00C21C880}</author>
    <author>tc={325F2E30-4438-D947-B85B-0F8087234FF5}</author>
    <author>tc={8A920346-3C20-9042-998D-953C47CF89B2}</author>
    <author>tc={F678DA7A-42FC-DF4E-BF2E-9883EA970421}</author>
    <author>tc={141B2356-B6A4-7E49-AA58-3E64DE8864BF}</author>
    <author>tc={ABB97456-D50C-D045-AEF1-6A0F3C7DC7C0}</author>
    <author>tc={E8B55229-6C63-9445-A18A-5C2F2578D1B5}</author>
    <author>tc={59E1249D-A15D-A04B-944F-639E32900EBB}</author>
    <author>tc={23A1E3B6-08F1-BE43-86D5-AD48E5BF99EE}</author>
    <author>tc={A331ACC6-84C2-984C-90C6-1B3C6B22D98D}</author>
    <author>tc={7D68AFD8-FC66-1942-9527-E9C935A3B585}</author>
    <author>tc={DCADDA61-1DE6-2240-BA65-587C714C4C11}</author>
    <author>tc={BA260CAC-BB09-5740-8311-6756C2378086}</author>
    <author>tc={56075B3E-3BCE-0D4B-8EC3-D8CA11D4431D}</author>
    <author>tc={8CAF7D23-9A24-6948-8DF8-026AC0C0C6BC}</author>
    <author>tc={7FF7A91C-6E68-FA4B-B505-C1402E813543}</author>
    <author>tc={95355B7F-A588-2A41-82B1-02A169A3B4D6}</author>
    <author>tc={7359CFCF-4EDC-294B-99E3-D12E50211E4C}</author>
    <author>tc={0D7BCA49-3EBF-CA46-9F6B-5C5C308F8157}</author>
    <author>tc={D3824DB1-6E70-FD40-A652-7717A5BACD46}</author>
    <author>tc={4E420A7F-CF38-9147-8C31-A3230BEACE53}</author>
    <author>tc={44360A87-2D29-7E47-9A20-71E199755A56}</author>
    <author>tc={E7980448-E0FC-8D44-9065-4CAED46888EE}</author>
    <author>tc={CBD00FF1-D0DA-294F-AADB-371F7122A5B0}</author>
    <author>tc={15D212BA-C0D5-B94D-B536-7DFFD83804F7}</author>
    <author>tc={4B75669D-69C7-1A40-8A19-071D1AD0DCF6}</author>
    <author>tc={CAF93B95-8AB3-B341-A5EB-5729801B5862}</author>
    <author>tc={D162DED5-649B-244B-AB29-EABADF661307}</author>
    <author>tc={BD46B9E6-8946-8C4B-B2B7-10096C8288E6}</author>
  </authors>
  <commentList>
    <comment ref="G3" authorId="0" shapeId="0" xr:uid="{63FD80B4-5E12-4D6E-ACD0-7B33C8426EC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Anlagengröße angegeben
Antwort:
    Umrechnung von tH2/a in kWH2 -&gt; (1000kg*33,33kWh/kg/(8760h)) = 3,805 kW
</t>
      </text>
    </comment>
    <comment ref="G4" authorId="1" shapeId="0" xr:uid="{0C4FAC23-D33E-4561-8EA2-B0E7EC0EE37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Anlagengröße: 260ktH2/a=712,33t/d
</t>
      </text>
    </comment>
    <comment ref="G5" authorId="2" shapeId="0" xr:uid="{FC922068-3C1D-4B86-9CC7-607CB990650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Formel in Abhängigkeit der Anlagengröße -&gt; x [t/d]
Antwort:
    =((105*10^6)*(x/50)^0,66)/(x*365)/3,805
</t>
      </text>
    </comment>
    <comment ref="I5" authorId="3" shapeId="0" xr:uid="{5E4CBCD3-8EF8-3245-B6F9-4A75D80132F5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=((105*10^6)*(x/50)^0,66)/(x*365)/3,805
</t>
      </text>
    </comment>
    <comment ref="L5" authorId="4" shapeId="0" xr:uid="{CAB63E64-1208-404B-990F-F404EA73D4C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=((105*10^6)*(x/50)^0,66)/(x*365)/3,805
</t>
      </text>
    </comment>
    <comment ref="M6" authorId="5" shapeId="0" xr:uid="{74CB9990-0CEB-8343-BF7D-3966F9B63EA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6" authorId="6" shapeId="0" xr:uid="{D91C13DB-0067-3F48-B115-03B69BE26F1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7" authorId="7" shapeId="0" xr:uid="{D1EED104-60A3-4C4C-9C74-63FA9F846B7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7" authorId="8" shapeId="0" xr:uid="{DABF7364-16B7-4E4E-B248-FCD6CE48787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8" authorId="9" shapeId="0" xr:uid="{9F302995-BA01-3B4D-8365-67C9274D54E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8" authorId="10" shapeId="0" xr:uid="{14805E30-6DA6-4640-8BBF-7BA8C5F1ECE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2" authorId="11" shapeId="0" xr:uid="{83A5E6D7-0363-7943-BA9A-42263E8A232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2" authorId="12" shapeId="0" xr:uid="{43C69194-D87C-6649-8A56-63F08D2F5D0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3" authorId="13" shapeId="0" xr:uid="{9D7AC6BC-6B65-7149-8589-5B1DCC659D3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3" authorId="14" shapeId="0" xr:uid="{444251E3-6B0C-604D-8854-752AFA43E71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8" authorId="15" shapeId="0" xr:uid="{A0A4CDDA-E3CF-D944-B74E-778F13B97F9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8" authorId="16" shapeId="0" xr:uid="{2011FA4D-013A-6342-81A1-34539A6BBAC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23" authorId="17" shapeId="0" xr:uid="{8DC677E4-2AA2-40CF-9124-655F01306CC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945 $2017/tNH3 (Einheiten! -&gt; hier nicht pro Leistung)
</t>
      </text>
    </comment>
    <comment ref="I23" authorId="18" shapeId="0" xr:uid="{91F288AB-49C2-4B7C-AAD1-452945CDABC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855 $2017/tNH3 (Einheiten! -&gt; hier nicht pro Leistung)
</t>
      </text>
    </comment>
    <comment ref="L23" authorId="19" shapeId="0" xr:uid="{C5D90BDC-785A-4A98-A846-5C5D51B2165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760 $2017/tNH3 (Einheiten! -&gt; hier nicht pro Leistung)
</t>
      </text>
    </comment>
    <comment ref="N23" authorId="20" shapeId="0" xr:uid="{103EC3B9-FD81-9348-97CB-CBB2FD74BDB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Verändert sich noch, sobald etwas in F24 eingetragen wird
</t>
      </text>
    </comment>
    <comment ref="M24" authorId="21" shapeId="0" xr:uid="{45DCFF1E-31C8-6F45-83C0-7740F07090D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24" authorId="22" shapeId="0" xr:uid="{7B29AA36-CA95-644F-A956-297AD4EC8F1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25" authorId="23" shapeId="0" xr:uid="{31307EC4-CE45-464C-B519-BC72A28424D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25" authorId="24" shapeId="0" xr:uid="{737A558D-BA7D-EA47-BA7B-0CF1F642C0D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30" authorId="25" shapeId="0" xr:uid="{D683477A-5070-2C46-BFF5-4921E735509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30" authorId="26" shapeId="0" xr:uid="{A38E280C-71B8-9D47-AD80-B7CCE5FF9CE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31" authorId="27" shapeId="0" xr:uid="{C6F8867A-0387-E743-9024-61F4DD6786E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31" authorId="28" shapeId="0" xr:uid="{F9E09E87-2F3A-4549-B87D-92BC1462242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32" authorId="29" shapeId="0" xr:uid="{576EA5CB-8306-5442-837D-4A4E00E7FAE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36" authorId="30" shapeId="0" xr:uid="{1CE551D3-3A6B-4044-A6FC-0310103A15A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Tol: 11kWh/kg -&gt; 1tTol/a=(1000kg*11kWh/kg)/8760h=1,256kW
Antwort:
    Sehr große Unterschiede zu den beiden unteren Werten -&gt; Fehler?
</t>
      </text>
    </comment>
    <comment ref="G37" authorId="31" shapeId="0" xr:uid="{7FB9D4E7-6794-4A45-9B5A-A0284EBDE1C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Sehr große Unterschiede zu den beiden unteren Werten
Antwort:
    -&gt; Fehler?
</t>
      </text>
    </comment>
    <comment ref="M38" authorId="32" shapeId="0" xr:uid="{EEB6AF6B-41BB-D340-A71F-56BEF770B5D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38" authorId="33" shapeId="0" xr:uid="{655B53F1-F0F2-F54E-BD3E-A78C2CC55FB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AO38" authorId="34" shapeId="0" xr:uid="{906A6151-ADB5-BA45-8614-493380216FE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weil Extrapolation hätte Wert über 100 ergeben
</t>
      </text>
    </comment>
    <comment ref="M39" authorId="35" shapeId="0" xr:uid="{A9828AA4-1A6A-4249-9FD7-55250FEDF75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39" authorId="36" shapeId="0" xr:uid="{10BAEEFC-91A7-0F46-85F1-BCA7E608C8A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43" authorId="37" shapeId="0" xr:uid="{F061016E-3AB3-6D41-9A0F-14BA669BB65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Sehr große Unterschiede zu den beiden unteren Werten
</t>
      </text>
    </comment>
    <comment ref="M44" authorId="38" shapeId="0" xr:uid="{915C509F-1097-2041-BEBA-C81AEFE2BD1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44" authorId="39" shapeId="0" xr:uid="{49D5B93D-1C4C-0E44-80A6-205A51B6EF8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45" authorId="40" shapeId="0" xr:uid="{B4D8C24F-DBFA-6F4E-89B6-E512701186E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45" authorId="41" shapeId="0" xr:uid="{8632063D-3E7C-AD46-97C3-B4AC6A785DB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53" authorId="42" shapeId="0" xr:uid="{77AA069A-C8C4-0849-816A-C792E8CA6F6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Formel in Abhängigkeit der Leistung
15000*Pel[kW]^0,6089*2,5
</t>
      </text>
    </comment>
    <comment ref="G58" authorId="43" shapeId="0" xr:uid="{03B8009D-F7C6-8C44-82FB-58D2F50E8E6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Anlagengröße angegeben
Antwort:
    Umrechnung von tH2/a in kWH2 -&gt; (1000kg*33,33kWh/kg/(8760h)) = 3,805 kW
</t>
      </text>
    </comment>
    <comment ref="G59" authorId="44" shapeId="0" xr:uid="{E769693D-39B4-9442-AF29-0AF0A1259B3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Anlagengröße: 260ktH2/a=712,33t/d
</t>
      </text>
    </comment>
    <comment ref="G60" authorId="45" shapeId="0" xr:uid="{90908DE4-9890-9D49-B865-D8EF552E9F3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Formel in Abhängigkeit der Anlagengröße -&gt; x [t/d]
Antwort:
    =((105*10^6)*(x/50)^0,66)/(x*365)/3,805
</t>
      </text>
    </comment>
    <comment ref="I60" authorId="46" shapeId="0" xr:uid="{BA0C84F8-00C2-2146-A3C1-3A15B5FFC75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=((105*10^6)*(x/50)^0,66)/(x*365)/3,805
</t>
      </text>
    </comment>
    <comment ref="L60" authorId="47" shapeId="0" xr:uid="{AD4F8A19-3F8E-264C-BE0F-ECABEBD88F4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=((105*10^6)*(x/50)^0,66)/(x*365)/3,805
</t>
      </text>
    </comment>
    <comment ref="M61" authorId="48" shapeId="0" xr:uid="{FE47CB7A-93C1-C540-8063-5972DC4DB97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61" authorId="49" shapeId="0" xr:uid="{770AEBBD-86C5-3348-BA14-605478791B4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62" authorId="50" shapeId="0" xr:uid="{68652E0E-A95F-2244-AC9B-0F03EECD841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62" authorId="51" shapeId="0" xr:uid="{929A4763-0A4A-114A-A855-C5C448A4D9B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63" authorId="52" shapeId="0" xr:uid="{D26DCF1D-4B3E-C042-96B8-91647FBEF7B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63" authorId="53" shapeId="0" xr:uid="{B7420450-F6C9-174C-9EEE-47DF564FC66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67" authorId="54" shapeId="0" xr:uid="{EAECBFA5-79F0-9343-A5AC-E93F0ACD9E8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67" authorId="55" shapeId="0" xr:uid="{C37C9D04-2C82-9144-9E3F-C60FAE8A66D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68" authorId="56" shapeId="0" xr:uid="{6DC11D14-79B8-FA4B-823B-7C6EFD48E37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68" authorId="57" shapeId="0" xr:uid="{30E0B383-870E-C24E-9383-2BA12EA0769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73" authorId="58" shapeId="0" xr:uid="{DDBBA9A0-2E77-A546-935D-0D824153C83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73" authorId="59" shapeId="0" xr:uid="{ACBB906E-3C0A-F045-99AE-0C68523044E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78" authorId="60" shapeId="0" xr:uid="{2FE3EFC7-2FCF-D94F-9DF5-27AE3EE976B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945 $2017/tNH3 (Einheiten! -&gt; hier nicht pro Leistung)
</t>
      </text>
    </comment>
    <comment ref="I78" authorId="61" shapeId="0" xr:uid="{06A8AE6C-84BF-2B4E-BF62-BCEA4660157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855 $2017/tNH3 (Einheiten! -&gt; hier nicht pro Leistung)
</t>
      </text>
    </comment>
    <comment ref="L78" authorId="62" shapeId="0" xr:uid="{24A5E4CD-D0C9-3B41-93A4-1CA746AB7DD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760 $2017/tNH3 (Einheiten! -&gt; hier nicht pro Leistung)
</t>
      </text>
    </comment>
    <comment ref="N78" authorId="63" shapeId="0" xr:uid="{A602B690-5F5C-BC4D-9962-6CE2390E282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Verändert sich noch, sobald etwas in F24 eingetragen wird
</t>
      </text>
    </comment>
    <comment ref="M79" authorId="64" shapeId="0" xr:uid="{345562FB-0AE6-6C4B-8399-43F3C54D936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79" authorId="65" shapeId="0" xr:uid="{F5483CCD-92E1-0D4A-AE83-DD5A802B324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80" authorId="66" shapeId="0" xr:uid="{517A6E6A-3A1C-E742-8387-028F0E0D800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80" authorId="67" shapeId="0" xr:uid="{FD4BFC71-DA73-5C4D-B1E4-9F7F04FAEC5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85" authorId="68" shapeId="0" xr:uid="{DF760125-A477-8548-9F71-1DE2B3B2B5B5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85" authorId="69" shapeId="0" xr:uid="{4C371DFE-0D57-564E-A77F-B650DE1C7E2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86" authorId="70" shapeId="0" xr:uid="{670130F8-A9C6-C941-94BB-50EC17CF28F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86" authorId="71" shapeId="0" xr:uid="{B40B629B-FEE2-4848-AF21-4547EC46C99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87" authorId="72" shapeId="0" xr:uid="{EC4E3B58-9EA6-4444-A89E-16FF61C4785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91" authorId="73" shapeId="0" xr:uid="{5173DDBC-3F77-7747-9C26-A55DA9777D8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Tol: 11kWh/kg -&gt; 1tTol/a=(1000kg*11kWh/kg)/8760h=1,256kW
Antwort:
    Sehr große Unterschiede zu den beiden unteren Werten -&gt; Fehler?
</t>
      </text>
    </comment>
    <comment ref="G92" authorId="74" shapeId="0" xr:uid="{5AB363FB-49C2-D042-BB71-CDE53FA548D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Sehr große Unterschiede zu den beiden unteren Werten
Antwort:
    -&gt; Fehler?
</t>
      </text>
    </comment>
    <comment ref="M93" authorId="75" shapeId="0" xr:uid="{0F1A4AEE-FD20-0E4C-A85F-EB620296EC2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93" authorId="76" shapeId="0" xr:uid="{2FA6D1D2-C082-7B4E-9A59-7296C139482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AO93" authorId="77" shapeId="0" xr:uid="{56466D17-5272-B645-9CEE-88FF128E5AD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weil Extrapolation hätte Wert über 100 ergeben
</t>
      </text>
    </comment>
    <comment ref="M94" authorId="78" shapeId="0" xr:uid="{B52C1679-F81C-2346-B00E-EE635345352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94" authorId="79" shapeId="0" xr:uid="{1AB813E6-59CF-1549-939D-98A93C607CE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98" authorId="80" shapeId="0" xr:uid="{1763F9D3-2AB3-7D45-A190-A24820F7DC0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Sehr große Unterschiede zu den beiden unteren Werten
</t>
      </text>
    </comment>
    <comment ref="M99" authorId="81" shapeId="0" xr:uid="{A3E7BE38-9DC1-D640-A388-319FB581777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99" authorId="82" shapeId="0" xr:uid="{F59E8E43-2713-204B-969D-DDD0156B317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00" authorId="83" shapeId="0" xr:uid="{1B1118F0-576C-F146-809E-13C50F4A3CA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00" authorId="84" shapeId="0" xr:uid="{91AECD63-6231-864B-9585-399103D7507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108" authorId="85" shapeId="0" xr:uid="{56CD1E7A-2B25-6F45-9C96-3101E9AE034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Formel in Abhängigkeit der Leistung
15000*Pel[kW]^0,6089*2,5
</t>
      </text>
    </comment>
    <comment ref="G113" authorId="86" shapeId="0" xr:uid="{D8C0F6A4-6DB6-1A4D-8C39-AD1AA36FD10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Anlagengröße angegeben
Antwort:
    Umrechnung von tH2/a in kWH2 -&gt; (1000kg*33,33kWh/kg/(8760h)) = 3,805 kW
</t>
      </text>
    </comment>
    <comment ref="G114" authorId="87" shapeId="0" xr:uid="{979E6E1B-FA84-5143-8CBB-3448488C2A4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Anlagengröße: 260ktH2/a=712,33t/d
</t>
      </text>
    </comment>
    <comment ref="G115" authorId="88" shapeId="0" xr:uid="{4C5508E9-F495-D94C-8E71-115DCA6B790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Formel in Abhängigkeit der Anlagengröße -&gt; x [t/d]
Antwort:
    =((105*10^6)*(x/50)^0,66)/(x*365)/3,805
</t>
      </text>
    </comment>
    <comment ref="I115" authorId="89" shapeId="0" xr:uid="{997BE85F-905D-5345-8351-AC26DC45981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=((105*10^6)*(x/50)^0,66)/(x*365)/3,805
</t>
      </text>
    </comment>
    <comment ref="L115" authorId="90" shapeId="0" xr:uid="{711C9DEB-B226-8A4D-9A45-DFDC03F1BE7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=((105*10^6)*(x/50)^0,66)/(x*365)/3,805
</t>
      </text>
    </comment>
    <comment ref="M116" authorId="91" shapeId="0" xr:uid="{E0E36033-4D57-644C-B682-DCF3F401C18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16" authorId="92" shapeId="0" xr:uid="{F2251FE6-929A-594D-986E-D9695AA5303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17" authorId="93" shapeId="0" xr:uid="{B9EF4808-02DC-A24E-9C46-ACFE97E79DD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17" authorId="94" shapeId="0" xr:uid="{97039D38-14FF-EC43-B986-8A05A759FDE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18" authorId="95" shapeId="0" xr:uid="{BAA6D250-B977-0746-9F6C-F4D93A0AF78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18" authorId="96" shapeId="0" xr:uid="{3636DAA4-0D1E-DB43-BB6E-42469F3FC2B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22" authorId="97" shapeId="0" xr:uid="{C92EE616-4982-2842-938D-96F33AFA57E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22" authorId="98" shapeId="0" xr:uid="{DFF43358-2E43-BD47-9AAD-FD4FAD363FA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23" authorId="99" shapeId="0" xr:uid="{E483DF9E-8D64-F54E-A39E-98AE625B4D0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23" authorId="100" shapeId="0" xr:uid="{2E1C1A2C-8426-AF43-844B-A54DD614A4F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28" authorId="101" shapeId="0" xr:uid="{6097AC75-C1C2-6741-ADD5-2A7626E85D5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28" authorId="102" shapeId="0" xr:uid="{568BB090-7602-0346-A4CE-AD4A9D37145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133" authorId="103" shapeId="0" xr:uid="{4DA177AA-2034-E94E-A816-751FDC135CE5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945 $2017/tNH3 (Einheiten! -&gt; hier nicht pro Leistung)
</t>
      </text>
    </comment>
    <comment ref="I133" authorId="104" shapeId="0" xr:uid="{AC6F8B7C-A53D-FE43-88CF-88AC32C733E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855 $2017/tNH3 (Einheiten! -&gt; hier nicht pro Leistung)
</t>
      </text>
    </comment>
    <comment ref="L133" authorId="105" shapeId="0" xr:uid="{75AE8919-A63C-8E49-876E-7F0DA4DA39B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760 $2017/tNH3 (Einheiten! -&gt; hier nicht pro Leistung)
</t>
      </text>
    </comment>
    <comment ref="N133" authorId="106" shapeId="0" xr:uid="{54503B82-C740-5E41-9F53-4405FC2B01A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Verändert sich noch, sobald etwas in F24 eingetragen wird
</t>
      </text>
    </comment>
    <comment ref="M134" authorId="107" shapeId="0" xr:uid="{401FCDEE-92E9-7A4F-86CD-4115572C64E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34" authorId="108" shapeId="0" xr:uid="{192759A8-7BA9-DA4A-9B80-B62E23F1365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35" authorId="109" shapeId="0" xr:uid="{3D85E109-AD95-1E40-BF42-2A91724DF4C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35" authorId="110" shapeId="0" xr:uid="{8FFAEA68-2EA4-C445-90C9-EC22D468FAD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40" authorId="111" shapeId="0" xr:uid="{6BF198EC-25C4-6B4D-84DD-664EDDD5335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40" authorId="112" shapeId="0" xr:uid="{3679B352-15BF-0041-BF74-451BA9A7A36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41" authorId="113" shapeId="0" xr:uid="{83B2E9E0-8F25-BB41-AE22-4C211DE9FC5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41" authorId="114" shapeId="0" xr:uid="{9F500D63-6E9F-7A47-B660-7C9284969F5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42" authorId="115" shapeId="0" xr:uid="{E9A700C3-E2F5-954A-9278-5FE07CCC590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146" authorId="116" shapeId="0" xr:uid="{997898F1-730F-C043-A726-89E8D1AFC19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Tol: 11kWh/kg -&gt; 1tTol/a=(1000kg*11kWh/kg)/8760h=1,256kW
Antwort:
    Sehr große Unterschiede zu den beiden unteren Werten -&gt; Fehler?
</t>
      </text>
    </comment>
    <comment ref="G147" authorId="117" shapeId="0" xr:uid="{37292871-D5F7-D248-94EE-5A2F7138C05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Sehr große Unterschiede zu den beiden unteren Werten
Antwort:
    -&gt; Fehler?
</t>
      </text>
    </comment>
    <comment ref="M148" authorId="118" shapeId="0" xr:uid="{FAC0BDCB-F0A6-1748-B71E-44A1731DF7B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48" authorId="119" shapeId="0" xr:uid="{E96CFA05-0B9A-6646-8ACD-5F10961FBDA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AO148" authorId="120" shapeId="0" xr:uid="{470E5CB8-66A3-EB48-9C2E-2AFC1141900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weil Extrapolation hätte Wert über 100 ergeben
</t>
      </text>
    </comment>
    <comment ref="M149" authorId="121" shapeId="0" xr:uid="{11A7B044-2877-4E49-89E1-D3FC2567684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49" authorId="122" shapeId="0" xr:uid="{7B231529-4CA8-3C4F-A6E1-5AC27EC277D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153" authorId="123" shapeId="0" xr:uid="{2EC5F6E6-B63E-8547-B795-6E88872F689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Sehr große Unterschiede zu den beiden unteren Werten
</t>
      </text>
    </comment>
    <comment ref="M154" authorId="124" shapeId="0" xr:uid="{D46DA047-251B-7545-A556-A485B44386D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54" authorId="125" shapeId="0" xr:uid="{A8A2096B-9DDA-C946-8FB9-BDCDF3D3A60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55" authorId="126" shapeId="0" xr:uid="{D33735AA-7766-1446-B5F4-E02C4B3E66C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55" authorId="127" shapeId="0" xr:uid="{C6838838-3C4C-7344-85C2-885A0A422F0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163" authorId="128" shapeId="0" xr:uid="{C0849C34-778F-4245-B02C-19145FC8486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Formel in Abhängigkeit der Leistung
15000*Pel[kW]^0,6089*2,5
</t>
      </text>
    </comment>
    <comment ref="G168" authorId="129" shapeId="0" xr:uid="{BB7CCF7A-1849-6D4E-962E-7F574A5B43B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Anlagengröße angegeben
Antwort:
    Umrechnung von tH2/a in kWH2 -&gt; (1000kg*33,33kWh/kg/(8760h)) = 3,805 kW
</t>
      </text>
    </comment>
    <comment ref="G169" authorId="130" shapeId="0" xr:uid="{54F19FD6-EDD8-924B-8185-987BBC86B18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Anlagengröße: 260ktH2/a=712,33t/d
</t>
      </text>
    </comment>
    <comment ref="G170" authorId="131" shapeId="0" xr:uid="{DDE5E225-DD97-714C-A8F2-944CAC70B81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Formel in Abhängigkeit der Anlagengröße -&gt; x [t/d]
Antwort:
    =((105*10^6)*(x/50)^0,66)/(x*365)/3,805
</t>
      </text>
    </comment>
    <comment ref="I170" authorId="132" shapeId="0" xr:uid="{1AE164A5-8882-4C46-9597-4113C7C308E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=((105*10^6)*(x/50)^0,66)/(x*365)/3,805
</t>
      </text>
    </comment>
    <comment ref="L170" authorId="133" shapeId="0" xr:uid="{A84A3754-ED66-EB4C-BB93-0EABD9FBB7A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=((105*10^6)*(x/50)^0,66)/(x*365)/3,805
</t>
      </text>
    </comment>
    <comment ref="M171" authorId="134" shapeId="0" xr:uid="{16971806-BABD-FA43-B3D4-E50697E3905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71" authorId="135" shapeId="0" xr:uid="{997BCEAA-F62E-9845-98E0-51E3114EC43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72" authorId="136" shapeId="0" xr:uid="{8551CD8D-96E1-F045-9931-F35958DC47E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72" authorId="137" shapeId="0" xr:uid="{9E74153F-FD36-4D48-9BB4-CAF0AC87F64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73" authorId="138" shapeId="0" xr:uid="{845ED60C-8BE5-8B4F-8A23-E1E9729E268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73" authorId="139" shapeId="0" xr:uid="{D049AB3F-C713-194B-8691-0C6EEF215EF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77" authorId="140" shapeId="0" xr:uid="{041FE3C0-3F92-1E4F-8DA9-CD019C2B1EA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77" authorId="141" shapeId="0" xr:uid="{CE5CEF2A-2C16-5543-9D87-116B3173CC2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78" authorId="142" shapeId="0" xr:uid="{69D6C04D-13D9-CB45-9BBF-EB277D66ECA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78" authorId="143" shapeId="0" xr:uid="{4A17C279-D4FB-D845-8BB4-B5D00C21C88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83" authorId="144" shapeId="0" xr:uid="{325F2E30-4438-D947-B85B-0F8087234FF5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83" authorId="145" shapeId="0" xr:uid="{8A920346-3C20-9042-998D-953C47CF89B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188" authorId="146" shapeId="0" xr:uid="{F678DA7A-42FC-DF4E-BF2E-9883EA97042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945 $2017/tNH3 (Einheiten! -&gt; hier nicht pro Leistung)
</t>
      </text>
    </comment>
    <comment ref="I188" authorId="147" shapeId="0" xr:uid="{141B2356-B6A4-7E49-AA58-3E64DE8864B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855 $2017/tNH3 (Einheiten! -&gt; hier nicht pro Leistung)
</t>
      </text>
    </comment>
    <comment ref="L188" authorId="148" shapeId="0" xr:uid="{ABB97456-D50C-D045-AEF1-6A0F3C7DC7C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760 $2017/tNH3 (Einheiten! -&gt; hier nicht pro Leistung)
</t>
      </text>
    </comment>
    <comment ref="N188" authorId="149" shapeId="0" xr:uid="{E8B55229-6C63-9445-A18A-5C2F2578D1B5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Verändert sich noch, sobald etwas in F24 eingetragen wird
</t>
      </text>
    </comment>
    <comment ref="M189" authorId="150" shapeId="0" xr:uid="{59E1249D-A15D-A04B-944F-639E32900EB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89" authorId="151" shapeId="0" xr:uid="{23A1E3B6-08F1-BE43-86D5-AD48E5BF99E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90" authorId="152" shapeId="0" xr:uid="{A331ACC6-84C2-984C-90C6-1B3C6B22D98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90" authorId="153" shapeId="0" xr:uid="{7D68AFD8-FC66-1942-9527-E9C935A3B585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95" authorId="154" shapeId="0" xr:uid="{DCADDA61-1DE6-2240-BA65-587C714C4C1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95" authorId="155" shapeId="0" xr:uid="{BA260CAC-BB09-5740-8311-6756C237808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196" authorId="156" shapeId="0" xr:uid="{56075B3E-3BCE-0D4B-8EC3-D8CA11D4431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96" authorId="157" shapeId="0" xr:uid="{8CAF7D23-9A24-6948-8DF8-026AC0C0C6B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197" authorId="158" shapeId="0" xr:uid="{7FF7A91C-6E68-FA4B-B505-C1402E81354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201" authorId="159" shapeId="0" xr:uid="{95355B7F-A588-2A41-82B1-02A169A3B4D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Tol: 11kWh/kg -&gt; 1tTol/a=(1000kg*11kWh/kg)/8760h=1,256kW
Antwort:
    Sehr große Unterschiede zu den beiden unteren Werten -&gt; Fehler?
</t>
      </text>
    </comment>
    <comment ref="G202" authorId="160" shapeId="0" xr:uid="{7359CFCF-4EDC-294B-99E3-D12E50211E4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Sehr große Unterschiede zu den beiden unteren Werten
Antwort:
    -&gt; Fehler?
</t>
      </text>
    </comment>
    <comment ref="M203" authorId="161" shapeId="0" xr:uid="{0D7BCA49-3EBF-CA46-9F6B-5C5C308F815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203" authorId="162" shapeId="0" xr:uid="{D3824DB1-6E70-FD40-A652-7717A5BACD4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AO203" authorId="163" shapeId="0" xr:uid="{4E420A7F-CF38-9147-8C31-A3230BEACE5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weil Extrapolation hätte Wert über 100 ergeben
</t>
      </text>
    </comment>
    <comment ref="M204" authorId="164" shapeId="0" xr:uid="{44360A87-2D29-7E47-9A20-71E199755A5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204" authorId="165" shapeId="0" xr:uid="{E7980448-E0FC-8D44-9065-4CAED46888E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208" authorId="166" shapeId="0" xr:uid="{CBD00FF1-D0DA-294F-AADB-371F7122A5B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Sehr große Unterschiede zu den beiden unteren Werten
</t>
      </text>
    </comment>
    <comment ref="M209" authorId="167" shapeId="0" xr:uid="{15D212BA-C0D5-B94D-B536-7DFFD83804F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209" authorId="168" shapeId="0" xr:uid="{4B75669D-69C7-1A40-8A19-071D1AD0DCF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M210" authorId="169" shapeId="0" xr:uid="{CAF93B95-8AB3-B341-A5EB-5729801B586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T210" authorId="170" shapeId="0" xr:uid="{D162DED5-649B-244B-AB29-EABADF66130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Werte sonst bei Extrapolation schon zu niedrig
</t>
      </text>
    </comment>
    <comment ref="G218" authorId="171" shapeId="0" xr:uid="{BD46B9E6-8946-8C4B-B2B7-10096C8288E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Formel in Abhängigkeit der Leistung
15000*Pel[kW]^0,6089*2,5
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tc={6C240BB2-D7E4-084A-8A3A-293812EDF272}</author>
    <author>tc={3A54026C-90A7-1F4B-9A87-4A13D4A1428F}</author>
    <author>tc={30E5F5A9-8B2E-44E9-97D6-92DD5350BEAB}</author>
    <author>tc={44983CED-73D3-9248-996A-D966251A5721}</author>
    <author>tc={E1A9E895-C924-B640-A78F-7CE1E02C8752}</author>
    <author>tc={8F0B821A-B2DB-9F49-A598-E40414F9F939}</author>
    <author>tc={71742B07-D672-F148-84B5-BF0F3DBE6929}</author>
    <author>tc={2E8CA544-97B0-0D4E-8CD0-9CE2DCAFD34D}</author>
    <author>tc={AAD7E49A-96AD-3A46-B827-44B26721E9A0}</author>
    <author>tc={0AF57AF9-8B03-4244-93FA-0F34171F5E44}</author>
    <author>tc={AE6DDAE7-903B-4988-88B3-9F7596F6D779}</author>
    <author>tc={26FE7243-CCE8-884F-8E6A-E747F0F47217}</author>
    <author>tc={A10F4CC7-F9CF-FA4B-9B74-3B9D6D9B55F1}</author>
    <author>tc={EE74174E-C10C-EB4A-94B2-068770962933}</author>
    <author>tc={995EE7E1-2BEC-644E-BC7B-B3582E432843}</author>
    <author>tc={7247AA80-F385-6645-89EE-A5806E11FCA0}</author>
    <author>tc={97EBFE90-E1CB-EB4E-9122-0D259A0BDD9E}</author>
    <author>tc={3CB54883-FCC6-F54B-823F-3FA508D0C529}</author>
    <author>tc={5F1E8FAA-A7F7-3741-8937-4F5A82532687}</author>
    <author>tc={EFD9043C-78DF-42F1-9566-F7AA7C4F4BCF}</author>
    <author>tc={177BBF51-47FD-2A4A-B968-16A1A6C10B5C}</author>
    <author>tc={9D3FFE9C-5EE6-764B-AB71-D5E2C6E833EF}</author>
    <author>tc={6F1A0E3B-5A05-174B-93FF-2561B6C1C4BA}</author>
    <author>tc={7BE101B7-5367-1E48-A0F7-D5BAEAE52B50}</author>
    <author>tc={9C859470-8FC1-B94E-B08C-A36D2686CEF1}</author>
    <author>tc={A42658E5-75F0-CB4D-A9D4-17FEDBDA553E}</author>
    <author>tc={8934A3C5-D52F-CB4B-81D1-2EFB5C462E89}</author>
    <author>tc={41B32769-AD70-1843-8A72-DAA6653592BE}</author>
    <author>tc={1664239C-ABC6-4766-A29C-18F60F0A9740}</author>
    <author>tc={D9D00D29-1ADE-0B46-93A7-E9A8D5AAEE07}</author>
    <author>tc={338E2BB3-DF83-3047-A9FD-822B6C6C939D}</author>
    <author>tc={65EF0FCB-44C3-D242-B619-074304402038}</author>
    <author>tc={6DA28BA7-A979-874C-8B09-F0DED22C797E}</author>
    <author>tc={D5B43D44-C241-4A42-839B-7392E6CC3EAD}</author>
    <author>tc={C1229CBD-9CCA-8142-9AF1-9533DF6D5B0B}</author>
    <author>tc={2DA4657B-01A1-E147-8399-840757D5A3D5}</author>
  </authors>
  <commentList>
    <comment ref="AI1" authorId="0" shapeId="0" xr:uid="{6C240BB2-D7E4-084A-8A3A-293812EDF27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Boil-off: 0,2%/d 
Manchmal auch Auslastung (utilization) angegeben
</t>
      </text>
    </comment>
    <comment ref="B3" authorId="1" shapeId="0" xr:uid="{3A54026C-90A7-1F4B-9A87-4A13D4A1428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Daten ohne wichtige Angaben wie bspw. Durchmesser oder Fließgeschwindigkeit -&gt; daher eher unbrauchbar
</t>
      </text>
    </comment>
    <comment ref="G4" authorId="2" shapeId="0" xr:uid="{30E5F5A9-8B2E-44E9-97D6-92DD5350BEA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haben IEA Daten verwendet
</t>
      </text>
    </comment>
    <comment ref="H4" authorId="3" shapeId="0" xr:uid="{44983CED-73D3-9248-996A-D966251A572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Gleichbleibende Kosten werden in EWI für die IEA-Daten angenommen
</t>
      </text>
    </comment>
    <comment ref="G39" authorId="4" shapeId="0" xr:uid="{E1A9E895-C924-B640-A78F-7CE1E02C875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IEA-Quelle wurde für 2020 als Datengrundlage verwendet
</t>
      </text>
    </comment>
    <comment ref="M39" authorId="5" shapeId="0" xr:uid="{8F0B821A-B2DB-9F49-A598-E40414F9F93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 sonst sehr klein geworden wäre
</t>
      </text>
    </comment>
    <comment ref="T39" authorId="6" shapeId="0" xr:uid="{71742B07-D672-F148-84B5-BF0F3DBE692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
</t>
      </text>
    </comment>
    <comment ref="G45" authorId="7" shapeId="0" xr:uid="{2E8CA544-97B0-0D4E-8CD0-9CE2DCAFD34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Es wurde mit einem Heizwert von 2 kWh/kg_LOHC gerechnet
https://www.bundestag.de/resource/blob/816048/454e182d5956d45a664da9eb85486f76/WD-8-058-20-pdf-data.pdf
</t>
      </text>
    </comment>
    <comment ref="I52" authorId="8" shapeId="0" xr:uid="{AAD7E49A-96AD-3A46-B827-44B26721E9A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Heizwert Ammoniak 5,2 kWh/kg
</t>
      </text>
    </comment>
    <comment ref="AI58" authorId="9" shapeId="0" xr:uid="{0AF57AF9-8B03-4244-93FA-0F34171F5E4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Boil-off: 0,2%/d 
Manchmal auch Auslastung (utilization) angegeben
</t>
      </text>
    </comment>
    <comment ref="B60" authorId="10" shapeId="0" xr:uid="{AE6DDAE7-903B-4988-88B3-9F7596F6D77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Daten ohne wichtige Angaben wie bspw. Durchmesser oder Fließgeschwindigkeit -&gt; daher eher unbrauchbar
</t>
      </text>
    </comment>
    <comment ref="G61" authorId="11" shapeId="0" xr:uid="{26FE7243-CCE8-884F-8E6A-E747F0F4721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haben IEA Daten verwendet
</t>
      </text>
    </comment>
    <comment ref="H61" authorId="12" shapeId="0" xr:uid="{A10F4CC7-F9CF-FA4B-9B74-3B9D6D9B55F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Gleichbleibende Kosten werden in EWI für die IEA-Daten angenommen
</t>
      </text>
    </comment>
    <comment ref="G96" authorId="13" shapeId="0" xr:uid="{EE74174E-C10C-EB4A-94B2-06877096293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IEA-Quelle wurde für 2020 als Datengrundlage verwendet
</t>
      </text>
    </comment>
    <comment ref="M96" authorId="14" shapeId="0" xr:uid="{995EE7E1-2BEC-644E-BC7B-B3582E43284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 sonst sehr klein geworden wäre
</t>
      </text>
    </comment>
    <comment ref="T96" authorId="15" shapeId="0" xr:uid="{7247AA80-F385-6645-89EE-A5806E11FCA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
</t>
      </text>
    </comment>
    <comment ref="G102" authorId="16" shapeId="0" xr:uid="{97EBFE90-E1CB-EB4E-9122-0D259A0BDD9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Es wurde mit einem Heizwert von 2 kWh/kg_LOHC gerechnet
https://www.bundestag.de/resource/blob/816048/454e182d5956d45a664da9eb85486f76/WD-8-058-20-pdf-data.pdf
</t>
      </text>
    </comment>
    <comment ref="I109" authorId="17" shapeId="0" xr:uid="{3CB54883-FCC6-F54B-823F-3FA508D0C52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Heizwert Ammoniak 5,2 kWh/kg
</t>
      </text>
    </comment>
    <comment ref="AI115" authorId="18" shapeId="0" xr:uid="{5F1E8FAA-A7F7-3741-8937-4F5A8253268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Boil-off: 0,2%/d 
Manchmal auch Auslastung (utilization) angegeben
</t>
      </text>
    </comment>
    <comment ref="B117" authorId="19" shapeId="0" xr:uid="{EFD9043C-78DF-42F1-9566-F7AA7C4F4BC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Daten ohne wichtige Angaben wie bspw. Durchmesser oder Fließgeschwindigkeit -&gt; daher eher unbrauchbar
</t>
      </text>
    </comment>
    <comment ref="G118" authorId="20" shapeId="0" xr:uid="{177BBF51-47FD-2A4A-B968-16A1A6C10B5C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haben IEA Daten verwendet
</t>
      </text>
    </comment>
    <comment ref="H118" authorId="21" shapeId="0" xr:uid="{9D3FFE9C-5EE6-764B-AB71-D5E2C6E833E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Gleichbleibende Kosten werden in EWI für die IEA-Daten angenommen
</t>
      </text>
    </comment>
    <comment ref="G153" authorId="22" shapeId="0" xr:uid="{6F1A0E3B-5A05-174B-93FF-2561B6C1C4B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IEA-Quelle wurde für 2020 als Datengrundlage verwendet
</t>
      </text>
    </comment>
    <comment ref="M153" authorId="23" shapeId="0" xr:uid="{7BE101B7-5367-1E48-A0F7-D5BAEAE52B5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 sonst sehr klein geworden wäre
</t>
      </text>
    </comment>
    <comment ref="T153" authorId="24" shapeId="0" xr:uid="{9C859470-8FC1-B94E-B08C-A36D2686CEF1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
</t>
      </text>
    </comment>
    <comment ref="G159" authorId="25" shapeId="0" xr:uid="{A42658E5-75F0-CB4D-A9D4-17FEDBDA553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Es wurde mit einem Heizwert von 2 kWh/kg_LOHC gerechnet
https://www.bundestag.de/resource/blob/816048/454e182d5956d45a664da9eb85486f76/WD-8-058-20-pdf-data.pdf
</t>
      </text>
    </comment>
    <comment ref="I166" authorId="26" shapeId="0" xr:uid="{8934A3C5-D52F-CB4B-81D1-2EFB5C462E8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Heizwert Ammoniak 5,2 kWh/kg
</t>
      </text>
    </comment>
    <comment ref="AI172" authorId="27" shapeId="0" xr:uid="{41B32769-AD70-1843-8A72-DAA6653592B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Boil-off: 0,2%/d 
Manchmal auch Auslastung (utilization) angegeben
</t>
      </text>
    </comment>
    <comment ref="B174" authorId="28" shapeId="0" xr:uid="{1664239C-ABC6-4766-A29C-18F60F0A974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Daten ohne wichtige Angaben wie bspw. Durchmesser oder Fließgeschwindigkeit -&gt; daher eher unbrauchbar
</t>
      </text>
    </comment>
    <comment ref="G175" authorId="29" shapeId="0" xr:uid="{D9D00D29-1ADE-0B46-93A7-E9A8D5AAEE0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haben IEA Daten verwendet
</t>
      </text>
    </comment>
    <comment ref="H175" authorId="30" shapeId="0" xr:uid="{338E2BB3-DF83-3047-A9FD-822B6C6C939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Gleichbleibende Kosten werden in EWI für die IEA-Daten angenommen
</t>
      </text>
    </comment>
    <comment ref="G210" authorId="31" shapeId="0" xr:uid="{65EF0FCB-44C3-D242-B619-07430440203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IEA-Quelle wurde für 2020 als Datengrundlage verwendet
</t>
      </text>
    </comment>
    <comment ref="M210" authorId="32" shapeId="0" xr:uid="{6DA28BA7-A979-874C-8B09-F0DED22C797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zu 2050 angenommen, da Wert sonst sehr klein geworden wäre
</t>
      </text>
    </comment>
    <comment ref="T210" authorId="33" shapeId="0" xr:uid="{D5B43D44-C241-4A42-839B-7392E6CC3EA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
</t>
      </text>
    </comment>
    <comment ref="G216" authorId="34" shapeId="0" xr:uid="{C1229CBD-9CCA-8142-9AF1-9533DF6D5B0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Es wurde mit einem Heizwert von 2 kWh/kg_LOHC gerechnet
https://www.bundestag.de/resource/blob/816048/454e182d5956d45a664da9eb85486f76/WD-8-058-20-pdf-data.pdf
</t>
      </text>
    </comment>
    <comment ref="I223" authorId="35" shapeId="0" xr:uid="{2DA4657B-01A1-E147-8399-840757D5A3D5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Heizwert Ammoniak 5,2 kWh/kg
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tc={CC34EDD5-8673-BD43-AB65-AC188559FF44}</author>
    <author>tc={08E57DCB-2D87-5347-AF4C-01CB121EDAE7}</author>
    <author>tc={10D8A390-B5EA-D347-9ED7-3FD09F097593}</author>
    <author>tc={49F13EAD-FBF7-E54E-9284-3399F3A129E9}</author>
    <author>tc={75F289FD-3D86-AC44-ADA3-E19C16AE4318}</author>
    <author>tc={6A2B5BF9-B451-5F4A-9FE3-534C24CE8D62}</author>
    <author>tc={69A992E2-C111-A349-A5FD-237A88BF6DCF}</author>
    <author>tc={20C74F26-1876-7A4B-B3B9-E389FB67DA1D}</author>
    <author>tc={1F8335D7-5510-6742-9A37-48AAEF911066}</author>
    <author>tc={D9A63BE1-F009-2844-912D-5F0416F1CF32}</author>
    <author>tc={AD15E4C8-C4B2-124D-B461-25B551AD5BAD}</author>
    <author>tc={D25A67C4-D851-264E-8BAC-10A487A86F90}</author>
    <author>tc={85D9CD0A-95F4-BC49-8D43-81299959C86B}</author>
    <author>tc={FA2495B0-1BC8-5B4D-982E-F7D7695C163A}</author>
    <author>tc={193573DF-5859-C348-A54E-80305CBC2BBE}</author>
    <author>tc={DA0719D3-1B59-DC4A-B88E-49256BF727E8}</author>
  </authors>
  <commentList>
    <comment ref="R16" authorId="0" shapeId="0" xr:uid="{CC34EDD5-8673-BD43-AB65-AC188559FF44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 des 2030er und 2040er Wertes
</t>
      </text>
    </comment>
    <comment ref="S16" authorId="1" shapeId="0" xr:uid="{08E57DCB-2D87-5347-AF4C-01CB121EDAE7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Konstanta angenommen, da sonst zu niedrig
</t>
      </text>
    </comment>
    <comment ref="T16" authorId="2" shapeId="0" xr:uid="{10D8A390-B5EA-D347-9ED7-3FD09F097593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Konstanta angenommen, da sonst zu niedrig
</t>
      </text>
    </comment>
    <comment ref="T23" authorId="3" shapeId="0" xr:uid="{49F13EAD-FBF7-E54E-9284-3399F3A129E9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sonst zu niedrig
</t>
      </text>
    </comment>
    <comment ref="R47" authorId="4" shapeId="0" xr:uid="{75F289FD-3D86-AC44-ADA3-E19C16AE431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 des 2030er und 2040er Wertes
</t>
      </text>
    </comment>
    <comment ref="S47" authorId="5" shapeId="0" xr:uid="{6A2B5BF9-B451-5F4A-9FE3-534C24CE8D6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Konstanta angenommen, da sonst zu niedrig
</t>
      </text>
    </comment>
    <comment ref="T47" authorId="6" shapeId="0" xr:uid="{69A992E2-C111-A349-A5FD-237A88BF6DCF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Konstanta angenommen, da sonst zu niedrig
</t>
      </text>
    </comment>
    <comment ref="T54" authorId="7" shapeId="0" xr:uid="{20C74F26-1876-7A4B-B3B9-E389FB67DA1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sonst zu niedrig
</t>
      </text>
    </comment>
    <comment ref="R78" authorId="8" shapeId="0" xr:uid="{1F8335D7-5510-6742-9A37-48AAEF911066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 des 2030er und 2040er Wertes
</t>
      </text>
    </comment>
    <comment ref="S78" authorId="9" shapeId="0" xr:uid="{D9A63BE1-F009-2844-912D-5F0416F1CF32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Konstanta angenommen, da sonst zu niedrig
</t>
      </text>
    </comment>
    <comment ref="T78" authorId="10" shapeId="0" xr:uid="{AD15E4C8-C4B2-124D-B461-25B551AD5BAD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Konstanta angenommen, da sonst zu niedrig
</t>
      </text>
    </comment>
    <comment ref="T85" authorId="11" shapeId="0" xr:uid="{D25A67C4-D851-264E-8BAC-10A487A86F90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sonst zu niedrig
</t>
      </text>
    </comment>
    <comment ref="R109" authorId="12" shapeId="0" xr:uid="{85D9CD0A-95F4-BC49-8D43-81299959C86B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Extrapolation des 2030er und 2040er Wertes
</t>
      </text>
    </comment>
    <comment ref="S109" authorId="13" shapeId="0" xr:uid="{FA2495B0-1BC8-5B4D-982E-F7D7695C163A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Konstanta angenommen, da sonst zu niedrig
</t>
      </text>
    </comment>
    <comment ref="T109" authorId="14" shapeId="0" xr:uid="{193573DF-5859-C348-A54E-80305CBC2BBE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Konstanta angenommen, da sonst zu niedrig
</t>
      </text>
    </comment>
    <comment ref="T116" authorId="15" shapeId="0" xr:uid="{DA0719D3-1B59-DC4A-B88E-49256BF727E8}">
      <text>
        <t xml:space="preserve"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Konstant angenommen, da sonst zu niedrig
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tc={3E475C8F-E799-485A-90ED-7B759D14040F}</author>
    <author>tc={F1017FD1-ED3D-4524-A09D-EF1200BDABFB}</author>
    <author>tc={EE8B616F-0DE2-493C-928A-155CACF7B49F}</author>
    <author>tc={E08CD642-2EE6-4C9A-A3BC-5D9F9A34F0C9}</author>
    <author>tc={644F1EBF-24D3-4976-A1FB-8579240E20E4}</author>
    <author>tc={C05A20F4-47FA-4553-BE99-C2155C939A2B}</author>
    <author>tc={10CDED3E-E511-41E1-BA6C-4A25CC048AC6}</author>
    <author>tc={BF60AE1E-22E8-4079-9825-08AD2DD9741C}</author>
  </authors>
  <commentList>
    <comment ref="H4" authorId="0" shapeId="0" xr:uid="{3E475C8F-E799-485A-90ED-7B759D14040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Kostensenkung wie bei Pypsa angenommen</t>
      </text>
    </comment>
    <comment ref="J5" authorId="1" shapeId="0" xr:uid="{F1017FD1-ED3D-4524-A09D-EF1200BDABF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Kostensenkung wie bei Pypsa angenommen</t>
      </text>
    </comment>
    <comment ref="H17" authorId="2" shapeId="0" xr:uid="{EE8B616F-0DE2-493C-928A-155CACF7B49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Kostensenkung wie bei Pypsa angenommen</t>
      </text>
    </comment>
    <comment ref="J18" authorId="3" shapeId="0" xr:uid="{E08CD642-2EE6-4C9A-A3BC-5D9F9A34F0C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Kostensenkung wie bei Pypsa angenommen</t>
      </text>
    </comment>
    <comment ref="H30" authorId="4" shapeId="0" xr:uid="{644F1EBF-24D3-4976-A1FB-8579240E20E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Kostensenkung wie bei Pypsa angenommen</t>
      </text>
    </comment>
    <comment ref="J31" authorId="5" shapeId="0" xr:uid="{C05A20F4-47FA-4553-BE99-C2155C939A2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Kostensenkung wie bei Pypsa angenommen</t>
      </text>
    </comment>
    <comment ref="H43" authorId="6" shapeId="0" xr:uid="{10CDED3E-E511-41E1-BA6C-4A25CC048AC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Kostensenkung wie bei Pypsa angenommen</t>
      </text>
    </comment>
    <comment ref="J44" authorId="7" shapeId="0" xr:uid="{BF60AE1E-22E8-4079-9825-08AD2DD9741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Kostensenkung wie bei Pypsa angenommen</t>
      </text>
    </comment>
  </commentList>
</comments>
</file>

<file path=xl/sharedStrings.xml><?xml version="1.0" encoding="utf-8"?>
<sst xmlns="http://schemas.openxmlformats.org/spreadsheetml/2006/main" count="3352" uniqueCount="530">
  <si>
    <t>Kategorie</t>
  </si>
  <si>
    <t>Technologie</t>
  </si>
  <si>
    <t>Invests</t>
  </si>
  <si>
    <t>FOM</t>
  </si>
  <si>
    <t>VOM</t>
  </si>
  <si>
    <t>Lebensdauer</t>
  </si>
  <si>
    <t>Effizienz</t>
  </si>
  <si>
    <t>Literatur</t>
  </si>
  <si>
    <t>Stromerzeugung</t>
  </si>
  <si>
    <t>Offshore</t>
  </si>
  <si>
    <t>1,4,5,6,7,8,9,13,23</t>
  </si>
  <si>
    <t>1,4,5,7,8,9,23</t>
  </si>
  <si>
    <t>4,6,8</t>
  </si>
  <si>
    <t>1,4,5,8,23</t>
  </si>
  <si>
    <t>/</t>
  </si>
  <si>
    <t>Onshore</t>
  </si>
  <si>
    <t>PV Freifläche</t>
  </si>
  <si>
    <t>1,4,8,23</t>
  </si>
  <si>
    <t>EWI-Köln</t>
  </si>
  <si>
    <t>Link</t>
  </si>
  <si>
    <t>PV Gebäude</t>
  </si>
  <si>
    <t>4,5,8,13</t>
  </si>
  <si>
    <t>4,5,8</t>
  </si>
  <si>
    <t>IEA - FoH2</t>
  </si>
  <si>
    <t>Kohle</t>
  </si>
  <si>
    <t>4,6,8,9,23</t>
  </si>
  <si>
    <t>4,8,9,23</t>
  </si>
  <si>
    <t>4,8,23</t>
  </si>
  <si>
    <t>H2Council</t>
  </si>
  <si>
    <t>Nuklear</t>
  </si>
  <si>
    <t>4,6,13,23</t>
  </si>
  <si>
    <t>PyPSA</t>
  </si>
  <si>
    <t>Gas GuD</t>
  </si>
  <si>
    <t>4,5,6,8,23</t>
  </si>
  <si>
    <t>4,5,8,23</t>
  </si>
  <si>
    <t>Agora</t>
  </si>
  <si>
    <t>Elektrolyse</t>
  </si>
  <si>
    <t>PEM</t>
  </si>
  <si>
    <t>7,9,10</t>
  </si>
  <si>
    <t>IEA - WEM</t>
  </si>
  <si>
    <t>Daten  in der Excel im Sciebo-Ordner unter AP 2.2 -&gt; GECM_2022_Key input.xlsx (Daten waren vorher in Tabellen auf der Website abgebildet)</t>
  </si>
  <si>
    <t>AEL</t>
  </si>
  <si>
    <t>Prognos</t>
  </si>
  <si>
    <t>SOEC</t>
  </si>
  <si>
    <t>1,7,10</t>
  </si>
  <si>
    <t>Fraun-ISE</t>
  </si>
  <si>
    <t>undefiniert</t>
  </si>
  <si>
    <t>1,2,3,4,5,6</t>
  </si>
  <si>
    <t>1,2,4,5</t>
  </si>
  <si>
    <t>1,2,4</t>
  </si>
  <si>
    <t>Kopernikus</t>
  </si>
  <si>
    <t>Umwandlung</t>
  </si>
  <si>
    <t>Verflüssigung</t>
  </si>
  <si>
    <t>1,2,4,9,11</t>
  </si>
  <si>
    <t>1,2,4,11</t>
  </si>
  <si>
    <t>Agora 2</t>
  </si>
  <si>
    <t>Regasification</t>
  </si>
  <si>
    <t>Irena</t>
  </si>
  <si>
    <t>Methanisierung</t>
  </si>
  <si>
    <t>2,4,9</t>
  </si>
  <si>
    <t>EHB</t>
  </si>
  <si>
    <t>Ammoniak</t>
  </si>
  <si>
    <t>2,4,11</t>
  </si>
  <si>
    <t>IEA, NEA</t>
  </si>
  <si>
    <t>zusätzlich eigene Durchschnittsberechnungen für jeweiligen Kontinente durchgeführt (siehe Sciebo AP2.2 -&gt; IEA-NEAProjectedCostsofGeneratingElectricity2020-Datafile)</t>
  </si>
  <si>
    <t>Rückumw. Ammoniak</t>
  </si>
  <si>
    <t>PLANET GbR + Weitere</t>
  </si>
  <si>
    <t>LOHC</t>
  </si>
  <si>
    <t>Gils, Scholz, Pregger  et al</t>
  </si>
  <si>
    <t>Rückumw. LOHC</t>
  </si>
  <si>
    <t>Stiftung Umweltenergierecht</t>
  </si>
  <si>
    <t>Komprimierung</t>
  </si>
  <si>
    <t>Diss. Flamme, Stefan</t>
  </si>
  <si>
    <t>Entsalzung</t>
  </si>
  <si>
    <t>RO-Desalination</t>
  </si>
  <si>
    <t>4,19,20,21</t>
  </si>
  <si>
    <t>Elberry, A.; Thakur, J</t>
  </si>
  <si>
    <t>Transport</t>
  </si>
  <si>
    <t>Pipeline</t>
  </si>
  <si>
    <t>1,2,12</t>
  </si>
  <si>
    <t>Almar Water Solutions</t>
  </si>
  <si>
    <t>umgewid. Pipeline</t>
  </si>
  <si>
    <t>Kizhisseri et al</t>
  </si>
  <si>
    <t>Schiff LH2</t>
  </si>
  <si>
    <t>MDPI</t>
  </si>
  <si>
    <t>Schiff LOHC</t>
  </si>
  <si>
    <t>Parrado et al</t>
  </si>
  <si>
    <t>Schiff Ammoniak</t>
  </si>
  <si>
    <t>Pietzcker et al.</t>
  </si>
  <si>
    <t>Speicherung</t>
  </si>
  <si>
    <t>UGS (komp. H2)</t>
  </si>
  <si>
    <t>2,4,14,15,16,18</t>
  </si>
  <si>
    <t>Li-Ion Akku</t>
  </si>
  <si>
    <t>2,4,5,6,7,8</t>
  </si>
  <si>
    <t>2,5,7,8</t>
  </si>
  <si>
    <t>2,4,5,8</t>
  </si>
  <si>
    <t>CSP + TES</t>
  </si>
  <si>
    <t>CSP</t>
  </si>
  <si>
    <t>Salt storage</t>
  </si>
  <si>
    <t>Des Weiteren ist anzumerken, dass es sich in den einzelnen Tabellen der unterschiedlichen Arbeitsblätter bei den weißen Zellen um intra- oder extrapolierte Werte, als konstant angenommene Werte oder FOM-Werte bei denen pauschal 2% x Regionenfaktor angenommen
 wurde, handelt</t>
  </si>
  <si>
    <t>Dollar -&gt; Euro Kurse</t>
  </si>
  <si>
    <t>StEAM - share\2_Arbeitspakete\AP 1.2\Weltregionen\global</t>
  </si>
  <si>
    <t>Stündliche Arbeitskosten pro Mitarbeiter</t>
  </si>
  <si>
    <t>unbedeutend -&gt; Zwischenschritte</t>
  </si>
  <si>
    <t>Referenzgebiet</t>
  </si>
  <si>
    <t>Region</t>
  </si>
  <si>
    <t>Source</t>
  </si>
  <si>
    <t>Economic activity</t>
  </si>
  <si>
    <t>Jahr</t>
  </si>
  <si>
    <t>Local currency</t>
  </si>
  <si>
    <t>2017 PPP $</t>
  </si>
  <si>
    <t>U.S. dollars</t>
  </si>
  <si>
    <t>Euro</t>
  </si>
  <si>
    <t>BIP 2021 [millions $]</t>
  </si>
  <si>
    <t>BIP 2021 [Millionen €]</t>
  </si>
  <si>
    <t>Euro x BIP</t>
  </si>
  <si>
    <t>%-Anteil BIP_Region</t>
  </si>
  <si>
    <t>Euro x %-BIP_region</t>
  </si>
  <si>
    <t>Arbeitskosten gew.</t>
  </si>
  <si>
    <t>Summe BIP_region</t>
  </si>
  <si>
    <t>Anteil an Gesamt-BIP</t>
  </si>
  <si>
    <t>Q*S</t>
  </si>
  <si>
    <t>Faktorisierung</t>
  </si>
  <si>
    <t>FOM-Faktoren</t>
  </si>
  <si>
    <t>Argentina</t>
  </si>
  <si>
    <t>Südamerika</t>
  </si>
  <si>
    <t>ADM - Sistema Integrado Previsional Argentino</t>
  </si>
  <si>
    <t>C. Manufacturing</t>
  </si>
  <si>
    <t>Europa</t>
  </si>
  <si>
    <t>Armenia</t>
  </si>
  <si>
    <t>Asien</t>
  </si>
  <si>
    <t>ES - Labour-related Establishment Survey</t>
  </si>
  <si>
    <t>Amerika</t>
  </si>
  <si>
    <t>Australia</t>
  </si>
  <si>
    <t>Ozeanien</t>
  </si>
  <si>
    <t>ES - Major Labour Costs Survey</t>
  </si>
  <si>
    <t>Austria</t>
  </si>
  <si>
    <t>ES - Labour Cost Survey</t>
  </si>
  <si>
    <t>Azerbaijan</t>
  </si>
  <si>
    <t>Belarus</t>
  </si>
  <si>
    <t>Belgium</t>
  </si>
  <si>
    <t>Brazil</t>
  </si>
  <si>
    <t>ES - Relaçao Anual de Informaçoes Sociais</t>
  </si>
  <si>
    <t>Bulgaria</t>
  </si>
  <si>
    <t>ES - Annual Enterprises Survey on Number of employees, Wages and salaries and Other labour costs</t>
  </si>
  <si>
    <t>Canada</t>
  </si>
  <si>
    <t>Nordamerika</t>
  </si>
  <si>
    <t>OE - Official Estimates</t>
  </si>
  <si>
    <t>Summe</t>
  </si>
  <si>
    <t>Chile</t>
  </si>
  <si>
    <t>ES - Índice de Remuneraciones y Costo de la Mano de Obra</t>
  </si>
  <si>
    <t>Colombia</t>
  </si>
  <si>
    <t>LFS - Gran Encuesta Integrada de Hogares</t>
  </si>
  <si>
    <t>Costa Rica</t>
  </si>
  <si>
    <t>Lateinamerika</t>
  </si>
  <si>
    <t>LFS - Encuesta Continua de Empleo</t>
  </si>
  <si>
    <t>Croatia</t>
  </si>
  <si>
    <t>ES - Labour cost Survey</t>
  </si>
  <si>
    <t>Cyprus</t>
  </si>
  <si>
    <t>ADM-IR - Ministry of Labour and Social Insurance Records</t>
  </si>
  <si>
    <t>Czechia</t>
  </si>
  <si>
    <t>Denmark</t>
  </si>
  <si>
    <t>ES - Monthly Survey of industrial employment and labour costs</t>
  </si>
  <si>
    <t>Ecuador</t>
  </si>
  <si>
    <t>LFS - Encuesta Nacional de Empleo, Desempleo y SubEmpleo</t>
  </si>
  <si>
    <t>Estonia</t>
  </si>
  <si>
    <t>ES - Survey of Wages and Salaries</t>
  </si>
  <si>
    <t>Finland</t>
  </si>
  <si>
    <t>France</t>
  </si>
  <si>
    <t>ES - Enquête trimestrielle sur l'activité et les conditions d'emploi de la main-d'oeuvre (ACEMO)</t>
  </si>
  <si>
    <t>Georgia</t>
  </si>
  <si>
    <t>ES - Wage Survey</t>
  </si>
  <si>
    <t>Germany</t>
  </si>
  <si>
    <t>Greece</t>
  </si>
  <si>
    <t>China (Hong Kong)</t>
  </si>
  <si>
    <t>ES - Annual Survey of Economic Activities</t>
  </si>
  <si>
    <t>Hungary</t>
  </si>
  <si>
    <t>SNA - National Accounts</t>
  </si>
  <si>
    <t>Iceland</t>
  </si>
  <si>
    <t>ES - Icelandic Survey on Earnings, Wages and Labour cost</t>
  </si>
  <si>
    <t>Ireland</t>
  </si>
  <si>
    <t>ES - Earnings Hours and Employment Costs Survey</t>
  </si>
  <si>
    <t>Israel</t>
  </si>
  <si>
    <t>Italy</t>
  </si>
  <si>
    <t>Japan</t>
  </si>
  <si>
    <t>IW Köln</t>
  </si>
  <si>
    <t>Manufacturing</t>
  </si>
  <si>
    <t>Kazakhstan</t>
  </si>
  <si>
    <t>ADM-EBR - Businesses and Organizations register</t>
  </si>
  <si>
    <t>Latvia</t>
  </si>
  <si>
    <t>ES - Survey of economically Active commercial companies, individual merchants, peasant or fishermen farms, budgetary institutions, foundations, associations or funds, as well as Administrative data.</t>
  </si>
  <si>
    <t>Lithuania</t>
  </si>
  <si>
    <t>Luxembourg</t>
  </si>
  <si>
    <t>OE - Estimations du STATEC</t>
  </si>
  <si>
    <t>Malta</t>
  </si>
  <si>
    <t>EC - Labour Cost Survey</t>
  </si>
  <si>
    <t>Mexico</t>
  </si>
  <si>
    <t>Moldova, Republic of</t>
  </si>
  <si>
    <t>ES - Survey on Employment, Remuneration and Hours of Work</t>
  </si>
  <si>
    <t>Netherlands</t>
  </si>
  <si>
    <t>New Zealand</t>
  </si>
  <si>
    <t>ES - Quarterly Employment Survey</t>
  </si>
  <si>
    <t>North Macedonia</t>
  </si>
  <si>
    <t>ES - Survey on employees and net wages</t>
  </si>
  <si>
    <t>Norway</t>
  </si>
  <si>
    <t>Peru</t>
  </si>
  <si>
    <t>SNA - Cuentas Nacionales del Perú</t>
  </si>
  <si>
    <t>Philippines</t>
  </si>
  <si>
    <t>ES - Integrated Survey</t>
  </si>
  <si>
    <t>Poland</t>
  </si>
  <si>
    <t>Portugal</t>
  </si>
  <si>
    <t>OE - Estimations basées sur l'Enquête Quadriennale sur le Coût de la Main-d'Oeuvre</t>
  </si>
  <si>
    <t>Romania</t>
  </si>
  <si>
    <t>ES - Enquête sur le Coût de la Main-d'oeuvre</t>
  </si>
  <si>
    <t>South Korea</t>
  </si>
  <si>
    <t>Russian Federation</t>
  </si>
  <si>
    <t>ES - Establishments sample Survey on employees' wages by Occupation</t>
  </si>
  <si>
    <t>Slovakia</t>
  </si>
  <si>
    <t>Slovenia</t>
  </si>
  <si>
    <t>Spain</t>
  </si>
  <si>
    <t>ES - Encuesta Anual de Coste Laboral</t>
  </si>
  <si>
    <t>Sweden</t>
  </si>
  <si>
    <t>Switzerland</t>
  </si>
  <si>
    <t>ES - Statistique de l'Emploi</t>
  </si>
  <si>
    <t>Thailand</t>
  </si>
  <si>
    <t>ES - Business trade and service Survey</t>
  </si>
  <si>
    <t>Türkiye</t>
  </si>
  <si>
    <t>Ukraine</t>
  </si>
  <si>
    <t>United Kingdom</t>
  </si>
  <si>
    <t>ES - Annual Survey of Hours and Earnings</t>
  </si>
  <si>
    <t>United States</t>
  </si>
  <si>
    <t>12/2021</t>
  </si>
  <si>
    <t>3. Roadmap des Kopernikus-Projektes „P2X“: Technischer Anhang</t>
  </si>
  <si>
    <t>Excel-Tabelle</t>
  </si>
  <si>
    <t>International labour organization</t>
  </si>
  <si>
    <t>Industrielle Arbeitskosten im internationalen Vergleich</t>
  </si>
  <si>
    <t>Spalte C: C. Manufacturing auswählen</t>
  </si>
  <si>
    <t>Angaben für ca. 50 Länder -&gt; u.a. auch Entwicklung der Labour-costs über die letzten Jahre</t>
  </si>
  <si>
    <t xml:space="preserve"> </t>
  </si>
  <si>
    <t>…</t>
  </si>
  <si>
    <t>USA -&gt; June 2022</t>
  </si>
  <si>
    <t>https://www.bls.gov/eci/#:~:text=Employer%20costs%20for%20private%20industry,percent%20of%20total%20compensation%20costs.</t>
  </si>
  <si>
    <t>Employer costs for private industry workers averaged $27.44 per hour worked for wages and salaries and $11.47 for benefits in June 2022. Insurance costs were $2.96 per hour, accounting for 7.6 percent of total compensation costs.</t>
  </si>
  <si>
    <t>GDP/BIP Tabelle auffindbar unter:</t>
  </si>
  <si>
    <t>sciebo/StEAM - share/2_Arbeitspakete/AP 2.2 -&gt; GDP.xls</t>
  </si>
  <si>
    <t>Raum</t>
  </si>
  <si>
    <t>Referenzdaten</t>
  </si>
  <si>
    <t>Invest [€/kW]</t>
  </si>
  <si>
    <t>Fixe Betriebkosten [€/kWa]</t>
  </si>
  <si>
    <t>Variable Betriebskosten [€/kWh]</t>
  </si>
  <si>
    <t>Lebensdauer [a]</t>
  </si>
  <si>
    <t>Effizienz [%]</t>
  </si>
  <si>
    <t>WACC [%]</t>
  </si>
  <si>
    <t>Kommentar</t>
  </si>
  <si>
    <t>NR</t>
  </si>
  <si>
    <t>Kürzel</t>
  </si>
  <si>
    <t>Veröffentl.</t>
  </si>
  <si>
    <t>nominal</t>
  </si>
  <si>
    <t>real</t>
  </si>
  <si>
    <t>Global</t>
  </si>
  <si>
    <t>LR baseline 16%; optimistischer Fall; 1€=1,1422$</t>
  </si>
  <si>
    <t>LR baseline 16%; pessimistischer Fall; 1€=1,1422$</t>
  </si>
  <si>
    <t>LR optimistic 20%; optimistischer Fall; 1€=1,1422$</t>
  </si>
  <si>
    <t>LR optimistic 20%; pessimistischer Fall; 1€=1,1422$</t>
  </si>
  <si>
    <t>niedriger Fall; 2021er Zahlen für 2020 genommen</t>
  </si>
  <si>
    <t>hoher Fall; 2021er Zahlen für 2020 genommen</t>
  </si>
  <si>
    <t>€2016</t>
  </si>
  <si>
    <t>min.</t>
  </si>
  <si>
    <t>Median</t>
  </si>
  <si>
    <t>max.</t>
  </si>
  <si>
    <t>Photovoltaik
Freifläche</t>
  </si>
  <si>
    <t>niedriger Fall; 2021er Zahlen für 2020 genommen; PV Freifläche</t>
  </si>
  <si>
    <t>hoher Fall; 2021er Zahlen für 2020 genommen; PV Freifläche</t>
  </si>
  <si>
    <t>solar utility</t>
  </si>
  <si>
    <t>Photovoltaik
Gebäude</t>
  </si>
  <si>
    <t>solar rooftop</t>
  </si>
  <si>
    <t>niedriger Fall; 2021er Zahlen für 2020 genommen; PV Dach Kleinanlage</t>
  </si>
  <si>
    <t>hoher Fall; 2021er Zahlen für 2020 genommen; PV Dach Kleinanlage</t>
  </si>
  <si>
    <t>Braunkohle -&gt; lignite</t>
  </si>
  <si>
    <t>Steinkohle -&gt; coal</t>
  </si>
  <si>
    <t>BK; niedrig; Werte aus 2021 für 2020 angenommen</t>
  </si>
  <si>
    <t>BK; hoch; Werte aus 2021 für 2020 angenommen</t>
  </si>
  <si>
    <t>SK; niedrig; Werte aus 2021 für 2020 angenommen</t>
  </si>
  <si>
    <t>SK; hoch; Werte aus 2021 für 2020 angenommen</t>
  </si>
  <si>
    <t>CCGT</t>
  </si>
  <si>
    <t>CSP-tower</t>
  </si>
  <si>
    <t>EU</t>
  </si>
  <si>
    <t>4 bis 7</t>
  </si>
  <si>
    <t>Stated Policies Scenario; 1€=1,1422$; var. Betriebskosten=(Fuel, CO2) und O&amp;M</t>
  </si>
  <si>
    <t>Announced Pledges Scenario; 1€=1,1422$; var. Betriebskosten=(Fuel, CO2) und O&amp;M</t>
  </si>
  <si>
    <t>Sustainable Development Scenario; 1€=1,1422$; var. Betriebskosten=(Fuel, CO2) und O&amp;M</t>
  </si>
  <si>
    <t>Deutschland, €2019;</t>
  </si>
  <si>
    <t>3 bis 6</t>
  </si>
  <si>
    <t>Deutschland, €2019</t>
  </si>
  <si>
    <t>Brennstoffkosten @2020=@2050=1,8€/kW</t>
  </si>
  <si>
    <t>38-50</t>
  </si>
  <si>
    <t>Kohle allgemein, nicht zw. Braun- oder Steinkohle unterschieden; Stated Policies Szenario</t>
  </si>
  <si>
    <t>Kohle allgemein, nicht zw. Braun- oder Steinkohle unterschieden; Announced Pledges Scenario</t>
  </si>
  <si>
    <t>Kohle allgemein, nicht zw. Braun- oder Steinkohle unterschieden; Sustainable Development Scenario</t>
  </si>
  <si>
    <t>Stated Policies Szenario</t>
  </si>
  <si>
    <t>Announced Pledges Scenario</t>
  </si>
  <si>
    <t>Sustainable Development Scenario</t>
  </si>
  <si>
    <t>Gas CCGT; Stated Policies Szenario</t>
  </si>
  <si>
    <t>Gas CCGT; Announced Pledges Scenario</t>
  </si>
  <si>
    <t>Gas CCGT; Sustainable Development Scenario</t>
  </si>
  <si>
    <t>54-60</t>
  </si>
  <si>
    <t>Deutschland</t>
  </si>
  <si>
    <t>USA; Stated Policies Scenario; 1€=1,1422$; var. Betriebskosten=(Fuel, CO2) und O&amp;M</t>
  </si>
  <si>
    <t>USA; Announced Pledges Scenario; 1€=1,1422$; var. Betriebskosten=(Fuel, CO2) und O&amp;M</t>
  </si>
  <si>
    <t>USA; Sustainable Development Scenario; 1€=1,1422$; var. Betriebskosten=(Fuel, CO2) und O&amp;M</t>
  </si>
  <si>
    <t>China; Stated Policies Scenario; 1€=1,1422$; var. Betriebskosten=(Fuel, CO2) und O&amp;M</t>
  </si>
  <si>
    <t>China; Announced Pledges Scenario; 1€=1,1422$; var. Betriebskosten=(Fuel, CO2) und O&amp;M</t>
  </si>
  <si>
    <t>China; Sustainable Development Scenario; 1€=1,1422$; var. Betriebskosten=(Fuel, CO2) und O&amp;M</t>
  </si>
  <si>
    <t>Indien; Stated Policies Scenario; 1€=1,1422$; var. Betriebskosten=(Fuel, CO2) und O&amp;M</t>
  </si>
  <si>
    <t>Indien; Announced Pledges Scenario; 1€=1,1422$; var. Betriebskosten=(Fuel, CO2) und O&amp;M</t>
  </si>
  <si>
    <t>Indien; Sustainable Development Scenario; 1€=1,1422$; var. Betriebskosten=(Fuel, CO2) und O&amp;M</t>
  </si>
  <si>
    <t>China; Kohle allgemein, nicht zw. Braun- oder Steinkohle unterschieden</t>
  </si>
  <si>
    <t>Indien; Kohle allgemein, nicht zw. Braun- oder Steinkohle unterschieden</t>
  </si>
  <si>
    <t>China; Stated Policies Szenario</t>
  </si>
  <si>
    <t>China; Announced Pledges Scenario</t>
  </si>
  <si>
    <t>China; Sustainable Development Scenario</t>
  </si>
  <si>
    <t>Indien; Stated Policies Szenario</t>
  </si>
  <si>
    <t>Indien; Announced Pledges Scenario</t>
  </si>
  <si>
    <t>Indien; Sustainable Development Scenario</t>
  </si>
  <si>
    <t xml:space="preserve">wenig Quellen in denen nach einzelnen Regionen oder Kontinenten aufgeschlüsselt wurde. IEA - WEM Quelle macht dies als einzige eigentlich nur </t>
  </si>
  <si>
    <t>WACC pauschal 8%</t>
  </si>
  <si>
    <t>Estimating Long-Term Global Supply Costs for Low-Carbon Hydrogen</t>
  </si>
  <si>
    <t>Levelized cost of electricity renewable energy technologies</t>
  </si>
  <si>
    <t>Cost Assumptions für alle Jahreszwischenschrite</t>
  </si>
  <si>
    <t>hier: bspw. 2020 off shore wind</t>
  </si>
  <si>
    <t>Kosten und Transformationspfade für strombasierte Energieträger</t>
  </si>
  <si>
    <t>Datei inkl. der Berechnungen befindet sich im Sciebo-Ordner</t>
  </si>
  <si>
    <t>(Sciebo AP2.2 -&gt; IEA-NEAProjectedCostsofGeneratingElectricity2020-Datafile)</t>
  </si>
  <si>
    <t>mehrere Szenarien auf der Website</t>
  </si>
  <si>
    <t>Techno-economic inputs (World Energy Model)</t>
  </si>
  <si>
    <t xml:space="preserve">Excel: Arbeitsblatt -&gt; Energiewirtschaft_Annahmen </t>
  </si>
  <si>
    <t>Klimaneutrales Deutschland 2045</t>
  </si>
  <si>
    <t>Invest [€/(m^3/h)]</t>
  </si>
  <si>
    <t>Fixe Betriebkosten [[€/(m^3/h)]/a</t>
  </si>
  <si>
    <t>Variable Betriebskosten [€/m^3]</t>
  </si>
  <si>
    <t>RO-Entsalzung</t>
  </si>
  <si>
    <t>SWRO Mediterranean Sea; average</t>
  </si>
  <si>
    <t>SWRO Arabian Gulf; average</t>
  </si>
  <si>
    <t>SWRO Red Sea; average</t>
  </si>
  <si>
    <t>Desalination Technologies and Economics: CAPEX, OPEX &amp; Technological Game Changers to Come</t>
  </si>
  <si>
    <t>Prediction of capital cost of ro based desalination plants using machine learning approach</t>
  </si>
  <si>
    <t>Verbreitung von Anlagetypen und Kapazitäten</t>
  </si>
  <si>
    <t>wir haben uns dafür entschlossen nur die RO-Technologie zu betrachten, da sie die größere</t>
  </si>
  <si>
    <t>https://doi.org/10.1016/j.scitotenv.2018.12.076</t>
  </si>
  <si>
    <t>Bedeutung in der Zukunft hat und seriöse Quellen wie PyPSA auch nur sie verwendet haben</t>
  </si>
  <si>
    <t>Is Renewable Energy-Powered Desalination a Viable Solution for Water Stressed Regions? A Case Study in Algarve, Portugal</t>
  </si>
  <si>
    <t>Stacklebensdauer in Betriebsstunden angegeben</t>
  </si>
  <si>
    <t>Niedrigtemp.-elektrolyse (=PEM&amp;AEL laut Quelle); opt. Fall; €2017</t>
  </si>
  <si>
    <t>Niedrigtemp.-elektrolyse (=PEM&amp;AEL laut Quelle); ref. Fall; €2017</t>
  </si>
  <si>
    <t>Niedrigtemp.-elektrolyse (=PEM&amp;AEL laut Quelle); pess. Fall; €2017</t>
  </si>
  <si>
    <t>AEC, Lebensdauer 2020: 25 Jahre -&gt; 2050: 35 Jahre</t>
  </si>
  <si>
    <t>high temp.; base case; 1€=1,1422$</t>
  </si>
  <si>
    <t>77.5</t>
  </si>
  <si>
    <t>high temp.; opt. case; 1€=1,1422$</t>
  </si>
  <si>
    <t>Hochtemp.-elektrolyse; opt. Fall; €2017</t>
  </si>
  <si>
    <t>Hochtemp.-elektrolyse; ref. Fall; €2017</t>
  </si>
  <si>
    <t>Hochtemp.-elektrolyse; pess. Fall; €2017</t>
  </si>
  <si>
    <t>keine
Technologie-
angabe</t>
  </si>
  <si>
    <t>low temp.; base case; 1€=1,1422$</t>
  </si>
  <si>
    <t>low temp.; opt. case; 1€=1,1422$</t>
  </si>
  <si>
    <t>keine Angabe zur Elektrolyseart; "Today" in 2020 eingetragen; "Long Term" in 2050 eingetragen; 95.000 bis 100.000 Betriebsstunden; 1€=1,1297$ ($2017)</t>
  </si>
  <si>
    <t>keine Angabe zur Elektrolyseart; low; 1€=1,1827$</t>
  </si>
  <si>
    <t>keine Angabe zur Elektrolyseart; high; 1€=1,1827$</t>
  </si>
  <si>
    <t>keine Angabe zur Elektrolyseart</t>
  </si>
  <si>
    <t>keine Angabe zur Elektrolyseart; stated policies szenario; 1€=1,1422$</t>
  </si>
  <si>
    <t>keine Angabe zur Elektrolyseart; net zero 2050 szenario; 1€=1,1422$</t>
  </si>
  <si>
    <t>WACC pauschal: 8%</t>
  </si>
  <si>
    <t>IEA G20 Hydrogen report: Assumptions</t>
  </si>
  <si>
    <t>Hydrogen Insights</t>
  </si>
  <si>
    <t>ganz unten auf der Website</t>
  </si>
  <si>
    <t>mehrere Szenarien</t>
  </si>
  <si>
    <t>Word-Datei (von Jan erhalten)</t>
  </si>
  <si>
    <t>müssten prüfen, ob/wie wir die Daten verwenden können,</t>
  </si>
  <si>
    <t>noch nicht oben aufgegriffen</t>
  </si>
  <si>
    <t>da wir diese  von einem Partnerinstitut erhalten haben.</t>
  </si>
  <si>
    <t>Anlagengröße</t>
  </si>
  <si>
    <t>CAPEX</t>
  </si>
  <si>
    <t>OPEX</t>
  </si>
  <si>
    <t>WACC pauschal 6% für alle Technologien und Standorte</t>
  </si>
  <si>
    <t>Die zukünftigen Kosten strombasierter synthetischer Brennstoffe</t>
  </si>
  <si>
    <t>Formel angegeben (in Abhängigkeit der Anlagengröße); in der Tabelle 7.11 in der Kopernikus-Quele sieht es so aus, dass die Zahlen für alle Jahre konstant bleiben</t>
  </si>
  <si>
    <t>Liquid H2, optimistic; USD-&gt; € fürs Jahr 2021 berechnet; CAPEX for (re)conversion do not include the stroage and terminal costs</t>
  </si>
  <si>
    <t>Liquid H2. pessimistic; USD-&gt; € fürs Jahr 2021 berechnet; CAPEX for (re)conversion do not include the stroage and terminal costs</t>
  </si>
  <si>
    <t>Regasifi-
zierung</t>
  </si>
  <si>
    <t>Methan-
isierung</t>
  </si>
  <si>
    <t>Ammonia, optimistic; USD-&gt; € fürs Jahr 2021 berechnet; CAPEX for (re)conversion do not include the stroage and terminal costs</t>
  </si>
  <si>
    <t>Ammonia, pessimistic; USD-&gt; € fürs Jahr 2021 berechnet; CAPEX for (re)conversion do not include the stroage and terminal costs</t>
  </si>
  <si>
    <t>Haber-Bosch</t>
  </si>
  <si>
    <t>Ammoniak-
rück-umwandlung</t>
  </si>
  <si>
    <t>Ammonia cracker</t>
  </si>
  <si>
    <t>LOHC, optimistic; USD-&gt; € fürs Jahr 2021 berechnet; CAPEX for (re)conversion do not include the stroage and terminal costs</t>
  </si>
  <si>
    <t>LOHC, pessimistic; USD-&gt; € fürs Jahr 2021 berechnet; CAPEX for (re)conversion do not include the stroage and terminal costs</t>
  </si>
  <si>
    <t>LOHC-
Rück-
umwandlung</t>
  </si>
  <si>
    <t>Kompri-
mierung</t>
  </si>
  <si>
    <t>low</t>
  </si>
  <si>
    <t>medium</t>
  </si>
  <si>
    <t>high</t>
  </si>
  <si>
    <t>Formeln in Abhängigkeit der Anlagengröße -&gt; Formeln ähnlich zu denen aus Olivers-Arbeitsdokument (siehe unten links auf diesem Arbeitsblatt)</t>
  </si>
  <si>
    <t>Global hydrogen trade to meet the 1.5°C climate goal</t>
  </si>
  <si>
    <t>A European Hydrogen Infrastructure Vision Covering 28 Countries</t>
  </si>
  <si>
    <t>Aus der Datei von Oliver</t>
  </si>
  <si>
    <t>(Arbeitsdokument, Masterarbeit) -&gt; im Sciebo-Ordner</t>
  </si>
  <si>
    <t>Formeln teilweise analog zur Kopernikus-Quelle oben rechts</t>
  </si>
  <si>
    <t>Link: A hydrogen supply...</t>
  </si>
  <si>
    <t>Formeln unten und oben teilweise analog</t>
  </si>
  <si>
    <t>Link: Seasonal storage...</t>
  </si>
  <si>
    <t>Link: Time development...</t>
  </si>
  <si>
    <t>nicht verwendet</t>
  </si>
  <si>
    <t>BET, Prognos ….</t>
  </si>
  <si>
    <t>Wirtschaftlichkeitsbetrachtung der Wasserstofferzeugung aus Offshore-Windstrom</t>
  </si>
  <si>
    <t>S. 136</t>
  </si>
  <si>
    <t>Verdichter</t>
  </si>
  <si>
    <t>Formel von [REU19] ist diesselbe wie oben die Formel aus der Datei von Oliver</t>
  </si>
  <si>
    <t>Invest [€/MW/km]</t>
  </si>
  <si>
    <t>Fixe Betriebkosten [€/km*a]</t>
  </si>
  <si>
    <t>neue Pipeline
d = unbek.</t>
  </si>
  <si>
    <t>Transmissionpipeline</t>
  </si>
  <si>
    <t>neue Pipeline
d = 0,34m</t>
  </si>
  <si>
    <t>low, low OPEX</t>
  </si>
  <si>
    <t>medium, medium OPEX</t>
  </si>
  <si>
    <t>high, high OPEX</t>
  </si>
  <si>
    <t>neue Pipeline
d = 0,825m</t>
  </si>
  <si>
    <t>neue Pipeline offshore
d = 0,825m</t>
  </si>
  <si>
    <t>neue Pipeline
d = 1,2m</t>
  </si>
  <si>
    <t>neue Pipeline offshore
d = 1,2m</t>
  </si>
  <si>
    <t>umg. Pipeline
d = 0,34m</t>
  </si>
  <si>
    <t>umg. Pipeline
d = 0,825m</t>
  </si>
  <si>
    <t>umg. Pipeline offshore
d = 0,825m</t>
  </si>
  <si>
    <t>umg. Pipeline
d = 1,2m</t>
  </si>
  <si>
    <t>umg. Pipeline offshore
d = 1,2m</t>
  </si>
  <si>
    <t>Fixe Betriebkosten [€/MW/km]/a</t>
  </si>
  <si>
    <t>opt.</t>
  </si>
  <si>
    <t>pess.</t>
  </si>
  <si>
    <t>Schiff
Ammoniak</t>
  </si>
  <si>
    <t>allgemein große Abwechungen zwischen PyPSA und IRENA Quelle bei den Schiffen</t>
  </si>
  <si>
    <t>hier stecken nur die Investitionskosten der Schiffe drin (keine Umwandlung...)</t>
  </si>
  <si>
    <t>Transmission</t>
  </si>
  <si>
    <t>Distribution wird bei uns außen vor gelassen</t>
  </si>
  <si>
    <t>EHB 2021</t>
  </si>
  <si>
    <t>wichtig für die Durchmesserangaben</t>
  </si>
  <si>
    <t>Umrechnungen zu oben angegeben Werten:</t>
  </si>
  <si>
    <t>new</t>
  </si>
  <si>
    <t>Durchmesser</t>
  </si>
  <si>
    <t>Annahmen:</t>
  </si>
  <si>
    <t>onshore</t>
  </si>
  <si>
    <t>Pipeline
new</t>
  </si>
  <si>
    <t>small</t>
  </si>
  <si>
    <t>m</t>
  </si>
  <si>
    <t>Heizwert</t>
  </si>
  <si>
    <t>kWh/kgH2</t>
  </si>
  <si>
    <t>Gasdichte</t>
  </si>
  <si>
    <t>kg/m^3</t>
  </si>
  <si>
    <t>large</t>
  </si>
  <si>
    <t>Gasgeschw.</t>
  </si>
  <si>
    <t>m/s</t>
  </si>
  <si>
    <t>offshore</t>
  </si>
  <si>
    <t>€/MW/km</t>
  </si>
  <si>
    <t>repurposed</t>
  </si>
  <si>
    <t>Pipeline
rep.</t>
  </si>
  <si>
    <t>Daten bezüglich Pipeline ohne weitere Annahmen -&gt; kein Durchmesser usw. angegeben -&gt; deswegen rausgelassen</t>
  </si>
  <si>
    <t>Daten für Erdgas aus dem Global Gas Model (oben in der Tabelle nicht mit eingebunden)</t>
  </si>
  <si>
    <t>Global Gas Model</t>
  </si>
  <si>
    <t xml:space="preserve">Antriebsleistung des </t>
  </si>
  <si>
    <t>Schiffs (main engine)</t>
  </si>
  <si>
    <t>Notiz:</t>
  </si>
  <si>
    <t>Invest [€/kWh]</t>
  </si>
  <si>
    <t>UGS
(kompr.H2)</t>
  </si>
  <si>
    <t>Large scale and long term storage, long term = 2050 hier angenommen</t>
  </si>
  <si>
    <t>Hydrogen underground storage; Kavernen</t>
  </si>
  <si>
    <t>Kaverne</t>
  </si>
  <si>
    <t>Integrated Modelling</t>
  </si>
  <si>
    <t>Roadmap Speicher</t>
  </si>
  <si>
    <t>Umwandlung erschöpfter Untertagespeicher</t>
  </si>
  <si>
    <t>Aquifere</t>
  </si>
  <si>
    <t>Salzkavernen</t>
  </si>
  <si>
    <t>Li-Ion-Akku</t>
  </si>
  <si>
    <t>Batteriespeicher für PV-Freiflächenanlagen; 2021 niedrig; WACC nom. 3,7%; WACC real 2,5%</t>
  </si>
  <si>
    <t>Batteriespeicher für PV-Freiflächenanlagen; 2021 hoch; WACC nom. 3,7%; WACC real 2,5%</t>
  </si>
  <si>
    <t>Szenario: Stated Policies</t>
  </si>
  <si>
    <t>Szenario: Announced Pledges</t>
  </si>
  <si>
    <t>Szenario: Sustainable Development</t>
  </si>
  <si>
    <t>Szenario: Net Zero Emission by 2050</t>
  </si>
  <si>
    <t xml:space="preserve">Salz-
Wärme-
speicher </t>
  </si>
  <si>
    <t>min</t>
  </si>
  <si>
    <t>max</t>
  </si>
  <si>
    <t>Quellen aus der Excel-Datei von Jan Mutke</t>
  </si>
  <si>
    <t>Es handelt sich hierbei wohl um kleinere Speicher; deswegen außen vor gelassen</t>
  </si>
  <si>
    <t>Integration von Wind-Wasserstoff-Systemen in das Energiesystem</t>
  </si>
  <si>
    <t>Integrated modelling of variable renewable energy-based power supply in Europe</t>
  </si>
  <si>
    <t>S.190 bis 193</t>
  </si>
  <si>
    <t>Kavernenspeicher:</t>
  </si>
  <si>
    <t>S.87</t>
  </si>
  <si>
    <t>Large-scale compressed hydrogen storage as part of renewable electricity storage systems</t>
  </si>
  <si>
    <t xml:space="preserve">Conversion of depleted to underground hydrogen storage reservoirs is likely to require a low budget (1.23 USD/kg15) [117]. </t>
  </si>
  <si>
    <t>This makes aquifers more expensive (1.29 USD/kg) [117] than depleted reservoirs that have such parameters known already.</t>
  </si>
  <si>
    <t>However, it [salt caverns] is the most expensive alternative (1.61 USD/kg), which can be attributed to the cost accompanied with salt leaching [117,144,145].</t>
  </si>
  <si>
    <t>Wechselkurs 2021</t>
  </si>
  <si>
    <t>Kosten im Vergleich sehr gering</t>
  </si>
  <si>
    <t>€/kWh</t>
  </si>
  <si>
    <t>allesamt nur kleinere Speicher</t>
  </si>
  <si>
    <t>...</t>
  </si>
  <si>
    <t>Tabelle von Jan Mutke</t>
  </si>
  <si>
    <t>nicht verwendet -&gt; keine direkte Relevanz</t>
  </si>
  <si>
    <t>https://www.irena.org/-/media/Files/IRENA/Agency/Publication/2020/Nov/IRENA_Innovation_Outlook_TES_2020.pdf</t>
  </si>
  <si>
    <t>meist wohl für Stromsektor eingesetzt -&gt; hier bei uns Wärme</t>
  </si>
  <si>
    <t>bisher keine Recherche durchgeführt, da nach aktuellem Stand Wasserstoffbedarfe exogen modelliert werden-&gt; wird evtl. 2023 durchgeführt</t>
  </si>
  <si>
    <t>Fuel Cell</t>
  </si>
  <si>
    <t>H2-OCGT</t>
  </si>
  <si>
    <t>ETN Global</t>
  </si>
  <si>
    <t>ECA</t>
  </si>
  <si>
    <t>Invests for H2 in compariosn to NG 25% more expensive</t>
  </si>
  <si>
    <t>FOM 50% more expensive</t>
  </si>
  <si>
    <t>Invests: H2 OCGT in 2025 ca.50% and in 2050 ca. 25% more expensive</t>
  </si>
  <si>
    <t>US dep</t>
  </si>
  <si>
    <t xml:space="preserve">stationary fuel cells are significantly more expensive than mobile ones (e.g. used in FCEVs) </t>
  </si>
  <si>
    <t>most papers only state the costs for mobile systems</t>
  </si>
  <si>
    <t>Costs</t>
  </si>
  <si>
    <t>Decrease to 2020</t>
  </si>
  <si>
    <t>2018=2020</t>
  </si>
  <si>
    <t>2020: 1€ / 1,1422 $</t>
  </si>
  <si>
    <t>Reverse osmosis desalination: Water sources, technology, and today's challenges - ScienceDirect</t>
  </si>
  <si>
    <t>The effect of energy recovery device and feed flow rate on the energy efficiency of reverse osmosis process - ScienceDirect</t>
  </si>
  <si>
    <t>Recovery = water output/feed water input</t>
  </si>
  <si>
    <t>Systemkosten [€/kW]</t>
  </si>
  <si>
    <t>Balance of System  [€/kW]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</si>
</sst>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0.000"/>
    <numFmt numFmtId="166" formatCode="0.00000"/>
    <numFmt numFmtId="167" formatCode="0.0000"/>
    <numFmt numFmtId="168" formatCode="0.0"/>
    <numFmt numFmtId="169" formatCode="#,##0.0000"/>
  </numFmts>
  <fonts count="11" x14ac:knownFonts="1">
    <font>
      <sz val="11"/>
      <color theme="1"/>
      <name val="Calibri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6"/>
      <color indexed="64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indexed="64"/>
      <name val="Calibri"/>
      <family val="2"/>
      <scheme val="minor"/>
    </font>
    <font>
      <b/>
      <sz val="10"/>
      <color indexed="64"/>
      <name val="Noto Sans"/>
    </font>
    <font>
      <sz val="10"/>
      <color indexed="64"/>
      <name val="Noto Sans"/>
    </font>
    <font>
      <sz val="11"/>
      <color indexed="6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</fonts>
  <fills count="3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EFA5DC"/>
        <bgColor rgb="FFEFA5DC"/>
      </patternFill>
    </fill>
    <fill>
      <patternFill patternType="solid">
        <fgColor rgb="FFA0FFF5"/>
        <bgColor rgb="FFA0FFF5"/>
      </patternFill>
    </fill>
    <fill>
      <patternFill patternType="solid">
        <fgColor rgb="FFFFE699"/>
        <bgColor indexed="64"/>
      </patternFill>
    </fill>
    <fill>
      <patternFill patternType="solid">
        <fgColor rgb="FFEBF5FD"/>
        <bgColor rgb="FFEBF5FD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indexed="5"/>
        <bgColor indexed="5"/>
      </patternFill>
    </fill>
    <fill>
      <patternFill patternType="solid">
        <fgColor theme="0"/>
        <bgColor theme="0"/>
      </patternFill>
    </fill>
    <fill>
      <patternFill patternType="solid">
        <fgColor theme="8" tint="0.39997558519241921"/>
        <bgColor theme="8" tint="0.3999755851924192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7" tint="0.39997558519241921"/>
        <bgColor theme="7" tint="0.39997558519241921"/>
      </patternFill>
    </fill>
    <fill>
      <patternFill patternType="solid">
        <fgColor theme="5" tint="0.39997558519241921"/>
        <bgColor theme="5" tint="0.39997558519241921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theme="9" tint="0.39997558519241921"/>
      </patternFill>
    </fill>
    <fill>
      <patternFill patternType="solid">
        <fgColor rgb="FF74DEEC"/>
        <bgColor rgb="FF74DEEC"/>
      </patternFill>
    </fill>
    <fill>
      <patternFill patternType="solid">
        <fgColor rgb="FF52D6E8"/>
        <bgColor rgb="FF52D6E8"/>
      </patternFill>
    </fill>
    <fill>
      <patternFill patternType="solid">
        <fgColor theme="1"/>
        <bgColor theme="1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E876BF"/>
        <bgColor rgb="FFE876BF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rgb="FFFF7E79"/>
        <bgColor rgb="FFFF7E79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5050"/>
        <bgColor rgb="FFFF5050"/>
      </patternFill>
    </fill>
    <fill>
      <patternFill patternType="solid">
        <fgColor theme="8" tint="0.59999389629810485"/>
        <bgColor theme="0"/>
      </patternFill>
    </fill>
    <fill>
      <patternFill patternType="solid">
        <fgColor theme="9" tint="0.59999389629810485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9" tint="0.59999389629810485"/>
      </patternFill>
    </fill>
    <fill>
      <patternFill patternType="solid">
        <fgColor theme="0"/>
        <bgColor theme="8" tint="0.59999389629810485"/>
      </patternFill>
    </fill>
    <fill>
      <patternFill patternType="solid">
        <fgColor rgb="FFFF5050"/>
        <bgColor indexed="64"/>
      </patternFill>
    </fill>
    <fill>
      <patternFill patternType="solid">
        <fgColor theme="4" tint="0.79998168889431442"/>
        <bgColor theme="0"/>
      </patternFill>
    </fill>
  </fills>
  <borders count="1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Protection="0"/>
    <xf numFmtId="0" fontId="2" fillId="0" borderId="0" applyNumberFormat="0" applyFill="0" applyBorder="0" applyProtection="0"/>
    <xf numFmtId="0" fontId="3" fillId="0" borderId="0" applyNumberFormat="0" applyFill="0" applyBorder="0" applyProtection="0"/>
  </cellStyleXfs>
  <cellXfs count="1055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2" borderId="2" xfId="0" applyFill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2" borderId="6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2" applyAlignment="1">
      <alignment horizontal="center"/>
    </xf>
    <xf numFmtId="0" fontId="0" fillId="0" borderId="0" xfId="0" applyAlignment="1">
      <alignment horizontal="left"/>
    </xf>
    <xf numFmtId="0" fontId="0" fillId="2" borderId="9" xfId="0" applyFill="1" applyBorder="1"/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6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9" xfId="0" applyFill="1" applyBorder="1"/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4" borderId="2" xfId="0" applyFill="1" applyBorder="1"/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6" xfId="0" applyFill="1" applyBorder="1"/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9" xfId="0" applyFill="1" applyBorder="1"/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2" fillId="5" borderId="11" xfId="2" applyFill="1" applyBorder="1" applyAlignment="1">
      <alignment horizontal="center"/>
    </xf>
    <xf numFmtId="0" fontId="0" fillId="5" borderId="12" xfId="0" applyFill="1" applyBorder="1"/>
    <xf numFmtId="0" fontId="0" fillId="5" borderId="12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6" borderId="2" xfId="0" applyFill="1" applyBorder="1"/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6" xfId="0" applyFill="1" applyBorder="1"/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0" fillId="6" borderId="9" xfId="0" applyFill="1" applyBorder="1"/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7" borderId="2" xfId="0" applyFill="1" applyBorder="1"/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9" xfId="0" applyFill="1" applyBorder="1"/>
    <xf numFmtId="0" fontId="0" fillId="7" borderId="9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8" borderId="6" xfId="0" applyFill="1" applyBorder="1"/>
    <xf numFmtId="0" fontId="0" fillId="8" borderId="6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8" borderId="9" xfId="0" applyFill="1" applyBorder="1"/>
    <xf numFmtId="0" fontId="0" fillId="8" borderId="9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5" fillId="0" borderId="0" xfId="0" applyFont="1"/>
    <xf numFmtId="0" fontId="6" fillId="10" borderId="0" xfId="0" applyFont="1" applyFill="1" applyAlignment="1">
      <alignment horizontal="center" vertical="center" wrapText="1"/>
    </xf>
    <xf numFmtId="0" fontId="7" fillId="0" borderId="0" xfId="0" applyFont="1" applyAlignment="1">
      <alignment vertical="center"/>
    </xf>
    <xf numFmtId="2" fontId="6" fillId="10" borderId="0" xfId="0" applyNumberFormat="1" applyFont="1" applyFill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2" fontId="7" fillId="0" borderId="0" xfId="0" applyNumberFormat="1" applyFont="1" applyAlignment="1">
      <alignment vertical="center" wrapText="1"/>
    </xf>
    <xf numFmtId="2" fontId="7" fillId="0" borderId="0" xfId="0" applyNumberFormat="1" applyFont="1" applyAlignment="1">
      <alignment vertical="center"/>
    </xf>
    <xf numFmtId="1" fontId="7" fillId="0" borderId="0" xfId="0" applyNumberFormat="1" applyFont="1" applyAlignment="1">
      <alignment vertical="center" wrapText="1"/>
    </xf>
    <xf numFmtId="165" fontId="0" fillId="0" borderId="0" xfId="0" applyNumberFormat="1" applyAlignment="1">
      <alignment vertical="center"/>
    </xf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1" fontId="7" fillId="0" borderId="0" xfId="0" applyNumberFormat="1" applyFont="1" applyAlignment="1">
      <alignment vertical="center"/>
    </xf>
    <xf numFmtId="0" fontId="7" fillId="0" borderId="0" xfId="0" applyFont="1" applyAlignment="1">
      <alignment vertical="top"/>
    </xf>
    <xf numFmtId="2" fontId="7" fillId="0" borderId="0" xfId="0" applyNumberFormat="1" applyFont="1" applyAlignment="1">
      <alignment vertical="top"/>
    </xf>
    <xf numFmtId="0" fontId="0" fillId="0" borderId="0" xfId="0" applyAlignment="1">
      <alignment vertical="top"/>
    </xf>
    <xf numFmtId="0" fontId="0" fillId="12" borderId="0" xfId="0" applyFill="1"/>
    <xf numFmtId="49" fontId="0" fillId="0" borderId="0" xfId="0" applyNumberFormat="1"/>
    <xf numFmtId="0" fontId="2" fillId="0" borderId="0" xfId="2"/>
    <xf numFmtId="0" fontId="8" fillId="0" borderId="0" xfId="0" applyFont="1"/>
    <xf numFmtId="0" fontId="9" fillId="13" borderId="4" xfId="0" applyFont="1" applyFill="1" applyBorder="1" applyAlignment="1">
      <alignment horizontal="center"/>
    </xf>
    <xf numFmtId="0" fontId="9" fillId="13" borderId="5" xfId="0" applyFont="1" applyFill="1" applyBorder="1" applyAlignment="1">
      <alignment horizontal="center"/>
    </xf>
    <xf numFmtId="0" fontId="9" fillId="13" borderId="0" xfId="0" applyFont="1" applyFill="1" applyAlignment="1">
      <alignment horizontal="center"/>
    </xf>
    <xf numFmtId="0" fontId="9" fillId="13" borderId="8" xfId="0" applyFont="1" applyFill="1" applyBorder="1" applyAlignment="1">
      <alignment horizontal="center"/>
    </xf>
    <xf numFmtId="0" fontId="9" fillId="13" borderId="10" xfId="0" applyFont="1" applyFill="1" applyBorder="1" applyAlignment="1">
      <alignment horizontal="center"/>
    </xf>
    <xf numFmtId="0" fontId="0" fillId="6" borderId="14" xfId="0" applyFill="1" applyBorder="1" applyAlignment="1">
      <alignment horizontal="center" vertical="center"/>
    </xf>
    <xf numFmtId="0" fontId="2" fillId="6" borderId="0" xfId="2" applyFill="1" applyAlignment="1">
      <alignment horizontal="center"/>
    </xf>
    <xf numFmtId="2" fontId="0" fillId="13" borderId="1" xfId="0" applyNumberFormat="1" applyFill="1" applyBorder="1" applyAlignment="1">
      <alignment horizontal="center"/>
    </xf>
    <xf numFmtId="2" fontId="0" fillId="13" borderId="14" xfId="0" applyNumberFormat="1" applyFill="1" applyBorder="1" applyAlignment="1">
      <alignment horizontal="center"/>
    </xf>
    <xf numFmtId="2" fontId="0" fillId="6" borderId="14" xfId="0" applyNumberFormat="1" applyFill="1" applyBorder="1" applyAlignment="1">
      <alignment horizontal="center"/>
    </xf>
    <xf numFmtId="2" fontId="0" fillId="13" borderId="3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2" fontId="0" fillId="6" borderId="3" xfId="0" applyNumberForma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3" borderId="14" xfId="0" applyFill="1" applyBorder="1" applyAlignment="1">
      <alignment horizontal="center"/>
    </xf>
    <xf numFmtId="1" fontId="0" fillId="13" borderId="14" xfId="0" applyNumberFormat="1" applyFill="1" applyBorder="1" applyAlignment="1">
      <alignment horizontal="center"/>
    </xf>
    <xf numFmtId="1" fontId="0" fillId="6" borderId="14" xfId="0" applyNumberFormat="1" applyFill="1" applyBorder="1" applyAlignment="1">
      <alignment horizontal="center"/>
    </xf>
    <xf numFmtId="1" fontId="0" fillId="13" borderId="3" xfId="0" applyNumberFormat="1" applyFill="1" applyBorder="1" applyAlignment="1">
      <alignment horizontal="center"/>
    </xf>
    <xf numFmtId="0" fontId="0" fillId="13" borderId="0" xfId="0" applyFill="1"/>
    <xf numFmtId="0" fontId="0" fillId="6" borderId="0" xfId="0" applyFill="1" applyAlignment="1">
      <alignment horizontal="center" vertical="center"/>
    </xf>
    <xf numFmtId="2" fontId="0" fillId="13" borderId="5" xfId="0" applyNumberFormat="1" applyFill="1" applyBorder="1" applyAlignment="1">
      <alignment horizontal="center"/>
    </xf>
    <xf numFmtId="2" fontId="0" fillId="13" borderId="0" xfId="0" applyNumberFormat="1" applyFill="1" applyAlignment="1">
      <alignment horizontal="center"/>
    </xf>
    <xf numFmtId="2" fontId="0" fillId="6" borderId="0" xfId="0" applyNumberFormat="1" applyFill="1" applyAlignment="1">
      <alignment horizontal="center"/>
    </xf>
    <xf numFmtId="2" fontId="0" fillId="13" borderId="7" xfId="0" applyNumberFormat="1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0" xfId="0" applyFill="1" applyAlignment="1">
      <alignment horizontal="center"/>
    </xf>
    <xf numFmtId="2" fontId="0" fillId="6" borderId="7" xfId="0" applyNumberFormat="1" applyFill="1" applyBorder="1" applyAlignment="1">
      <alignment horizontal="center"/>
    </xf>
    <xf numFmtId="2" fontId="0" fillId="6" borderId="5" xfId="0" applyNumberFormat="1" applyFill="1" applyBorder="1" applyAlignment="1">
      <alignment horizontal="center"/>
    </xf>
    <xf numFmtId="166" fontId="0" fillId="6" borderId="5" xfId="0" applyNumberFormat="1" applyFill="1" applyBorder="1" applyAlignment="1">
      <alignment horizontal="center"/>
    </xf>
    <xf numFmtId="166" fontId="0" fillId="6" borderId="0" xfId="0" applyNumberFormat="1" applyFill="1" applyAlignment="1">
      <alignment horizontal="center"/>
    </xf>
    <xf numFmtId="49" fontId="0" fillId="13" borderId="0" xfId="0" applyNumberFormat="1" applyFill="1" applyAlignment="1">
      <alignment horizontal="left"/>
    </xf>
    <xf numFmtId="1" fontId="0" fillId="6" borderId="0" xfId="0" applyNumberFormat="1" applyFill="1" applyAlignment="1">
      <alignment horizontal="center"/>
    </xf>
    <xf numFmtId="1" fontId="0" fillId="13" borderId="7" xfId="0" applyNumberFormat="1" applyFill="1" applyBorder="1" applyAlignment="1">
      <alignment horizontal="center"/>
    </xf>
    <xf numFmtId="0" fontId="9" fillId="6" borderId="9" xfId="0" applyFont="1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2" fontId="0" fillId="6" borderId="4" xfId="0" applyNumberFormat="1" applyFill="1" applyBorder="1" applyAlignment="1">
      <alignment horizontal="center"/>
    </xf>
    <xf numFmtId="2" fontId="0" fillId="13" borderId="4" xfId="0" applyNumberFormat="1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9" fillId="14" borderId="2" xfId="0" applyFont="1" applyFill="1" applyBorder="1" applyAlignment="1">
      <alignment horizontal="center" vertical="center"/>
    </xf>
    <xf numFmtId="0" fontId="0" fillId="14" borderId="14" xfId="0" applyFill="1" applyBorder="1" applyAlignment="1">
      <alignment horizontal="center"/>
    </xf>
    <xf numFmtId="2" fontId="0" fillId="14" borderId="1" xfId="0" applyNumberFormat="1" applyFill="1" applyBorder="1" applyAlignment="1">
      <alignment horizontal="center"/>
    </xf>
    <xf numFmtId="2" fontId="0" fillId="14" borderId="14" xfId="0" applyNumberFormat="1" applyFill="1" applyBorder="1" applyAlignment="1">
      <alignment horizontal="center"/>
    </xf>
    <xf numFmtId="166" fontId="0" fillId="14" borderId="1" xfId="0" applyNumberFormat="1" applyFill="1" applyBorder="1" applyAlignment="1">
      <alignment horizontal="center"/>
    </xf>
    <xf numFmtId="166" fontId="0" fillId="14" borderId="3" xfId="0" applyNumberForma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3" xfId="0" applyFill="1" applyBorder="1" applyAlignment="1">
      <alignment horizontal="center"/>
    </xf>
    <xf numFmtId="0" fontId="9" fillId="14" borderId="6" xfId="0" applyFont="1" applyFill="1" applyBorder="1" applyAlignment="1">
      <alignment horizontal="center" vertical="center"/>
    </xf>
    <xf numFmtId="0" fontId="0" fillId="14" borderId="0" xfId="0" applyFill="1" applyAlignment="1">
      <alignment horizontal="center"/>
    </xf>
    <xf numFmtId="2" fontId="0" fillId="14" borderId="5" xfId="0" applyNumberFormat="1" applyFill="1" applyBorder="1" applyAlignment="1">
      <alignment horizontal="center"/>
    </xf>
    <xf numFmtId="2" fontId="0" fillId="14" borderId="0" xfId="0" applyNumberFormat="1" applyFill="1" applyAlignment="1">
      <alignment horizontal="center"/>
    </xf>
    <xf numFmtId="166" fontId="0" fillId="14" borderId="5" xfId="0" applyNumberFormat="1" applyFill="1" applyBorder="1" applyAlignment="1">
      <alignment horizontal="center"/>
    </xf>
    <xf numFmtId="166" fontId="0" fillId="14" borderId="7" xfId="0" applyNumberFormat="1" applyFill="1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0" fillId="14" borderId="7" xfId="0" applyFill="1" applyBorder="1" applyAlignment="1">
      <alignment horizontal="center"/>
    </xf>
    <xf numFmtId="0" fontId="9" fillId="14" borderId="9" xfId="0" applyFont="1" applyFill="1" applyBorder="1" applyAlignment="1">
      <alignment horizontal="center" vertical="center"/>
    </xf>
    <xf numFmtId="0" fontId="0" fillId="14" borderId="4" xfId="0" applyFill="1" applyBorder="1" applyAlignment="1">
      <alignment horizontal="center"/>
    </xf>
    <xf numFmtId="2" fontId="0" fillId="14" borderId="4" xfId="0" applyNumberFormat="1" applyFill="1" applyBorder="1" applyAlignment="1">
      <alignment horizontal="center"/>
    </xf>
    <xf numFmtId="166" fontId="0" fillId="14" borderId="8" xfId="0" applyNumberFormat="1" applyFill="1" applyBorder="1" applyAlignment="1">
      <alignment horizontal="center"/>
    </xf>
    <xf numFmtId="0" fontId="0" fillId="14" borderId="8" xfId="0" applyFill="1" applyBorder="1" applyAlignment="1">
      <alignment horizontal="center"/>
    </xf>
    <xf numFmtId="0" fontId="0" fillId="14" borderId="10" xfId="0" applyFill="1" applyBorder="1" applyAlignment="1">
      <alignment horizontal="center"/>
    </xf>
    <xf numFmtId="0" fontId="0" fillId="15" borderId="14" xfId="0" applyFill="1" applyBorder="1" applyAlignment="1">
      <alignment horizontal="center"/>
    </xf>
    <xf numFmtId="0" fontId="2" fillId="15" borderId="0" xfId="2" applyFill="1" applyAlignment="1">
      <alignment horizontal="center"/>
    </xf>
    <xf numFmtId="2" fontId="0" fillId="15" borderId="14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2" fontId="0" fillId="15" borderId="3" xfId="0" applyNumberFormat="1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15" borderId="0" xfId="0" applyFill="1" applyAlignment="1">
      <alignment horizontal="center"/>
    </xf>
    <xf numFmtId="2" fontId="0" fillId="15" borderId="0" xfId="0" applyNumberFormat="1" applyFill="1" applyAlignment="1">
      <alignment horizontal="center"/>
    </xf>
    <xf numFmtId="0" fontId="0" fillId="15" borderId="5" xfId="0" applyFill="1" applyBorder="1" applyAlignment="1">
      <alignment horizontal="center"/>
    </xf>
    <xf numFmtId="2" fontId="0" fillId="15" borderId="7" xfId="0" applyNumberFormat="1" applyFill="1" applyBorder="1" applyAlignment="1">
      <alignment horizontal="center"/>
    </xf>
    <xf numFmtId="0" fontId="0" fillId="15" borderId="7" xfId="0" applyFill="1" applyBorder="1" applyAlignment="1">
      <alignment horizontal="center"/>
    </xf>
    <xf numFmtId="2" fontId="0" fillId="15" borderId="5" xfId="0" applyNumberFormat="1" applyFill="1" applyBorder="1" applyAlignment="1">
      <alignment horizontal="center"/>
    </xf>
    <xf numFmtId="167" fontId="0" fillId="15" borderId="5" xfId="0" applyNumberFormat="1" applyFill="1" applyBorder="1" applyAlignment="1">
      <alignment horizontal="center"/>
    </xf>
    <xf numFmtId="167" fontId="0" fillId="15" borderId="0" xfId="0" applyNumberFormat="1" applyFill="1" applyAlignment="1">
      <alignment horizontal="center"/>
    </xf>
    <xf numFmtId="1" fontId="0" fillId="15" borderId="0" xfId="0" applyNumberFormat="1" applyFill="1" applyAlignment="1">
      <alignment horizontal="center"/>
    </xf>
    <xf numFmtId="0" fontId="9" fillId="15" borderId="9" xfId="0" applyFont="1" applyFill="1" applyBorder="1" applyAlignment="1">
      <alignment horizontal="center" vertical="center"/>
    </xf>
    <xf numFmtId="0" fontId="0" fillId="15" borderId="4" xfId="0" applyFill="1" applyBorder="1" applyAlignment="1">
      <alignment horizontal="center"/>
    </xf>
    <xf numFmtId="2" fontId="0" fillId="15" borderId="4" xfId="0" applyNumberFormat="1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10" xfId="0" applyFill="1" applyBorder="1" applyAlignment="1">
      <alignment horizontal="center"/>
    </xf>
    <xf numFmtId="0" fontId="9" fillId="16" borderId="2" xfId="0" applyFont="1" applyFill="1" applyBorder="1" applyAlignment="1">
      <alignment horizontal="center" vertical="center"/>
    </xf>
    <xf numFmtId="0" fontId="0" fillId="16" borderId="14" xfId="0" applyFill="1" applyBorder="1" applyAlignment="1">
      <alignment horizontal="center"/>
    </xf>
    <xf numFmtId="2" fontId="0" fillId="16" borderId="1" xfId="0" applyNumberFormat="1" applyFill="1" applyBorder="1" applyAlignment="1">
      <alignment horizontal="center"/>
    </xf>
    <xf numFmtId="2" fontId="0" fillId="16" borderId="14" xfId="0" applyNumberFormat="1" applyFill="1" applyBorder="1" applyAlignment="1">
      <alignment horizontal="center"/>
    </xf>
    <xf numFmtId="2" fontId="0" fillId="16" borderId="3" xfId="0" applyNumberFormat="1" applyFill="1" applyBorder="1" applyAlignment="1">
      <alignment horizontal="center"/>
    </xf>
    <xf numFmtId="167" fontId="0" fillId="16" borderId="1" xfId="0" applyNumberFormat="1" applyFill="1" applyBorder="1" applyAlignment="1">
      <alignment horizontal="center"/>
    </xf>
    <xf numFmtId="167" fontId="0" fillId="16" borderId="14" xfId="0" applyNumberFormat="1" applyFill="1" applyBorder="1" applyAlignment="1">
      <alignment horizontal="center"/>
    </xf>
    <xf numFmtId="167" fontId="0" fillId="16" borderId="3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1" fontId="0" fillId="16" borderId="14" xfId="0" applyNumberFormat="1" applyFill="1" applyBorder="1" applyAlignment="1">
      <alignment horizontal="center"/>
    </xf>
    <xf numFmtId="1" fontId="0" fillId="16" borderId="3" xfId="0" applyNumberFormat="1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0" fontId="9" fillId="16" borderId="6" xfId="0" applyFont="1" applyFill="1" applyBorder="1" applyAlignment="1">
      <alignment horizontal="center" vertical="center"/>
    </xf>
    <xf numFmtId="0" fontId="0" fillId="16" borderId="0" xfId="0" applyFill="1" applyAlignment="1">
      <alignment horizontal="center"/>
    </xf>
    <xf numFmtId="2" fontId="0" fillId="16" borderId="5" xfId="0" applyNumberFormat="1" applyFill="1" applyBorder="1" applyAlignment="1">
      <alignment horizontal="center"/>
    </xf>
    <xf numFmtId="2" fontId="0" fillId="16" borderId="0" xfId="0" applyNumberFormat="1" applyFill="1" applyAlignment="1">
      <alignment horizontal="center"/>
    </xf>
    <xf numFmtId="2" fontId="0" fillId="16" borderId="7" xfId="0" applyNumberFormat="1" applyFill="1" applyBorder="1" applyAlignment="1">
      <alignment horizontal="center"/>
    </xf>
    <xf numFmtId="167" fontId="0" fillId="16" borderId="5" xfId="0" applyNumberFormat="1" applyFill="1" applyBorder="1" applyAlignment="1">
      <alignment horizontal="center"/>
    </xf>
    <xf numFmtId="167" fontId="0" fillId="16" borderId="0" xfId="0" applyNumberFormat="1" applyFill="1" applyAlignment="1">
      <alignment horizontal="center"/>
    </xf>
    <xf numFmtId="167" fontId="0" fillId="16" borderId="7" xfId="0" applyNumberFormat="1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168" fontId="0" fillId="16" borderId="0" xfId="0" applyNumberFormat="1" applyFill="1" applyAlignment="1">
      <alignment horizontal="center"/>
    </xf>
    <xf numFmtId="168" fontId="0" fillId="16" borderId="7" xfId="0" applyNumberFormat="1" applyFill="1" applyBorder="1" applyAlignment="1">
      <alignment horizontal="center"/>
    </xf>
    <xf numFmtId="0" fontId="0" fillId="16" borderId="7" xfId="0" applyFill="1" applyBorder="1" applyAlignment="1">
      <alignment horizontal="center"/>
    </xf>
    <xf numFmtId="0" fontId="9" fillId="16" borderId="9" xfId="0" applyFont="1" applyFill="1" applyBorder="1" applyAlignment="1">
      <alignment horizontal="center" vertical="center"/>
    </xf>
    <xf numFmtId="0" fontId="0" fillId="16" borderId="4" xfId="0" applyFill="1" applyBorder="1" applyAlignment="1">
      <alignment horizontal="center"/>
    </xf>
    <xf numFmtId="2" fontId="0" fillId="16" borderId="8" xfId="0" applyNumberFormat="1" applyFill="1" applyBorder="1" applyAlignment="1">
      <alignment horizontal="center"/>
    </xf>
    <xf numFmtId="2" fontId="0" fillId="16" borderId="4" xfId="0" applyNumberFormat="1" applyFill="1" applyBorder="1" applyAlignment="1">
      <alignment horizontal="center"/>
    </xf>
    <xf numFmtId="2" fontId="0" fillId="16" borderId="10" xfId="0" applyNumberFormat="1" applyFill="1" applyBorder="1" applyAlignment="1">
      <alignment horizontal="center"/>
    </xf>
    <xf numFmtId="167" fontId="0" fillId="16" borderId="8" xfId="0" applyNumberFormat="1" applyFill="1" applyBorder="1" applyAlignment="1">
      <alignment horizontal="center"/>
    </xf>
    <xf numFmtId="167" fontId="0" fillId="16" borderId="4" xfId="0" applyNumberFormat="1" applyFill="1" applyBorder="1" applyAlignment="1">
      <alignment horizontal="center"/>
    </xf>
    <xf numFmtId="0" fontId="0" fillId="16" borderId="8" xfId="0" applyFill="1" applyBorder="1" applyAlignment="1">
      <alignment horizontal="center"/>
    </xf>
    <xf numFmtId="1" fontId="0" fillId="16" borderId="0" xfId="0" applyNumberFormat="1" applyFill="1" applyAlignment="1">
      <alignment horizontal="center"/>
    </xf>
    <xf numFmtId="1" fontId="0" fillId="16" borderId="7" xfId="0" applyNumberFormat="1" applyFill="1" applyBorder="1" applyAlignment="1">
      <alignment horizontal="center"/>
    </xf>
    <xf numFmtId="0" fontId="0" fillId="16" borderId="10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2" fillId="3" borderId="0" xfId="2" applyFill="1" applyAlignment="1">
      <alignment horizontal="center"/>
    </xf>
    <xf numFmtId="2" fontId="0" fillId="3" borderId="14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3" borderId="3" xfId="0" applyNumberFormat="1" applyFill="1" applyBorder="1" applyAlignment="1">
      <alignment horizontal="center"/>
    </xf>
    <xf numFmtId="1" fontId="0" fillId="3" borderId="14" xfId="0" applyNumberFormat="1" applyFill="1" applyBorder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3" borderId="5" xfId="0" applyFill="1" applyBorder="1" applyAlignment="1">
      <alignment horizontal="center"/>
    </xf>
    <xf numFmtId="2" fontId="0" fillId="3" borderId="7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3" borderId="4" xfId="0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9" fillId="17" borderId="2" xfId="0" applyFont="1" applyFill="1" applyBorder="1" applyAlignment="1">
      <alignment horizontal="center" vertical="center"/>
    </xf>
    <xf numFmtId="0" fontId="0" fillId="17" borderId="14" xfId="0" applyFill="1" applyBorder="1" applyAlignment="1">
      <alignment horizontal="center"/>
    </xf>
    <xf numFmtId="2" fontId="0" fillId="17" borderId="1" xfId="0" applyNumberFormat="1" applyFill="1" applyBorder="1" applyAlignment="1">
      <alignment horizontal="center"/>
    </xf>
    <xf numFmtId="2" fontId="0" fillId="17" borderId="14" xfId="0" applyNumberFormat="1" applyFill="1" applyBorder="1" applyAlignment="1">
      <alignment horizontal="center"/>
    </xf>
    <xf numFmtId="2" fontId="0" fillId="17" borderId="3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9" fillId="17" borderId="6" xfId="0" applyFont="1" applyFill="1" applyBorder="1" applyAlignment="1">
      <alignment horizontal="center" vertical="center"/>
    </xf>
    <xf numFmtId="0" fontId="0" fillId="17" borderId="0" xfId="0" applyFill="1" applyAlignment="1">
      <alignment horizontal="center"/>
    </xf>
    <xf numFmtId="2" fontId="0" fillId="17" borderId="5" xfId="0" applyNumberFormat="1" applyFill="1" applyBorder="1" applyAlignment="1">
      <alignment horizontal="center"/>
    </xf>
    <xf numFmtId="2" fontId="0" fillId="17" borderId="0" xfId="0" applyNumberFormat="1" applyFill="1" applyAlignment="1">
      <alignment horizontal="center"/>
    </xf>
    <xf numFmtId="2" fontId="0" fillId="17" borderId="7" xfId="0" applyNumberFormat="1" applyFill="1" applyBorder="1" applyAlignment="1">
      <alignment horizontal="center"/>
    </xf>
    <xf numFmtId="0" fontId="0" fillId="17" borderId="5" xfId="0" applyFill="1" applyBorder="1" applyAlignment="1">
      <alignment horizontal="center"/>
    </xf>
    <xf numFmtId="0" fontId="0" fillId="17" borderId="7" xfId="0" applyFill="1" applyBorder="1" applyAlignment="1">
      <alignment horizontal="center"/>
    </xf>
    <xf numFmtId="0" fontId="9" fillId="17" borderId="9" xfId="0" applyFont="1" applyFill="1" applyBorder="1" applyAlignment="1">
      <alignment horizontal="center" vertical="center"/>
    </xf>
    <xf numFmtId="0" fontId="0" fillId="17" borderId="4" xfId="0" applyFill="1" applyBorder="1" applyAlignment="1">
      <alignment horizontal="center"/>
    </xf>
    <xf numFmtId="2" fontId="0" fillId="17" borderId="4" xfId="0" applyNumberFormat="1" applyFill="1" applyBorder="1" applyAlignment="1">
      <alignment horizontal="center"/>
    </xf>
    <xf numFmtId="0" fontId="0" fillId="17" borderId="8" xfId="0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2" fillId="4" borderId="0" xfId="2" applyFill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0" fillId="4" borderId="14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1" fontId="0" fillId="4" borderId="14" xfId="0" applyNumberFormat="1" applyFill="1" applyBorder="1" applyAlignment="1">
      <alignment horizontal="center"/>
    </xf>
    <xf numFmtId="0" fontId="0" fillId="4" borderId="0" xfId="0" applyFill="1" applyAlignment="1">
      <alignment horizontal="center"/>
    </xf>
    <xf numFmtId="2" fontId="0" fillId="4" borderId="5" xfId="0" applyNumberFormat="1" applyFill="1" applyBorder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4" borderId="7" xfId="0" applyNumberForma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2" fontId="0" fillId="4" borderId="4" xfId="0" applyNumberForma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9" fillId="18" borderId="2" xfId="0" applyFont="1" applyFill="1" applyBorder="1" applyAlignment="1">
      <alignment horizontal="center" vertical="center"/>
    </xf>
    <xf numFmtId="0" fontId="0" fillId="18" borderId="14" xfId="0" applyFill="1" applyBorder="1" applyAlignment="1">
      <alignment horizontal="center"/>
    </xf>
    <xf numFmtId="2" fontId="0" fillId="18" borderId="1" xfId="0" applyNumberFormat="1" applyFill="1" applyBorder="1" applyAlignment="1">
      <alignment horizontal="center"/>
    </xf>
    <xf numFmtId="2" fontId="0" fillId="18" borderId="14" xfId="0" applyNumberFormat="1" applyFill="1" applyBorder="1" applyAlignment="1">
      <alignment horizontal="center"/>
    </xf>
    <xf numFmtId="2" fontId="0" fillId="18" borderId="3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1" fontId="0" fillId="18" borderId="14" xfId="0" applyNumberFormat="1" applyFill="1" applyBorder="1" applyAlignment="1">
      <alignment horizontal="center"/>
    </xf>
    <xf numFmtId="1" fontId="0" fillId="18" borderId="3" xfId="0" applyNumberFormat="1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9" fillId="18" borderId="6" xfId="0" applyFont="1" applyFill="1" applyBorder="1" applyAlignment="1">
      <alignment horizontal="center" vertical="center"/>
    </xf>
    <xf numFmtId="0" fontId="0" fillId="18" borderId="0" xfId="0" applyFill="1" applyAlignment="1">
      <alignment horizontal="center"/>
    </xf>
    <xf numFmtId="2" fontId="0" fillId="18" borderId="5" xfId="0" applyNumberFormat="1" applyFill="1" applyBorder="1" applyAlignment="1">
      <alignment horizontal="center"/>
    </xf>
    <xf numFmtId="2" fontId="0" fillId="18" borderId="0" xfId="0" applyNumberFormat="1" applyFill="1" applyAlignment="1">
      <alignment horizontal="center"/>
    </xf>
    <xf numFmtId="2" fontId="0" fillId="18" borderId="7" xfId="0" applyNumberFormat="1" applyFill="1" applyBorder="1" applyAlignment="1">
      <alignment horizontal="center"/>
    </xf>
    <xf numFmtId="0" fontId="0" fillId="18" borderId="5" xfId="0" applyFill="1" applyBorder="1" applyAlignment="1">
      <alignment horizontal="center"/>
    </xf>
    <xf numFmtId="1" fontId="0" fillId="18" borderId="0" xfId="0" applyNumberFormat="1" applyFill="1" applyAlignment="1">
      <alignment horizontal="center"/>
    </xf>
    <xf numFmtId="1" fontId="0" fillId="18" borderId="7" xfId="0" applyNumberFormat="1" applyFill="1" applyBorder="1" applyAlignment="1">
      <alignment horizontal="center"/>
    </xf>
    <xf numFmtId="0" fontId="0" fillId="18" borderId="7" xfId="0" applyFill="1" applyBorder="1" applyAlignment="1">
      <alignment horizontal="center"/>
    </xf>
    <xf numFmtId="0" fontId="9" fillId="18" borderId="9" xfId="0" applyFont="1" applyFill="1" applyBorder="1" applyAlignment="1">
      <alignment horizontal="center" vertical="center"/>
    </xf>
    <xf numFmtId="2" fontId="0" fillId="18" borderId="8" xfId="0" applyNumberFormat="1" applyFill="1" applyBorder="1" applyAlignment="1">
      <alignment horizontal="center"/>
    </xf>
    <xf numFmtId="2" fontId="0" fillId="18" borderId="4" xfId="0" applyNumberFormat="1" applyFill="1" applyBorder="1" applyAlignment="1">
      <alignment horizontal="center"/>
    </xf>
    <xf numFmtId="2" fontId="0" fillId="18" borderId="10" xfId="0" applyNumberFormat="1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1" fontId="0" fillId="18" borderId="4" xfId="0" applyNumberFormat="1" applyFill="1" applyBorder="1" applyAlignment="1">
      <alignment horizontal="center"/>
    </xf>
    <xf numFmtId="1" fontId="0" fillId="18" borderId="10" xfId="0" applyNumberFormat="1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2" fillId="2" borderId="3" xfId="2" applyFill="1" applyBorder="1" applyAlignment="1">
      <alignment horizontal="center"/>
    </xf>
    <xf numFmtId="2" fontId="0" fillId="2" borderId="14" xfId="0" applyNumberFormat="1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2" fontId="5" fillId="19" borderId="14" xfId="0" applyNumberFormat="1" applyFon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2" borderId="14" xfId="0" applyNumberFormat="1" applyFill="1" applyBorder="1" applyAlignment="1">
      <alignment horizontal="center"/>
    </xf>
    <xf numFmtId="165" fontId="0" fillId="13" borderId="14" xfId="0" applyNumberFormat="1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1" fontId="0" fillId="2" borderId="0" xfId="0" applyNumberFormat="1" applyFill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7" xfId="2" applyFill="1" applyBorder="1" applyAlignment="1">
      <alignment horizontal="center"/>
    </xf>
    <xf numFmtId="2" fontId="5" fillId="19" borderId="0" xfId="0" applyNumberFormat="1" applyFont="1" applyFill="1" applyAlignment="1">
      <alignment horizontal="center"/>
    </xf>
    <xf numFmtId="165" fontId="0" fillId="2" borderId="5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13" borderId="0" xfId="0" applyNumberFormat="1" applyFill="1" applyAlignment="1">
      <alignment horizontal="center"/>
    </xf>
    <xf numFmtId="0" fontId="0" fillId="13" borderId="7" xfId="0" applyFill="1" applyBorder="1" applyAlignment="1">
      <alignment horizontal="center"/>
    </xf>
    <xf numFmtId="0" fontId="0" fillId="13" borderId="0" xfId="0" applyFill="1" applyAlignment="1">
      <alignment horizontal="center"/>
    </xf>
    <xf numFmtId="2" fontId="0" fillId="2" borderId="7" xfId="0" applyNumberForma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2" fillId="2" borderId="10" xfId="2" applyFill="1" applyBorder="1" applyAlignment="1">
      <alignment horizontal="center"/>
    </xf>
    <xf numFmtId="2" fontId="0" fillId="2" borderId="4" xfId="0" applyNumberFormat="1" applyFill="1" applyBorder="1" applyAlignment="1">
      <alignment horizontal="center"/>
    </xf>
    <xf numFmtId="2" fontId="0" fillId="13" borderId="10" xfId="0" applyNumberFormat="1" applyFill="1" applyBorder="1" applyAlignment="1">
      <alignment horizontal="center"/>
    </xf>
    <xf numFmtId="165" fontId="0" fillId="2" borderId="8" xfId="0" applyNumberFormat="1" applyFill="1" applyBorder="1" applyAlignment="1">
      <alignment horizontal="center"/>
    </xf>
    <xf numFmtId="165" fontId="0" fillId="13" borderId="4" xfId="0" applyNumberFormat="1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13" borderId="10" xfId="0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2" fontId="0" fillId="2" borderId="10" xfId="0" applyNumberFormat="1" applyFill="1" applyBorder="1" applyAlignment="1">
      <alignment horizontal="center"/>
    </xf>
    <xf numFmtId="0" fontId="9" fillId="20" borderId="2" xfId="0" applyFont="1" applyFill="1" applyBorder="1" applyAlignment="1">
      <alignment horizontal="center" vertical="center"/>
    </xf>
    <xf numFmtId="0" fontId="0" fillId="20" borderId="0" xfId="0" applyFill="1" applyAlignment="1">
      <alignment horizontal="center"/>
    </xf>
    <xf numFmtId="2" fontId="0" fillId="20" borderId="1" xfId="0" applyNumberFormat="1" applyFill="1" applyBorder="1" applyAlignment="1">
      <alignment horizontal="center"/>
    </xf>
    <xf numFmtId="2" fontId="0" fillId="20" borderId="14" xfId="0" applyNumberFormat="1" applyFill="1" applyBorder="1" applyAlignment="1">
      <alignment horizontal="center"/>
    </xf>
    <xf numFmtId="2" fontId="0" fillId="20" borderId="3" xfId="0" applyNumberFormat="1" applyFill="1" applyBorder="1" applyAlignment="1">
      <alignment horizontal="center"/>
    </xf>
    <xf numFmtId="165" fontId="0" fillId="20" borderId="1" xfId="0" applyNumberFormat="1" applyFill="1" applyBorder="1" applyAlignment="1">
      <alignment horizontal="center"/>
    </xf>
    <xf numFmtId="165" fontId="0" fillId="20" borderId="14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14" xfId="0" applyFill="1" applyBorder="1" applyAlignment="1">
      <alignment horizontal="center"/>
    </xf>
    <xf numFmtId="1" fontId="0" fillId="20" borderId="14" xfId="0" applyNumberFormat="1" applyFill="1" applyBorder="1" applyAlignment="1">
      <alignment horizontal="center"/>
    </xf>
    <xf numFmtId="1" fontId="0" fillId="20" borderId="3" xfId="0" applyNumberFormat="1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0" fontId="9" fillId="20" borderId="6" xfId="0" applyFont="1" applyFill="1" applyBorder="1" applyAlignment="1">
      <alignment horizontal="center" vertical="center"/>
    </xf>
    <xf numFmtId="2" fontId="0" fillId="20" borderId="5" xfId="0" applyNumberFormat="1" applyFill="1" applyBorder="1" applyAlignment="1">
      <alignment horizontal="center"/>
    </xf>
    <xf numFmtId="2" fontId="0" fillId="20" borderId="0" xfId="0" applyNumberFormat="1" applyFill="1" applyAlignment="1">
      <alignment horizontal="center"/>
    </xf>
    <xf numFmtId="2" fontId="0" fillId="20" borderId="7" xfId="0" applyNumberFormat="1" applyFill="1" applyBorder="1" applyAlignment="1">
      <alignment horizontal="center"/>
    </xf>
    <xf numFmtId="165" fontId="0" fillId="20" borderId="5" xfId="0" applyNumberFormat="1" applyFill="1" applyBorder="1" applyAlignment="1">
      <alignment horizontal="center"/>
    </xf>
    <xf numFmtId="165" fontId="0" fillId="20" borderId="0" xfId="0" applyNumberFormat="1" applyFill="1" applyAlignment="1">
      <alignment horizontal="center"/>
    </xf>
    <xf numFmtId="0" fontId="0" fillId="20" borderId="5" xfId="0" applyFill="1" applyBorder="1" applyAlignment="1">
      <alignment horizontal="center"/>
    </xf>
    <xf numFmtId="1" fontId="0" fillId="20" borderId="0" xfId="0" applyNumberFormat="1" applyFill="1" applyAlignment="1">
      <alignment horizontal="center"/>
    </xf>
    <xf numFmtId="1" fontId="0" fillId="20" borderId="7" xfId="0" applyNumberFormat="1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9" fillId="20" borderId="9" xfId="0" applyFont="1" applyFill="1" applyBorder="1" applyAlignment="1">
      <alignment horizontal="center" vertical="center"/>
    </xf>
    <xf numFmtId="0" fontId="0" fillId="20" borderId="4" xfId="0" applyFill="1" applyBorder="1" applyAlignment="1">
      <alignment horizontal="center"/>
    </xf>
    <xf numFmtId="2" fontId="0" fillId="20" borderId="8" xfId="0" applyNumberFormat="1" applyFill="1" applyBorder="1" applyAlignment="1">
      <alignment horizontal="center"/>
    </xf>
    <xf numFmtId="2" fontId="0" fillId="20" borderId="4" xfId="0" applyNumberFormat="1" applyFill="1" applyBorder="1" applyAlignment="1">
      <alignment horizontal="center"/>
    </xf>
    <xf numFmtId="2" fontId="0" fillId="20" borderId="10" xfId="0" applyNumberFormat="1" applyFill="1" applyBorder="1" applyAlignment="1">
      <alignment horizontal="center"/>
    </xf>
    <xf numFmtId="165" fontId="0" fillId="20" borderId="8" xfId="0" applyNumberFormat="1" applyFill="1" applyBorder="1" applyAlignment="1">
      <alignment horizontal="center"/>
    </xf>
    <xf numFmtId="165" fontId="0" fillId="20" borderId="4" xfId="0" applyNumberFormat="1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" fontId="0" fillId="20" borderId="4" xfId="0" applyNumberFormat="1" applyFill="1" applyBorder="1" applyAlignment="1">
      <alignment horizontal="center"/>
    </xf>
    <xf numFmtId="1" fontId="0" fillId="20" borderId="10" xfId="0" applyNumberFormat="1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9" fillId="7" borderId="12" xfId="0" applyFont="1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/>
    </xf>
    <xf numFmtId="0" fontId="2" fillId="7" borderId="0" xfId="2" applyFill="1" applyAlignment="1">
      <alignment horizontal="center"/>
    </xf>
    <xf numFmtId="2" fontId="0" fillId="7" borderId="11" xfId="0" applyNumberFormat="1" applyFill="1" applyBorder="1" applyAlignment="1">
      <alignment horizontal="center"/>
    </xf>
    <xf numFmtId="2" fontId="0" fillId="7" borderId="15" xfId="0" applyNumberFormat="1" applyFill="1" applyBorder="1" applyAlignment="1">
      <alignment horizontal="center"/>
    </xf>
    <xf numFmtId="2" fontId="0" fillId="13" borderId="13" xfId="0" applyNumberFormat="1" applyFill="1" applyBorder="1" applyAlignment="1">
      <alignment horizontal="center"/>
    </xf>
    <xf numFmtId="2" fontId="0" fillId="13" borderId="15" xfId="0" applyNumberFormat="1" applyFill="1" applyBorder="1" applyAlignment="1">
      <alignment horizontal="center"/>
    </xf>
    <xf numFmtId="165" fontId="0" fillId="7" borderId="11" xfId="0" applyNumberFormat="1" applyFill="1" applyBorder="1" applyAlignment="1">
      <alignment horizontal="center"/>
    </xf>
    <xf numFmtId="165" fontId="0" fillId="7" borderId="15" xfId="0" applyNumberFormat="1" applyFill="1" applyBorder="1" applyAlignment="1">
      <alignment horizontal="center"/>
    </xf>
    <xf numFmtId="165" fontId="0" fillId="13" borderId="15" xfId="0" applyNumberFormat="1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13" borderId="13" xfId="0" applyFill="1" applyBorder="1" applyAlignment="1">
      <alignment horizontal="center"/>
    </xf>
    <xf numFmtId="1" fontId="0" fillId="7" borderId="15" xfId="0" applyNumberFormat="1" applyFill="1" applyBorder="1" applyAlignment="1">
      <alignment horizontal="center"/>
    </xf>
    <xf numFmtId="1" fontId="0" fillId="7" borderId="14" xfId="0" applyNumberFormat="1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14" xfId="0" applyFill="1" applyBorder="1" applyAlignment="1">
      <alignment horizontal="center"/>
    </xf>
    <xf numFmtId="0" fontId="2" fillId="21" borderId="14" xfId="2" applyFill="1" applyBorder="1" applyAlignment="1">
      <alignment horizontal="center"/>
    </xf>
    <xf numFmtId="2" fontId="0" fillId="21" borderId="1" xfId="0" applyNumberFormat="1" applyFill="1" applyBorder="1" applyAlignment="1">
      <alignment horizontal="center"/>
    </xf>
    <xf numFmtId="2" fontId="0" fillId="21" borderId="14" xfId="0" applyNumberFormat="1" applyFill="1" applyBorder="1" applyAlignment="1">
      <alignment horizontal="center"/>
    </xf>
    <xf numFmtId="165" fontId="0" fillId="21" borderId="1" xfId="0" applyNumberFormat="1" applyFill="1" applyBorder="1" applyAlignment="1">
      <alignment horizontal="center"/>
    </xf>
    <xf numFmtId="165" fontId="0" fillId="21" borderId="14" xfId="0" applyNumberFormat="1" applyFill="1" applyBorder="1" applyAlignment="1">
      <alignment horizontal="center"/>
    </xf>
    <xf numFmtId="165" fontId="0" fillId="13" borderId="3" xfId="0" applyNumberFormat="1" applyFill="1" applyBorder="1" applyAlignment="1">
      <alignment horizontal="center"/>
    </xf>
    <xf numFmtId="1" fontId="0" fillId="21" borderId="14" xfId="0" applyNumberFormat="1" applyFill="1" applyBorder="1" applyAlignment="1">
      <alignment horizontal="center"/>
    </xf>
    <xf numFmtId="1" fontId="0" fillId="21" borderId="3" xfId="0" applyNumberFormat="1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0" fontId="0" fillId="21" borderId="5" xfId="0" applyFill="1" applyBorder="1" applyAlignment="1">
      <alignment horizontal="center"/>
    </xf>
    <xf numFmtId="0" fontId="0" fillId="21" borderId="0" xfId="0" applyFill="1" applyAlignment="1">
      <alignment horizontal="center"/>
    </xf>
    <xf numFmtId="0" fontId="2" fillId="21" borderId="0" xfId="2" applyFill="1" applyAlignment="1">
      <alignment horizontal="center"/>
    </xf>
    <xf numFmtId="2" fontId="0" fillId="21" borderId="5" xfId="0" applyNumberFormat="1" applyFill="1" applyBorder="1" applyAlignment="1">
      <alignment horizontal="center"/>
    </xf>
    <xf numFmtId="2" fontId="0" fillId="21" borderId="0" xfId="0" applyNumberFormat="1" applyFill="1" applyAlignment="1">
      <alignment horizontal="center"/>
    </xf>
    <xf numFmtId="165" fontId="0" fillId="21" borderId="5" xfId="0" applyNumberFormat="1" applyFill="1" applyBorder="1" applyAlignment="1">
      <alignment horizontal="center"/>
    </xf>
    <xf numFmtId="1" fontId="0" fillId="21" borderId="0" xfId="0" applyNumberFormat="1" applyFill="1" applyAlignment="1">
      <alignment horizontal="center"/>
    </xf>
    <xf numFmtId="168" fontId="0" fillId="13" borderId="0" xfId="0" applyNumberFormat="1" applyFill="1" applyAlignment="1">
      <alignment horizontal="center"/>
    </xf>
    <xf numFmtId="1" fontId="0" fillId="13" borderId="0" xfId="0" applyNumberFormat="1" applyFill="1" applyAlignment="1">
      <alignment horizontal="center"/>
    </xf>
    <xf numFmtId="0" fontId="0" fillId="21" borderId="7" xfId="0" applyFill="1" applyBorder="1" applyAlignment="1">
      <alignment horizontal="center"/>
    </xf>
    <xf numFmtId="0" fontId="0" fillId="21" borderId="8" xfId="0" applyFill="1" applyBorder="1" applyAlignment="1">
      <alignment horizontal="center"/>
    </xf>
    <xf numFmtId="0" fontId="0" fillId="21" borderId="4" xfId="0" applyFill="1" applyBorder="1" applyAlignment="1">
      <alignment horizontal="center"/>
    </xf>
    <xf numFmtId="2" fontId="0" fillId="21" borderId="8" xfId="0" applyNumberFormat="1" applyFill="1" applyBorder="1" applyAlignment="1">
      <alignment horizontal="center"/>
    </xf>
    <xf numFmtId="2" fontId="0" fillId="21" borderId="4" xfId="0" applyNumberFormat="1" applyFill="1" applyBorder="1" applyAlignment="1">
      <alignment horizontal="center"/>
    </xf>
    <xf numFmtId="165" fontId="0" fillId="21" borderId="8" xfId="0" applyNumberFormat="1" applyFill="1" applyBorder="1" applyAlignment="1">
      <alignment horizontal="center"/>
    </xf>
    <xf numFmtId="1" fontId="0" fillId="21" borderId="4" xfId="0" applyNumberFormat="1" applyFill="1" applyBorder="1" applyAlignment="1">
      <alignment horizontal="center"/>
    </xf>
    <xf numFmtId="1" fontId="0" fillId="13" borderId="4" xfId="0" applyNumberFormat="1" applyFill="1" applyBorder="1" applyAlignment="1">
      <alignment horizontal="center"/>
    </xf>
    <xf numFmtId="0" fontId="0" fillId="21" borderId="10" xfId="0" applyFill="1" applyBorder="1" applyAlignment="1">
      <alignment horizontal="center"/>
    </xf>
    <xf numFmtId="0" fontId="9" fillId="22" borderId="2" xfId="0" applyFont="1" applyFill="1" applyBorder="1" applyAlignment="1">
      <alignment horizontal="center" vertical="center"/>
    </xf>
    <xf numFmtId="0" fontId="0" fillId="22" borderId="1" xfId="0" applyFill="1" applyBorder="1" applyAlignment="1">
      <alignment horizontal="center"/>
    </xf>
    <xf numFmtId="0" fontId="0" fillId="22" borderId="14" xfId="0" applyFill="1" applyBorder="1" applyAlignment="1">
      <alignment horizontal="center"/>
    </xf>
    <xf numFmtId="2" fontId="0" fillId="22" borderId="1" xfId="0" applyNumberFormat="1" applyFill="1" applyBorder="1" applyAlignment="1">
      <alignment horizontal="center"/>
    </xf>
    <xf numFmtId="2" fontId="0" fillId="22" borderId="14" xfId="0" applyNumberFormat="1" applyFill="1" applyBorder="1" applyAlignment="1">
      <alignment horizontal="center"/>
    </xf>
    <xf numFmtId="2" fontId="0" fillId="22" borderId="3" xfId="0" applyNumberFormat="1" applyFill="1" applyBorder="1" applyAlignment="1">
      <alignment horizontal="center"/>
    </xf>
    <xf numFmtId="165" fontId="0" fillId="22" borderId="1" xfId="0" applyNumberFormat="1" applyFill="1" applyBorder="1" applyAlignment="1">
      <alignment horizontal="center"/>
    </xf>
    <xf numFmtId="165" fontId="0" fillId="22" borderId="14" xfId="0" applyNumberFormat="1" applyFill="1" applyBorder="1" applyAlignment="1">
      <alignment horizontal="center"/>
    </xf>
    <xf numFmtId="165" fontId="0" fillId="22" borderId="3" xfId="0" applyNumberFormat="1" applyFill="1" applyBorder="1" applyAlignment="1">
      <alignment horizontal="center"/>
    </xf>
    <xf numFmtId="1" fontId="0" fillId="22" borderId="14" xfId="0" applyNumberFormat="1" applyFill="1" applyBorder="1" applyAlignment="1">
      <alignment horizontal="center"/>
    </xf>
    <xf numFmtId="1" fontId="0" fillId="22" borderId="3" xfId="0" applyNumberForma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9" fillId="22" borderId="6" xfId="0" applyFont="1" applyFill="1" applyBorder="1" applyAlignment="1">
      <alignment horizontal="center" vertical="center"/>
    </xf>
    <xf numFmtId="0" fontId="0" fillId="22" borderId="5" xfId="0" applyFill="1" applyBorder="1" applyAlignment="1">
      <alignment horizontal="center"/>
    </xf>
    <xf numFmtId="0" fontId="0" fillId="22" borderId="0" xfId="0" applyFill="1" applyAlignment="1">
      <alignment horizontal="center"/>
    </xf>
    <xf numFmtId="2" fontId="0" fillId="22" borderId="5" xfId="0" applyNumberFormat="1" applyFill="1" applyBorder="1" applyAlignment="1">
      <alignment horizontal="center"/>
    </xf>
    <xf numFmtId="2" fontId="0" fillId="22" borderId="0" xfId="0" applyNumberFormat="1" applyFill="1" applyAlignment="1">
      <alignment horizontal="center"/>
    </xf>
    <xf numFmtId="2" fontId="0" fillId="22" borderId="7" xfId="0" applyNumberFormat="1" applyFill="1" applyBorder="1" applyAlignment="1">
      <alignment horizontal="center"/>
    </xf>
    <xf numFmtId="165" fontId="0" fillId="22" borderId="5" xfId="0" applyNumberFormat="1" applyFill="1" applyBorder="1" applyAlignment="1">
      <alignment horizontal="center"/>
    </xf>
    <xf numFmtId="165" fontId="0" fillId="22" borderId="0" xfId="0" applyNumberFormat="1" applyFill="1" applyAlignment="1">
      <alignment horizontal="center"/>
    </xf>
    <xf numFmtId="165" fontId="0" fillId="22" borderId="7" xfId="0" applyNumberFormat="1" applyFill="1" applyBorder="1" applyAlignment="1">
      <alignment horizontal="center"/>
    </xf>
    <xf numFmtId="0" fontId="0" fillId="22" borderId="7" xfId="0" applyFill="1" applyBorder="1" applyAlignment="1">
      <alignment horizontal="center"/>
    </xf>
    <xf numFmtId="1" fontId="0" fillId="22" borderId="0" xfId="0" applyNumberFormat="1" applyFill="1" applyAlignment="1">
      <alignment horizontal="center"/>
    </xf>
    <xf numFmtId="1" fontId="0" fillId="22" borderId="7" xfId="0" applyNumberFormat="1" applyFill="1" applyBorder="1" applyAlignment="1">
      <alignment horizontal="center"/>
    </xf>
    <xf numFmtId="0" fontId="9" fillId="22" borderId="9" xfId="0" applyFont="1" applyFill="1" applyBorder="1" applyAlignment="1">
      <alignment horizontal="center" vertical="center"/>
    </xf>
    <xf numFmtId="0" fontId="0" fillId="22" borderId="8" xfId="0" applyFill="1" applyBorder="1" applyAlignment="1">
      <alignment horizontal="center"/>
    </xf>
    <xf numFmtId="0" fontId="0" fillId="22" borderId="4" xfId="0" applyFill="1" applyBorder="1" applyAlignment="1">
      <alignment horizontal="center"/>
    </xf>
    <xf numFmtId="2" fontId="0" fillId="22" borderId="8" xfId="0" applyNumberFormat="1" applyFill="1" applyBorder="1" applyAlignment="1">
      <alignment horizontal="center"/>
    </xf>
    <xf numFmtId="2" fontId="0" fillId="22" borderId="4" xfId="0" applyNumberFormat="1" applyFill="1" applyBorder="1" applyAlignment="1">
      <alignment horizontal="center"/>
    </xf>
    <xf numFmtId="2" fontId="0" fillId="22" borderId="10" xfId="0" applyNumberFormat="1" applyFill="1" applyBorder="1" applyAlignment="1">
      <alignment horizontal="center"/>
    </xf>
    <xf numFmtId="165" fontId="0" fillId="22" borderId="8" xfId="0" applyNumberFormat="1" applyFill="1" applyBorder="1" applyAlignment="1">
      <alignment horizontal="center"/>
    </xf>
    <xf numFmtId="165" fontId="0" fillId="22" borderId="4" xfId="0" applyNumberFormat="1" applyFill="1" applyBorder="1" applyAlignment="1">
      <alignment horizontal="center"/>
    </xf>
    <xf numFmtId="165" fontId="0" fillId="22" borderId="10" xfId="0" applyNumberFormat="1" applyFill="1" applyBorder="1" applyAlignment="1">
      <alignment horizontal="center"/>
    </xf>
    <xf numFmtId="0" fontId="0" fillId="22" borderId="10" xfId="0" applyFill="1" applyBorder="1" applyAlignment="1">
      <alignment horizontal="center"/>
    </xf>
    <xf numFmtId="1" fontId="0" fillId="22" borderId="4" xfId="0" applyNumberFormat="1" applyFill="1" applyBorder="1" applyAlignment="1">
      <alignment horizontal="center"/>
    </xf>
    <xf numFmtId="1" fontId="0" fillId="22" borderId="10" xfId="0" applyNumberFormat="1" applyFill="1" applyBorder="1" applyAlignment="1">
      <alignment horizontal="center"/>
    </xf>
    <xf numFmtId="0" fontId="9" fillId="4" borderId="12" xfId="0" applyFont="1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2" fillId="4" borderId="13" xfId="2" applyFill="1" applyBorder="1" applyAlignment="1">
      <alignment horizontal="center"/>
    </xf>
    <xf numFmtId="2" fontId="0" fillId="4" borderId="11" xfId="0" applyNumberFormat="1" applyFill="1" applyBorder="1" applyAlignment="1">
      <alignment horizontal="center"/>
    </xf>
    <xf numFmtId="2" fontId="0" fillId="4" borderId="15" xfId="0" applyNumberFormat="1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2" fontId="0" fillId="4" borderId="13" xfId="0" applyNumberForma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1" fontId="0" fillId="4" borderId="15" xfId="0" applyNumberFormat="1" applyFill="1" applyBorder="1" applyAlignment="1">
      <alignment horizontal="center"/>
    </xf>
    <xf numFmtId="1" fontId="0" fillId="13" borderId="13" xfId="0" applyNumberFormat="1" applyFill="1" applyBorder="1" applyAlignment="1">
      <alignment horizontal="center"/>
    </xf>
    <xf numFmtId="0" fontId="0" fillId="4" borderId="11" xfId="0" applyFill="1" applyBorder="1"/>
    <xf numFmtId="0" fontId="0" fillId="4" borderId="13" xfId="0" applyFill="1" applyBorder="1"/>
    <xf numFmtId="0" fontId="0" fillId="23" borderId="5" xfId="0" applyFill="1" applyBorder="1"/>
    <xf numFmtId="0" fontId="0" fillId="23" borderId="6" xfId="0" applyFill="1" applyBorder="1"/>
    <xf numFmtId="0" fontId="0" fillId="23" borderId="0" xfId="0" applyFill="1" applyAlignment="1">
      <alignment horizontal="center"/>
    </xf>
    <xf numFmtId="2" fontId="0" fillId="23" borderId="5" xfId="0" applyNumberFormat="1" applyFill="1" applyBorder="1" applyAlignment="1">
      <alignment horizontal="center"/>
    </xf>
    <xf numFmtId="2" fontId="0" fillId="23" borderId="0" xfId="0" applyNumberFormat="1" applyFill="1" applyAlignment="1">
      <alignment horizontal="center"/>
    </xf>
    <xf numFmtId="2" fontId="0" fillId="23" borderId="7" xfId="0" applyNumberFormat="1" applyFill="1" applyBorder="1" applyAlignment="1">
      <alignment horizontal="center"/>
    </xf>
    <xf numFmtId="165" fontId="0" fillId="23" borderId="5" xfId="0" applyNumberFormat="1" applyFill="1" applyBorder="1" applyAlignment="1">
      <alignment horizontal="center"/>
    </xf>
    <xf numFmtId="165" fontId="0" fillId="23" borderId="0" xfId="0" applyNumberFormat="1" applyFill="1" applyAlignment="1">
      <alignment horizontal="center"/>
    </xf>
    <xf numFmtId="0" fontId="0" fillId="23" borderId="5" xfId="0" applyFill="1" applyBorder="1" applyAlignment="1">
      <alignment horizontal="center"/>
    </xf>
    <xf numFmtId="0" fontId="0" fillId="23" borderId="7" xfId="0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165" fontId="0" fillId="6" borderId="14" xfId="0" applyNumberFormat="1" applyFill="1" applyBorder="1" applyAlignment="1">
      <alignment horizontal="center"/>
    </xf>
    <xf numFmtId="165" fontId="0" fillId="6" borderId="5" xfId="0" applyNumberFormat="1" applyFill="1" applyBorder="1" applyAlignment="1">
      <alignment horizontal="center"/>
    </xf>
    <xf numFmtId="165" fontId="0" fillId="6" borderId="0" xfId="0" applyNumberFormat="1" applyFill="1" applyAlignment="1">
      <alignment horizontal="center"/>
    </xf>
    <xf numFmtId="165" fontId="0" fillId="13" borderId="7" xfId="0" applyNumberFormat="1" applyFill="1" applyBorder="1" applyAlignment="1">
      <alignment horizontal="center"/>
    </xf>
    <xf numFmtId="1" fontId="0" fillId="6" borderId="7" xfId="0" applyNumberFormat="1" applyFill="1" applyBorder="1" applyAlignment="1">
      <alignment horizontal="center"/>
    </xf>
    <xf numFmtId="165" fontId="0" fillId="6" borderId="8" xfId="0" applyNumberFormat="1" applyFill="1" applyBorder="1" applyAlignment="1">
      <alignment horizontal="center"/>
    </xf>
    <xf numFmtId="165" fontId="0" fillId="6" borderId="4" xfId="0" applyNumberFormat="1" applyFill="1" applyBorder="1" applyAlignment="1">
      <alignment horizontal="center"/>
    </xf>
    <xf numFmtId="2" fontId="0" fillId="14" borderId="3" xfId="0" applyNumberFormat="1" applyFill="1" applyBorder="1" applyAlignment="1">
      <alignment horizontal="center"/>
    </xf>
    <xf numFmtId="165" fontId="0" fillId="14" borderId="1" xfId="0" applyNumberFormat="1" applyFill="1" applyBorder="1" applyAlignment="1">
      <alignment horizontal="center"/>
    </xf>
    <xf numFmtId="165" fontId="0" fillId="14" borderId="14" xfId="0" applyNumberFormat="1" applyFill="1" applyBorder="1" applyAlignment="1">
      <alignment horizontal="center"/>
    </xf>
    <xf numFmtId="2" fontId="0" fillId="14" borderId="7" xfId="0" applyNumberFormat="1" applyFill="1" applyBorder="1" applyAlignment="1">
      <alignment horizontal="center"/>
    </xf>
    <xf numFmtId="165" fontId="0" fillId="14" borderId="5" xfId="0" applyNumberFormat="1" applyFill="1" applyBorder="1" applyAlignment="1">
      <alignment horizontal="center"/>
    </xf>
    <xf numFmtId="165" fontId="0" fillId="14" borderId="0" xfId="0" applyNumberFormat="1" applyFill="1" applyAlignment="1">
      <alignment horizontal="center"/>
    </xf>
    <xf numFmtId="165" fontId="0" fillId="14" borderId="8" xfId="0" applyNumberFormat="1" applyFill="1" applyBorder="1" applyAlignment="1">
      <alignment horizontal="center"/>
    </xf>
    <xf numFmtId="165" fontId="0" fillId="14" borderId="4" xfId="0" applyNumberFormat="1" applyFill="1" applyBorder="1" applyAlignment="1">
      <alignment horizontal="center"/>
    </xf>
    <xf numFmtId="2" fontId="0" fillId="15" borderId="1" xfId="0" applyNumberFormat="1" applyFill="1" applyBorder="1" applyAlignment="1">
      <alignment horizontal="center"/>
    </xf>
    <xf numFmtId="165" fontId="0" fillId="15" borderId="1" xfId="0" applyNumberFormat="1" applyFill="1" applyBorder="1" applyAlignment="1">
      <alignment horizontal="center"/>
    </xf>
    <xf numFmtId="165" fontId="0" fillId="15" borderId="14" xfId="0" applyNumberFormat="1" applyFill="1" applyBorder="1" applyAlignment="1">
      <alignment horizontal="center"/>
    </xf>
    <xf numFmtId="165" fontId="0" fillId="15" borderId="5" xfId="0" applyNumberFormat="1" applyFill="1" applyBorder="1" applyAlignment="1">
      <alignment horizontal="center"/>
    </xf>
    <xf numFmtId="165" fontId="0" fillId="15" borderId="0" xfId="0" applyNumberFormat="1" applyFill="1" applyAlignment="1">
      <alignment horizontal="center"/>
    </xf>
    <xf numFmtId="1" fontId="0" fillId="15" borderId="7" xfId="0" applyNumberFormat="1" applyFill="1" applyBorder="1" applyAlignment="1">
      <alignment horizontal="center"/>
    </xf>
    <xf numFmtId="165" fontId="0" fillId="15" borderId="8" xfId="0" applyNumberFormat="1" applyFill="1" applyBorder="1" applyAlignment="1">
      <alignment horizontal="center"/>
    </xf>
    <xf numFmtId="165" fontId="0" fillId="15" borderId="4" xfId="0" applyNumberFormat="1" applyFill="1" applyBorder="1" applyAlignment="1">
      <alignment horizontal="center"/>
    </xf>
    <xf numFmtId="165" fontId="0" fillId="16" borderId="1" xfId="0" applyNumberFormat="1" applyFill="1" applyBorder="1" applyAlignment="1">
      <alignment horizontal="center"/>
    </xf>
    <xf numFmtId="165" fontId="0" fillId="16" borderId="14" xfId="0" applyNumberFormat="1" applyFill="1" applyBorder="1" applyAlignment="1">
      <alignment horizontal="center"/>
    </xf>
    <xf numFmtId="165" fontId="0" fillId="16" borderId="3" xfId="0" applyNumberFormat="1" applyFill="1" applyBorder="1" applyAlignment="1">
      <alignment horizontal="center"/>
    </xf>
    <xf numFmtId="165" fontId="0" fillId="16" borderId="5" xfId="0" applyNumberFormat="1" applyFill="1" applyBorder="1" applyAlignment="1">
      <alignment horizontal="center"/>
    </xf>
    <xf numFmtId="165" fontId="0" fillId="16" borderId="0" xfId="0" applyNumberFormat="1" applyFill="1" applyAlignment="1">
      <alignment horizontal="center"/>
    </xf>
    <xf numFmtId="165" fontId="0" fillId="16" borderId="7" xfId="0" applyNumberFormat="1" applyFill="1" applyBorder="1" applyAlignment="1">
      <alignment horizontal="center"/>
    </xf>
    <xf numFmtId="165" fontId="0" fillId="16" borderId="8" xfId="0" applyNumberFormat="1" applyFill="1" applyBorder="1" applyAlignment="1">
      <alignment horizontal="center"/>
    </xf>
    <xf numFmtId="165" fontId="0" fillId="16" borderId="4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165" fontId="0" fillId="3" borderId="1" xfId="0" applyNumberFormat="1" applyFill="1" applyBorder="1" applyAlignment="1">
      <alignment horizontal="center"/>
    </xf>
    <xf numFmtId="165" fontId="0" fillId="3" borderId="14" xfId="0" applyNumberFormat="1" applyFill="1" applyBorder="1" applyAlignment="1">
      <alignment horizontal="center"/>
    </xf>
    <xf numFmtId="165" fontId="0" fillId="3" borderId="5" xfId="0" applyNumberFormat="1" applyFill="1" applyBorder="1" applyAlignment="1">
      <alignment horizontal="center"/>
    </xf>
    <xf numFmtId="165" fontId="0" fillId="3" borderId="0" xfId="0" applyNumberFormat="1" applyFill="1" applyAlignment="1">
      <alignment horizontal="center"/>
    </xf>
    <xf numFmtId="1" fontId="0" fillId="3" borderId="7" xfId="0" applyNumberFormat="1" applyFill="1" applyBorder="1" applyAlignment="1">
      <alignment horizontal="center"/>
    </xf>
    <xf numFmtId="165" fontId="0" fillId="3" borderId="8" xfId="0" applyNumberFormat="1" applyFill="1" applyBorder="1" applyAlignment="1">
      <alignment horizontal="center"/>
    </xf>
    <xf numFmtId="165" fontId="0" fillId="3" borderId="4" xfId="0" applyNumberFormat="1" applyFill="1" applyBorder="1" applyAlignment="1">
      <alignment horizontal="center"/>
    </xf>
    <xf numFmtId="165" fontId="0" fillId="17" borderId="1" xfId="0" applyNumberFormat="1" applyFill="1" applyBorder="1" applyAlignment="1">
      <alignment horizontal="center"/>
    </xf>
    <xf numFmtId="165" fontId="0" fillId="17" borderId="14" xfId="0" applyNumberFormat="1" applyFill="1" applyBorder="1" applyAlignment="1">
      <alignment horizontal="center"/>
    </xf>
    <xf numFmtId="1" fontId="0" fillId="17" borderId="14" xfId="0" applyNumberFormat="1" applyFill="1" applyBorder="1" applyAlignment="1">
      <alignment horizontal="center"/>
    </xf>
    <xf numFmtId="1" fontId="0" fillId="17" borderId="3" xfId="0" applyNumberFormat="1" applyFill="1" applyBorder="1" applyAlignment="1">
      <alignment horizontal="center"/>
    </xf>
    <xf numFmtId="165" fontId="0" fillId="17" borderId="5" xfId="0" applyNumberFormat="1" applyFill="1" applyBorder="1" applyAlignment="1">
      <alignment horizontal="center"/>
    </xf>
    <xf numFmtId="165" fontId="0" fillId="17" borderId="0" xfId="0" applyNumberFormat="1" applyFill="1" applyAlignment="1">
      <alignment horizontal="center"/>
    </xf>
    <xf numFmtId="1" fontId="0" fillId="17" borderId="0" xfId="0" applyNumberFormat="1" applyFill="1" applyAlignment="1">
      <alignment horizontal="center"/>
    </xf>
    <xf numFmtId="1" fontId="0" fillId="17" borderId="7" xfId="0" applyNumberFormat="1" applyFill="1" applyBorder="1" applyAlignment="1">
      <alignment horizontal="center"/>
    </xf>
    <xf numFmtId="165" fontId="0" fillId="17" borderId="8" xfId="0" applyNumberFormat="1" applyFill="1" applyBorder="1" applyAlignment="1">
      <alignment horizontal="center"/>
    </xf>
    <xf numFmtId="165" fontId="0" fillId="17" borderId="4" xfId="0" applyNumberFormat="1" applyFill="1" applyBorder="1" applyAlignment="1">
      <alignment horizontal="center"/>
    </xf>
    <xf numFmtId="1" fontId="0" fillId="17" borderId="4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165" fontId="0" fillId="4" borderId="14" xfId="0" applyNumberFormat="1" applyFill="1" applyBorder="1" applyAlignment="1">
      <alignment horizontal="center"/>
    </xf>
    <xf numFmtId="165" fontId="0" fillId="4" borderId="8" xfId="0" applyNumberFormat="1" applyFill="1" applyBorder="1" applyAlignment="1">
      <alignment horizontal="center"/>
    </xf>
    <xf numFmtId="165" fontId="0" fillId="4" borderId="4" xfId="0" applyNumberFormat="1" applyFill="1" applyBorder="1" applyAlignment="1">
      <alignment horizontal="center"/>
    </xf>
    <xf numFmtId="165" fontId="0" fillId="18" borderId="1" xfId="0" applyNumberFormat="1" applyFill="1" applyBorder="1" applyAlignment="1">
      <alignment horizontal="center"/>
    </xf>
    <xf numFmtId="165" fontId="0" fillId="18" borderId="14" xfId="0" applyNumberFormat="1" applyFill="1" applyBorder="1" applyAlignment="1">
      <alignment horizontal="center"/>
    </xf>
    <xf numFmtId="165" fontId="0" fillId="18" borderId="5" xfId="0" applyNumberFormat="1" applyFill="1" applyBorder="1" applyAlignment="1">
      <alignment horizontal="center"/>
    </xf>
    <xf numFmtId="165" fontId="0" fillId="18" borderId="0" xfId="0" applyNumberFormat="1" applyFill="1" applyAlignment="1">
      <alignment horizontal="center"/>
    </xf>
    <xf numFmtId="0" fontId="2" fillId="2" borderId="0" xfId="2" applyFill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2" borderId="3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2" fontId="0" fillId="2" borderId="8" xfId="0" applyNumberFormat="1" applyFill="1" applyBorder="1" applyAlignment="1">
      <alignment horizontal="center"/>
    </xf>
    <xf numFmtId="165" fontId="0" fillId="2" borderId="4" xfId="0" applyNumberFormat="1" applyFill="1" applyBorder="1" applyAlignment="1">
      <alignment horizontal="center"/>
    </xf>
    <xf numFmtId="165" fontId="0" fillId="13" borderId="10" xfId="0" applyNumberFormat="1" applyFill="1" applyBorder="1" applyAlignment="1">
      <alignment horizontal="center"/>
    </xf>
    <xf numFmtId="165" fontId="0" fillId="20" borderId="7" xfId="0" applyNumberFormat="1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0" fillId="7" borderId="14" xfId="0" applyNumberFormat="1" applyFill="1" applyBorder="1" applyAlignment="1">
      <alignment horizontal="center"/>
    </xf>
    <xf numFmtId="165" fontId="0" fillId="7" borderId="1" xfId="0" applyNumberFormat="1" applyFill="1" applyBorder="1" applyAlignment="1">
      <alignment horizontal="center"/>
    </xf>
    <xf numFmtId="165" fontId="0" fillId="7" borderId="14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2" fontId="0" fillId="7" borderId="3" xfId="0" applyNumberFormat="1" applyFill="1" applyBorder="1" applyAlignment="1">
      <alignment horizontal="center"/>
    </xf>
    <xf numFmtId="0" fontId="0" fillId="7" borderId="0" xfId="0" applyFill="1" applyAlignment="1">
      <alignment horizontal="center"/>
    </xf>
    <xf numFmtId="2" fontId="0" fillId="7" borderId="5" xfId="0" applyNumberFormat="1" applyFill="1" applyBorder="1" applyAlignment="1">
      <alignment horizontal="center"/>
    </xf>
    <xf numFmtId="2" fontId="0" fillId="7" borderId="0" xfId="0" applyNumberFormat="1" applyFill="1" applyAlignment="1">
      <alignment horizontal="center"/>
    </xf>
    <xf numFmtId="165" fontId="0" fillId="7" borderId="5" xfId="0" applyNumberFormat="1" applyFill="1" applyBorder="1" applyAlignment="1">
      <alignment horizontal="center"/>
    </xf>
    <xf numFmtId="165" fontId="0" fillId="7" borderId="0" xfId="0" applyNumberFormat="1" applyFill="1" applyAlignment="1">
      <alignment horizontal="center"/>
    </xf>
    <xf numFmtId="0" fontId="0" fillId="7" borderId="5" xfId="0" applyFill="1" applyBorder="1" applyAlignment="1">
      <alignment horizontal="center"/>
    </xf>
    <xf numFmtId="2" fontId="0" fillId="7" borderId="7" xfId="0" applyNumberFormat="1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1" fontId="0" fillId="7" borderId="0" xfId="0" applyNumberFormat="1" applyFill="1" applyAlignment="1">
      <alignment horizontal="center"/>
    </xf>
    <xf numFmtId="1" fontId="0" fillId="7" borderId="7" xfId="0" applyNumberFormat="1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2" fontId="0" fillId="7" borderId="8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7" borderId="10" xfId="0" applyNumberFormat="1" applyFill="1" applyBorder="1" applyAlignment="1">
      <alignment horizontal="center"/>
    </xf>
    <xf numFmtId="165" fontId="0" fillId="7" borderId="8" xfId="0" applyNumberFormat="1" applyFill="1" applyBorder="1" applyAlignment="1">
      <alignment horizontal="center"/>
    </xf>
    <xf numFmtId="165" fontId="0" fillId="7" borderId="4" xfId="0" applyNumberFormat="1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9" fillId="25" borderId="2" xfId="0" applyFont="1" applyFill="1" applyBorder="1" applyAlignment="1">
      <alignment horizontal="center" vertical="center"/>
    </xf>
    <xf numFmtId="0" fontId="0" fillId="25" borderId="14" xfId="0" applyFill="1" applyBorder="1" applyAlignment="1">
      <alignment horizontal="center"/>
    </xf>
    <xf numFmtId="2" fontId="0" fillId="25" borderId="1" xfId="0" applyNumberFormat="1" applyFill="1" applyBorder="1" applyAlignment="1">
      <alignment horizontal="center"/>
    </xf>
    <xf numFmtId="2" fontId="0" fillId="25" borderId="14" xfId="0" applyNumberFormat="1" applyFill="1" applyBorder="1" applyAlignment="1">
      <alignment horizontal="center"/>
    </xf>
    <xf numFmtId="2" fontId="0" fillId="25" borderId="3" xfId="0" applyNumberFormat="1" applyFill="1" applyBorder="1" applyAlignment="1">
      <alignment horizontal="center"/>
    </xf>
    <xf numFmtId="165" fontId="0" fillId="25" borderId="1" xfId="0" applyNumberFormat="1" applyFill="1" applyBorder="1" applyAlignment="1">
      <alignment horizontal="center"/>
    </xf>
    <xf numFmtId="165" fontId="0" fillId="25" borderId="14" xfId="0" applyNumberFormat="1" applyFill="1" applyBorder="1" applyAlignment="1">
      <alignment horizontal="center"/>
    </xf>
    <xf numFmtId="165" fontId="0" fillId="25" borderId="3" xfId="0" applyNumberForma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" fontId="0" fillId="25" borderId="14" xfId="0" applyNumberFormat="1" applyFill="1" applyBorder="1" applyAlignment="1">
      <alignment horizontal="center"/>
    </xf>
    <xf numFmtId="1" fontId="0" fillId="25" borderId="3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25" borderId="3" xfId="0" applyFill="1" applyBorder="1" applyAlignment="1">
      <alignment horizontal="center"/>
    </xf>
    <xf numFmtId="0" fontId="9" fillId="25" borderId="6" xfId="0" applyFont="1" applyFill="1" applyBorder="1" applyAlignment="1">
      <alignment horizontal="center" vertical="center"/>
    </xf>
    <xf numFmtId="0" fontId="0" fillId="25" borderId="0" xfId="0" applyFill="1" applyAlignment="1">
      <alignment horizontal="center"/>
    </xf>
    <xf numFmtId="2" fontId="0" fillId="25" borderId="5" xfId="0" applyNumberFormat="1" applyFill="1" applyBorder="1" applyAlignment="1">
      <alignment horizontal="center"/>
    </xf>
    <xf numFmtId="2" fontId="0" fillId="25" borderId="0" xfId="0" applyNumberFormat="1" applyFill="1" applyAlignment="1">
      <alignment horizontal="center"/>
    </xf>
    <xf numFmtId="2" fontId="0" fillId="25" borderId="7" xfId="0" applyNumberFormat="1" applyFill="1" applyBorder="1" applyAlignment="1">
      <alignment horizontal="center"/>
    </xf>
    <xf numFmtId="165" fontId="0" fillId="25" borderId="5" xfId="0" applyNumberFormat="1" applyFill="1" applyBorder="1" applyAlignment="1">
      <alignment horizontal="center"/>
    </xf>
    <xf numFmtId="165" fontId="0" fillId="25" borderId="0" xfId="0" applyNumberFormat="1" applyFill="1" applyAlignment="1">
      <alignment horizontal="center"/>
    </xf>
    <xf numFmtId="165" fontId="0" fillId="25" borderId="7" xfId="0" applyNumberFormat="1" applyFill="1" applyBorder="1" applyAlignment="1">
      <alignment horizontal="center"/>
    </xf>
    <xf numFmtId="1" fontId="0" fillId="25" borderId="5" xfId="0" applyNumberFormat="1" applyFill="1" applyBorder="1" applyAlignment="1">
      <alignment horizontal="center"/>
    </xf>
    <xf numFmtId="1" fontId="0" fillId="25" borderId="0" xfId="0" applyNumberFormat="1" applyFill="1" applyAlignment="1">
      <alignment horizontal="center"/>
    </xf>
    <xf numFmtId="1" fontId="0" fillId="25" borderId="7" xfId="0" applyNumberFormat="1" applyFill="1" applyBorder="1" applyAlignment="1">
      <alignment horizontal="center"/>
    </xf>
    <xf numFmtId="0" fontId="0" fillId="25" borderId="5" xfId="0" applyFill="1" applyBorder="1" applyAlignment="1">
      <alignment horizontal="center"/>
    </xf>
    <xf numFmtId="0" fontId="0" fillId="25" borderId="7" xfId="0" applyFill="1" applyBorder="1" applyAlignment="1">
      <alignment horizontal="center"/>
    </xf>
    <xf numFmtId="0" fontId="9" fillId="25" borderId="9" xfId="0" applyFont="1" applyFill="1" applyBorder="1" applyAlignment="1">
      <alignment horizontal="center" vertical="center"/>
    </xf>
    <xf numFmtId="0" fontId="0" fillId="25" borderId="4" xfId="0" applyFill="1" applyBorder="1" applyAlignment="1">
      <alignment horizontal="center"/>
    </xf>
    <xf numFmtId="2" fontId="0" fillId="25" borderId="8" xfId="0" applyNumberFormat="1" applyFill="1" applyBorder="1" applyAlignment="1">
      <alignment horizontal="center"/>
    </xf>
    <xf numFmtId="2" fontId="0" fillId="25" borderId="4" xfId="0" applyNumberFormat="1" applyFill="1" applyBorder="1" applyAlignment="1">
      <alignment horizontal="center"/>
    </xf>
    <xf numFmtId="2" fontId="0" fillId="25" borderId="10" xfId="0" applyNumberFormat="1" applyFill="1" applyBorder="1" applyAlignment="1">
      <alignment horizontal="center"/>
    </xf>
    <xf numFmtId="165" fontId="0" fillId="25" borderId="8" xfId="0" applyNumberFormat="1" applyFill="1" applyBorder="1" applyAlignment="1">
      <alignment horizontal="center"/>
    </xf>
    <xf numFmtId="165" fontId="0" fillId="25" borderId="4" xfId="0" applyNumberFormat="1" applyFill="1" applyBorder="1" applyAlignment="1">
      <alignment horizontal="center"/>
    </xf>
    <xf numFmtId="165" fontId="0" fillId="25" borderId="10" xfId="0" applyNumberFormat="1" applyFill="1" applyBorder="1" applyAlignment="1">
      <alignment horizontal="center"/>
    </xf>
    <xf numFmtId="1" fontId="0" fillId="25" borderId="8" xfId="0" applyNumberFormat="1" applyFill="1" applyBorder="1" applyAlignment="1">
      <alignment horizontal="center"/>
    </xf>
    <xf numFmtId="1" fontId="0" fillId="25" borderId="4" xfId="0" applyNumberFormat="1" applyFill="1" applyBorder="1" applyAlignment="1">
      <alignment horizontal="center"/>
    </xf>
    <xf numFmtId="1" fontId="0" fillId="25" borderId="10" xfId="0" applyNumberFormat="1" applyFill="1" applyBorder="1" applyAlignment="1">
      <alignment horizontal="center"/>
    </xf>
    <xf numFmtId="0" fontId="0" fillId="25" borderId="8" xfId="0" applyFill="1" applyBorder="1" applyAlignment="1">
      <alignment horizontal="center"/>
    </xf>
    <xf numFmtId="0" fontId="0" fillId="25" borderId="10" xfId="0" applyFill="1" applyBorder="1" applyAlignment="1">
      <alignment horizontal="center"/>
    </xf>
    <xf numFmtId="2" fontId="0" fillId="21" borderId="3" xfId="0" applyNumberFormat="1" applyFill="1" applyBorder="1" applyAlignment="1">
      <alignment horizontal="center"/>
    </xf>
    <xf numFmtId="165" fontId="0" fillId="21" borderId="0" xfId="0" applyNumberFormat="1" applyFill="1" applyAlignment="1">
      <alignment horizontal="center"/>
    </xf>
    <xf numFmtId="2" fontId="0" fillId="21" borderId="7" xfId="0" applyNumberFormat="1" applyFill="1" applyBorder="1" applyAlignment="1">
      <alignment horizontal="center"/>
    </xf>
    <xf numFmtId="1" fontId="0" fillId="21" borderId="7" xfId="0" applyNumberFormat="1" applyFill="1" applyBorder="1" applyAlignment="1">
      <alignment horizontal="center"/>
    </xf>
    <xf numFmtId="165" fontId="0" fillId="21" borderId="4" xfId="0" applyNumberFormat="1" applyFill="1" applyBorder="1" applyAlignment="1">
      <alignment horizontal="center"/>
    </xf>
    <xf numFmtId="2" fontId="0" fillId="21" borderId="10" xfId="0" applyNumberFormat="1" applyFill="1" applyBorder="1" applyAlignment="1">
      <alignment horizontal="center"/>
    </xf>
    <xf numFmtId="1" fontId="0" fillId="13" borderId="10" xfId="0" applyNumberForma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168" fontId="0" fillId="22" borderId="7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0" fillId="6" borderId="10" xfId="0" applyNumberFormat="1" applyFill="1" applyBorder="1" applyAlignment="1">
      <alignment horizontal="center"/>
    </xf>
    <xf numFmtId="165" fontId="0" fillId="14" borderId="3" xfId="0" applyNumberFormat="1" applyFill="1" applyBorder="1" applyAlignment="1">
      <alignment horizontal="center"/>
    </xf>
    <xf numFmtId="165" fontId="0" fillId="14" borderId="7" xfId="0" applyNumberFormat="1" applyFill="1" applyBorder="1" applyAlignment="1">
      <alignment horizontal="center"/>
    </xf>
    <xf numFmtId="2" fontId="0" fillId="14" borderId="8" xfId="0" applyNumberFormat="1" applyFill="1" applyBorder="1" applyAlignment="1">
      <alignment horizontal="center"/>
    </xf>
    <xf numFmtId="2" fontId="0" fillId="14" borderId="10" xfId="0" applyNumberFormat="1" applyFill="1" applyBorder="1" applyAlignment="1">
      <alignment horizontal="center"/>
    </xf>
    <xf numFmtId="165" fontId="0" fillId="14" borderId="10" xfId="0" applyNumberFormat="1" applyFill="1" applyBorder="1" applyAlignment="1">
      <alignment horizontal="center"/>
    </xf>
    <xf numFmtId="2" fontId="0" fillId="15" borderId="8" xfId="0" applyNumberFormat="1" applyFill="1" applyBorder="1" applyAlignment="1">
      <alignment horizontal="center"/>
    </xf>
    <xf numFmtId="2" fontId="0" fillId="15" borderId="10" xfId="0" applyNumberFormat="1" applyFill="1" applyBorder="1" applyAlignment="1">
      <alignment horizontal="center"/>
    </xf>
    <xf numFmtId="165" fontId="0" fillId="16" borderId="10" xfId="0" applyNumberFormat="1" applyFill="1" applyBorder="1" applyAlignment="1">
      <alignment horizontal="center"/>
    </xf>
    <xf numFmtId="2" fontId="0" fillId="3" borderId="8" xfId="0" applyNumberFormat="1" applyFill="1" applyBorder="1" applyAlignment="1">
      <alignment horizontal="center"/>
    </xf>
    <xf numFmtId="2" fontId="0" fillId="3" borderId="10" xfId="0" applyNumberFormat="1" applyFill="1" applyBorder="1" applyAlignment="1">
      <alignment horizontal="center"/>
    </xf>
    <xf numFmtId="2" fontId="0" fillId="17" borderId="8" xfId="0" applyNumberFormat="1" applyFill="1" applyBorder="1" applyAlignment="1">
      <alignment horizontal="center"/>
    </xf>
    <xf numFmtId="2" fontId="0" fillId="17" borderId="10" xfId="0" applyNumberFormat="1" applyFill="1" applyBorder="1" applyAlignment="1">
      <alignment horizontal="center"/>
    </xf>
    <xf numFmtId="0" fontId="9" fillId="4" borderId="12" xfId="0" applyFont="1" applyFill="1" applyBorder="1" applyAlignment="1">
      <alignment horizontal="center" vertical="center"/>
    </xf>
    <xf numFmtId="0" fontId="2" fillId="4" borderId="15" xfId="2" applyFill="1" applyBorder="1" applyAlignment="1">
      <alignment horizontal="center"/>
    </xf>
    <xf numFmtId="165" fontId="0" fillId="4" borderId="11" xfId="0" applyNumberFormat="1" applyFill="1" applyBorder="1" applyAlignment="1">
      <alignment horizontal="center"/>
    </xf>
    <xf numFmtId="165" fontId="0" fillId="4" borderId="15" xfId="0" applyNumberFormat="1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2" fillId="21" borderId="4" xfId="2" applyFill="1" applyBorder="1" applyAlignment="1">
      <alignment horizontal="center"/>
    </xf>
    <xf numFmtId="2" fontId="0" fillId="13" borderId="8" xfId="0" applyNumberFormat="1" applyFill="1" applyBorder="1" applyAlignment="1">
      <alignment horizontal="center"/>
    </xf>
    <xf numFmtId="2" fontId="0" fillId="23" borderId="0" xfId="0" applyNumberFormat="1" applyFill="1"/>
    <xf numFmtId="2" fontId="0" fillId="23" borderId="7" xfId="0" applyNumberFormat="1" applyFill="1" applyBorder="1"/>
    <xf numFmtId="2" fontId="0" fillId="23" borderId="5" xfId="0" applyNumberFormat="1" applyFill="1" applyBorder="1"/>
    <xf numFmtId="0" fontId="2" fillId="2" borderId="14" xfId="2" applyFill="1" applyBorder="1" applyAlignment="1">
      <alignment horizontal="center"/>
    </xf>
    <xf numFmtId="0" fontId="2" fillId="2" borderId="4" xfId="2" applyFill="1" applyBorder="1" applyAlignment="1">
      <alignment horizontal="center"/>
    </xf>
    <xf numFmtId="0" fontId="2" fillId="7" borderId="14" xfId="2" applyFill="1" applyBorder="1" applyAlignment="1">
      <alignment horizontal="center"/>
    </xf>
    <xf numFmtId="0" fontId="2" fillId="7" borderId="4" xfId="2" applyFill="1" applyBorder="1" applyAlignment="1">
      <alignment horizontal="center"/>
    </xf>
    <xf numFmtId="0" fontId="0" fillId="27" borderId="0" xfId="0" applyFill="1"/>
    <xf numFmtId="0" fontId="0" fillId="12" borderId="0" xfId="0" applyFill="1" applyAlignment="1">
      <alignment horizontal="center" vertical="center"/>
    </xf>
    <xf numFmtId="0" fontId="2" fillId="12" borderId="0" xfId="2" applyFill="1" applyAlignment="1">
      <alignment horizontal="center"/>
    </xf>
    <xf numFmtId="0" fontId="0" fillId="12" borderId="0" xfId="0" applyFill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2" fillId="0" borderId="0" xfId="2" applyAlignment="1">
      <alignment horizontal="left"/>
    </xf>
    <xf numFmtId="0" fontId="0" fillId="12" borderId="0" xfId="0" applyFill="1" applyAlignment="1">
      <alignment horizontal="left"/>
    </xf>
    <xf numFmtId="0" fontId="9" fillId="13" borderId="7" xfId="0" applyFont="1" applyFill="1" applyBorder="1" applyAlignment="1">
      <alignment horizontal="center"/>
    </xf>
    <xf numFmtId="0" fontId="0" fillId="2" borderId="14" xfId="0" applyFill="1" applyBorder="1" applyAlignment="1">
      <alignment horizontal="center" vertical="center"/>
    </xf>
    <xf numFmtId="0" fontId="2" fillId="12" borderId="14" xfId="2" applyFill="1" applyBorder="1" applyAlignment="1">
      <alignment horizontal="center"/>
    </xf>
    <xf numFmtId="1" fontId="0" fillId="2" borderId="14" xfId="0" applyNumberFormat="1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0" fillId="20" borderId="14" xfId="0" applyFill="1" applyBorder="1" applyAlignment="1">
      <alignment horizontal="center" vertical="center"/>
    </xf>
    <xf numFmtId="0" fontId="0" fillId="20" borderId="14" xfId="0" applyFill="1" applyBorder="1" applyAlignment="1">
      <alignment horizontal="left" vertical="center"/>
    </xf>
    <xf numFmtId="0" fontId="0" fillId="20" borderId="0" xfId="0" applyFill="1" applyAlignment="1">
      <alignment horizontal="center" vertical="center"/>
    </xf>
    <xf numFmtId="0" fontId="0" fillId="20" borderId="4" xfId="0" applyFill="1" applyBorder="1" applyAlignment="1">
      <alignment horizontal="center" vertical="center"/>
    </xf>
    <xf numFmtId="0" fontId="9" fillId="23" borderId="6" xfId="0" applyFont="1" applyFill="1" applyBorder="1" applyAlignment="1">
      <alignment horizontal="center" vertical="center"/>
    </xf>
    <xf numFmtId="0" fontId="0" fillId="23" borderId="0" xfId="0" applyFill="1" applyAlignment="1">
      <alignment horizontal="center" vertical="center"/>
    </xf>
    <xf numFmtId="49" fontId="0" fillId="23" borderId="0" xfId="0" applyNumberFormat="1" applyFill="1" applyAlignment="1">
      <alignment horizontal="left"/>
    </xf>
    <xf numFmtId="0" fontId="0" fillId="23" borderId="0" xfId="0" applyFill="1"/>
    <xf numFmtId="1" fontId="0" fillId="6" borderId="1" xfId="0" applyNumberFormat="1" applyFill="1" applyBorder="1" applyAlignment="1">
      <alignment horizontal="center"/>
    </xf>
    <xf numFmtId="1" fontId="0" fillId="6" borderId="5" xfId="0" applyNumberFormat="1" applyFill="1" applyBorder="1" applyAlignment="1">
      <alignment horizontal="center"/>
    </xf>
    <xf numFmtId="1" fontId="0" fillId="6" borderId="8" xfId="0" applyNumberFormat="1" applyFill="1" applyBorder="1" applyAlignment="1">
      <alignment horizontal="center"/>
    </xf>
    <xf numFmtId="1" fontId="0" fillId="6" borderId="4" xfId="0" applyNumberFormat="1" applyFill="1" applyBorder="1" applyAlignment="1">
      <alignment horizontal="center"/>
    </xf>
    <xf numFmtId="1" fontId="0" fillId="14" borderId="1" xfId="0" applyNumberFormat="1" applyFill="1" applyBorder="1" applyAlignment="1">
      <alignment horizontal="center"/>
    </xf>
    <xf numFmtId="1" fontId="0" fillId="14" borderId="14" xfId="0" applyNumberFormat="1" applyFill="1" applyBorder="1" applyAlignment="1">
      <alignment horizontal="center"/>
    </xf>
    <xf numFmtId="1" fontId="0" fillId="14" borderId="3" xfId="0" applyNumberFormat="1" applyFill="1" applyBorder="1" applyAlignment="1">
      <alignment horizontal="center"/>
    </xf>
    <xf numFmtId="1" fontId="0" fillId="14" borderId="5" xfId="0" applyNumberFormat="1" applyFill="1" applyBorder="1" applyAlignment="1">
      <alignment horizontal="center"/>
    </xf>
    <xf numFmtId="1" fontId="0" fillId="14" borderId="0" xfId="0" applyNumberFormat="1" applyFill="1" applyAlignment="1">
      <alignment horizontal="center"/>
    </xf>
    <xf numFmtId="1" fontId="0" fillId="14" borderId="7" xfId="0" applyNumberFormat="1" applyFill="1" applyBorder="1" applyAlignment="1">
      <alignment horizontal="center"/>
    </xf>
    <xf numFmtId="1" fontId="0" fillId="14" borderId="8" xfId="0" applyNumberFormat="1" applyFill="1" applyBorder="1" applyAlignment="1">
      <alignment horizontal="center"/>
    </xf>
    <xf numFmtId="1" fontId="0" fillId="14" borderId="4" xfId="0" applyNumberFormat="1" applyFill="1" applyBorder="1" applyAlignment="1">
      <alignment horizontal="center"/>
    </xf>
    <xf numFmtId="1" fontId="0" fillId="14" borderId="10" xfId="0" applyNumberForma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" fontId="0" fillId="2" borderId="5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 vertical="center"/>
    </xf>
    <xf numFmtId="1" fontId="0" fillId="2" borderId="8" xfId="0" applyNumberFormat="1" applyFill="1" applyBorder="1" applyAlignment="1">
      <alignment horizontal="center"/>
    </xf>
    <xf numFmtId="1" fontId="0" fillId="20" borderId="1" xfId="0" applyNumberFormat="1" applyFill="1" applyBorder="1" applyAlignment="1">
      <alignment horizontal="center"/>
    </xf>
    <xf numFmtId="1" fontId="0" fillId="20" borderId="5" xfId="0" applyNumberFormat="1" applyFill="1" applyBorder="1" applyAlignment="1">
      <alignment horizontal="center"/>
    </xf>
    <xf numFmtId="1" fontId="0" fillId="20" borderId="8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1" fontId="0" fillId="17" borderId="1" xfId="0" applyNumberFormat="1" applyFill="1" applyBorder="1" applyAlignment="1">
      <alignment horizontal="center"/>
    </xf>
    <xf numFmtId="1" fontId="0" fillId="17" borderId="5" xfId="0" applyNumberFormat="1" applyFill="1" applyBorder="1" applyAlignment="1">
      <alignment horizontal="center"/>
    </xf>
    <xf numFmtId="1" fontId="0" fillId="17" borderId="8" xfId="0" applyNumberFormat="1" applyFill="1" applyBorder="1" applyAlignment="1">
      <alignment horizontal="center"/>
    </xf>
    <xf numFmtId="1" fontId="0" fillId="17" borderId="10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" fontId="0" fillId="4" borderId="3" xfId="0" applyNumberFormat="1" applyFill="1" applyBorder="1" applyAlignment="1">
      <alignment horizontal="center"/>
    </xf>
    <xf numFmtId="1" fontId="0" fillId="4" borderId="5" xfId="0" applyNumberFormat="1" applyFill="1" applyBorder="1" applyAlignment="1">
      <alignment horizontal="center"/>
    </xf>
    <xf numFmtId="1" fontId="0" fillId="4" borderId="0" xfId="0" applyNumberFormat="1" applyFill="1" applyAlignment="1">
      <alignment horizontal="center"/>
    </xf>
    <xf numFmtId="1" fontId="0" fillId="4" borderId="7" xfId="0" applyNumberFormat="1" applyFill="1" applyBorder="1" applyAlignment="1">
      <alignment horizontal="center"/>
    </xf>
    <xf numFmtId="2" fontId="0" fillId="4" borderId="8" xfId="0" applyNumberFormat="1" applyFill="1" applyBorder="1" applyAlignment="1">
      <alignment horizontal="center"/>
    </xf>
    <xf numFmtId="1" fontId="0" fillId="4" borderId="8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1" fontId="0" fillId="4" borderId="10" xfId="0" applyNumberFormat="1" applyFill="1" applyBorder="1" applyAlignment="1">
      <alignment horizontal="center"/>
    </xf>
    <xf numFmtId="1" fontId="0" fillId="18" borderId="1" xfId="0" applyNumberFormat="1" applyFill="1" applyBorder="1" applyAlignment="1">
      <alignment horizontal="center"/>
    </xf>
    <xf numFmtId="1" fontId="0" fillId="18" borderId="5" xfId="0" applyNumberFormat="1" applyFill="1" applyBorder="1" applyAlignment="1">
      <alignment horizontal="center"/>
    </xf>
    <xf numFmtId="1" fontId="0" fillId="18" borderId="8" xfId="0" applyNumberFormat="1" applyFill="1" applyBorder="1" applyAlignment="1">
      <alignment horizontal="center"/>
    </xf>
    <xf numFmtId="0" fontId="9" fillId="23" borderId="5" xfId="0" applyFont="1" applyFill="1" applyBorder="1" applyAlignment="1">
      <alignment horizontal="center" vertical="center"/>
    </xf>
    <xf numFmtId="1" fontId="0" fillId="23" borderId="5" xfId="0" applyNumberFormat="1" applyFill="1" applyBorder="1" applyAlignment="1">
      <alignment horizontal="center"/>
    </xf>
    <xf numFmtId="1" fontId="0" fillId="23" borderId="0" xfId="0" applyNumberFormat="1" applyFill="1" applyAlignment="1">
      <alignment horizontal="center"/>
    </xf>
    <xf numFmtId="1" fontId="0" fillId="23" borderId="7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7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0" fontId="5" fillId="12" borderId="0" xfId="0" applyFont="1" applyFill="1" applyAlignment="1">
      <alignment horizontal="center"/>
    </xf>
    <xf numFmtId="0" fontId="0" fillId="29" borderId="0" xfId="0" applyFill="1"/>
    <xf numFmtId="0" fontId="0" fillId="6" borderId="1" xfId="0" applyFill="1" applyBorder="1" applyAlignment="1">
      <alignment horizontal="center" vertical="center"/>
    </xf>
    <xf numFmtId="0" fontId="2" fillId="6" borderId="3" xfId="2" applyFill="1" applyBorder="1" applyAlignment="1">
      <alignment horizontal="center"/>
    </xf>
    <xf numFmtId="0" fontId="0" fillId="6" borderId="5" xfId="0" applyFill="1" applyBorder="1" applyAlignment="1">
      <alignment horizontal="center" vertical="center"/>
    </xf>
    <xf numFmtId="0" fontId="2" fillId="6" borderId="7" xfId="2" applyFill="1" applyBorder="1" applyAlignment="1">
      <alignment horizontal="center"/>
    </xf>
    <xf numFmtId="0" fontId="0" fillId="6" borderId="8" xfId="0" applyFill="1" applyBorder="1" applyAlignment="1">
      <alignment horizontal="center" vertical="center"/>
    </xf>
    <xf numFmtId="0" fontId="2" fillId="6" borderId="10" xfId="2" applyFill="1" applyBorder="1" applyAlignment="1">
      <alignment horizontal="center"/>
    </xf>
    <xf numFmtId="0" fontId="9" fillId="14" borderId="1" xfId="0" applyFont="1" applyFill="1" applyBorder="1" applyAlignment="1">
      <alignment horizontal="center" vertical="center"/>
    </xf>
    <xf numFmtId="0" fontId="9" fillId="14" borderId="5" xfId="0" applyFont="1" applyFill="1" applyBorder="1" applyAlignment="1">
      <alignment horizontal="center" vertical="center"/>
    </xf>
    <xf numFmtId="0" fontId="9" fillId="14" borderId="8" xfId="0" applyFont="1" applyFill="1" applyBorder="1" applyAlignment="1">
      <alignment horizontal="center" vertical="center"/>
    </xf>
    <xf numFmtId="0" fontId="2" fillId="15" borderId="3" xfId="2" applyFill="1" applyBorder="1" applyAlignment="1">
      <alignment horizontal="center"/>
    </xf>
    <xf numFmtId="1" fontId="0" fillId="15" borderId="14" xfId="0" applyNumberFormat="1" applyFill="1" applyBorder="1" applyAlignment="1">
      <alignment horizontal="center"/>
    </xf>
    <xf numFmtId="0" fontId="2" fillId="15" borderId="7" xfId="2" applyFill="1" applyBorder="1" applyAlignment="1">
      <alignment horizontal="center"/>
    </xf>
    <xf numFmtId="0" fontId="9" fillId="16" borderId="1" xfId="0" applyFont="1" applyFill="1" applyBorder="1" applyAlignment="1">
      <alignment horizontal="center" vertical="center"/>
    </xf>
    <xf numFmtId="0" fontId="9" fillId="16" borderId="5" xfId="0" applyFont="1" applyFill="1" applyBorder="1" applyAlignment="1">
      <alignment horizontal="center" vertical="center"/>
    </xf>
    <xf numFmtId="0" fontId="9" fillId="16" borderId="8" xfId="0" applyFont="1" applyFill="1" applyBorder="1" applyAlignment="1">
      <alignment horizontal="center" vertical="center"/>
    </xf>
    <xf numFmtId="1" fontId="0" fillId="16" borderId="4" xfId="0" applyNumberFormat="1" applyFill="1" applyBorder="1" applyAlignment="1">
      <alignment horizontal="center"/>
    </xf>
    <xf numFmtId="0" fontId="2" fillId="3" borderId="3" xfId="2" applyFill="1" applyBorder="1" applyAlignment="1">
      <alignment horizontal="center"/>
    </xf>
    <xf numFmtId="0" fontId="2" fillId="3" borderId="7" xfId="2" applyFill="1" applyBorder="1" applyAlignment="1">
      <alignment horizontal="center"/>
    </xf>
    <xf numFmtId="0" fontId="2" fillId="3" borderId="10" xfId="2" applyFill="1" applyBorder="1" applyAlignment="1">
      <alignment horizontal="center"/>
    </xf>
    <xf numFmtId="0" fontId="9" fillId="17" borderId="1" xfId="0" applyFont="1" applyFill="1" applyBorder="1" applyAlignment="1">
      <alignment horizontal="center" vertical="center"/>
    </xf>
    <xf numFmtId="0" fontId="9" fillId="17" borderId="5" xfId="0" applyFont="1" applyFill="1" applyBorder="1" applyAlignment="1">
      <alignment horizontal="center" vertical="center"/>
    </xf>
    <xf numFmtId="0" fontId="9" fillId="17" borderId="8" xfId="0" applyFont="1" applyFill="1" applyBorder="1" applyAlignment="1">
      <alignment horizontal="center" vertical="center"/>
    </xf>
    <xf numFmtId="0" fontId="2" fillId="4" borderId="3" xfId="2" applyFill="1" applyBorder="1" applyAlignment="1">
      <alignment horizontal="center"/>
    </xf>
    <xf numFmtId="0" fontId="2" fillId="4" borderId="7" xfId="2" applyFill="1" applyBorder="1" applyAlignment="1">
      <alignment horizontal="center"/>
    </xf>
    <xf numFmtId="0" fontId="2" fillId="4" borderId="10" xfId="2" applyFill="1" applyBorder="1" applyAlignment="1">
      <alignment horizontal="center"/>
    </xf>
    <xf numFmtId="168" fontId="0" fillId="13" borderId="4" xfId="0" applyNumberFormat="1" applyFill="1" applyBorder="1" applyAlignment="1">
      <alignment horizontal="center"/>
    </xf>
    <xf numFmtId="0" fontId="9" fillId="18" borderId="1" xfId="0" applyFont="1" applyFill="1" applyBorder="1" applyAlignment="1">
      <alignment horizontal="center" vertical="center"/>
    </xf>
    <xf numFmtId="0" fontId="9" fillId="18" borderId="5" xfId="0" applyFont="1" applyFill="1" applyBorder="1" applyAlignment="1">
      <alignment horizontal="center" vertical="center"/>
    </xf>
    <xf numFmtId="0" fontId="9" fillId="18" borderId="8" xfId="0" applyFont="1" applyFill="1" applyBorder="1" applyAlignment="1">
      <alignment horizontal="center" vertical="center"/>
    </xf>
    <xf numFmtId="0" fontId="0" fillId="2" borderId="0" xfId="0" applyFill="1" applyAlignment="1">
      <alignment horizontal="left"/>
    </xf>
    <xf numFmtId="0" fontId="0" fillId="2" borderId="4" xfId="0" applyFill="1" applyBorder="1" applyAlignment="1">
      <alignment horizontal="left"/>
    </xf>
    <xf numFmtId="0" fontId="9" fillId="20" borderId="5" xfId="0" applyFont="1" applyFill="1" applyBorder="1" applyAlignment="1">
      <alignment horizontal="center" vertical="center"/>
    </xf>
    <xf numFmtId="0" fontId="9" fillId="20" borderId="8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2" fillId="7" borderId="3" xfId="2" applyFill="1" applyBorder="1" applyAlignment="1">
      <alignment horizontal="center"/>
    </xf>
    <xf numFmtId="0" fontId="0" fillId="7" borderId="5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2" fillId="7" borderId="7" xfId="2" applyFill="1" applyBorder="1" applyAlignment="1">
      <alignment horizontal="center"/>
    </xf>
    <xf numFmtId="0" fontId="0" fillId="7" borderId="8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2" fillId="7" borderId="10" xfId="2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13" borderId="5" xfId="0" applyFill="1" applyBorder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168" fontId="0" fillId="20" borderId="14" xfId="0" applyNumberFormat="1" applyFill="1" applyBorder="1" applyAlignment="1">
      <alignment horizontal="center"/>
    </xf>
    <xf numFmtId="168" fontId="0" fillId="20" borderId="0" xfId="0" applyNumberFormat="1" applyFill="1" applyAlignment="1">
      <alignment horizontal="center"/>
    </xf>
    <xf numFmtId="168" fontId="0" fillId="20" borderId="4" xfId="0" applyNumberFormat="1" applyFill="1" applyBorder="1" applyAlignment="1">
      <alignment horizontal="center"/>
    </xf>
    <xf numFmtId="0" fontId="0" fillId="4" borderId="5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0" fillId="11" borderId="0" xfId="0" applyFill="1"/>
    <xf numFmtId="0" fontId="0" fillId="0" borderId="0" xfId="0" applyAlignment="1">
      <alignment vertical="center" wrapText="1"/>
    </xf>
    <xf numFmtId="2" fontId="0" fillId="11" borderId="0" xfId="0" applyNumberFormat="1" applyFill="1"/>
    <xf numFmtId="0" fontId="0" fillId="6" borderId="0" xfId="0" applyFill="1" applyAlignment="1">
      <alignment horizontal="left" vertical="center"/>
    </xf>
    <xf numFmtId="0" fontId="0" fillId="6" borderId="4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9" fillId="20" borderId="1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14" xfId="0" applyFill="1" applyBorder="1"/>
    <xf numFmtId="0" fontId="0" fillId="4" borderId="3" xfId="0" applyFill="1" applyBorder="1"/>
    <xf numFmtId="0" fontId="0" fillId="4" borderId="0" xfId="0" applyFill="1" applyAlignment="1">
      <alignment horizontal="left" vertical="center"/>
    </xf>
    <xf numFmtId="0" fontId="0" fillId="4" borderId="5" xfId="0" applyFill="1" applyBorder="1"/>
    <xf numFmtId="0" fontId="0" fillId="4" borderId="0" xfId="0" applyFill="1"/>
    <xf numFmtId="0" fontId="0" fillId="4" borderId="7" xfId="0" applyFill="1" applyBorder="1"/>
    <xf numFmtId="0" fontId="0" fillId="4" borderId="4" xfId="0" applyFill="1" applyBorder="1" applyAlignment="1">
      <alignment horizontal="center" vertical="center"/>
    </xf>
    <xf numFmtId="0" fontId="0" fillId="4" borderId="4" xfId="0" applyFill="1" applyBorder="1" applyAlignment="1">
      <alignment horizontal="left" vertical="center"/>
    </xf>
    <xf numFmtId="0" fontId="0" fillId="4" borderId="8" xfId="0" applyFill="1" applyBorder="1"/>
    <xf numFmtId="0" fontId="0" fillId="4" borderId="4" xfId="0" applyFill="1" applyBorder="1"/>
    <xf numFmtId="0" fontId="0" fillId="4" borderId="10" xfId="0" applyFill="1" applyBorder="1"/>
    <xf numFmtId="2" fontId="0" fillId="4" borderId="10" xfId="0" applyNumberFormat="1" applyFill="1" applyBorder="1" applyAlignment="1">
      <alignment horizontal="center"/>
    </xf>
    <xf numFmtId="0" fontId="0" fillId="18" borderId="0" xfId="0" applyFill="1" applyAlignment="1">
      <alignment horizontal="center" vertical="center"/>
    </xf>
    <xf numFmtId="0" fontId="0" fillId="18" borderId="0" xfId="0" applyFill="1" applyAlignment="1">
      <alignment horizontal="left" vertical="center"/>
    </xf>
    <xf numFmtId="0" fontId="0" fillId="18" borderId="7" xfId="0" applyFill="1" applyBorder="1" applyAlignment="1">
      <alignment horizontal="center" vertical="center"/>
    </xf>
    <xf numFmtId="0" fontId="0" fillId="18" borderId="4" xfId="0" applyFill="1" applyBorder="1" applyAlignment="1">
      <alignment horizontal="center" vertical="center"/>
    </xf>
    <xf numFmtId="0" fontId="0" fillId="18" borderId="10" xfId="0" applyFill="1" applyBorder="1" applyAlignment="1">
      <alignment horizontal="center" vertical="center"/>
    </xf>
    <xf numFmtId="0" fontId="0" fillId="26" borderId="0" xfId="0" applyFill="1"/>
    <xf numFmtId="0" fontId="2" fillId="0" borderId="0" xfId="2" applyAlignment="1">
      <alignment horizontal="left" vertical="center" indent="6"/>
    </xf>
    <xf numFmtId="169" fontId="1" fillId="0" borderId="0" xfId="0" applyNumberFormat="1" applyFont="1"/>
    <xf numFmtId="167" fontId="0" fillId="0" borderId="0" xfId="0" applyNumberFormat="1"/>
    <xf numFmtId="0" fontId="2" fillId="0" borderId="0" xfId="2" applyFill="1" applyAlignment="1">
      <alignment horizontal="center"/>
    </xf>
    <xf numFmtId="0" fontId="2" fillId="0" borderId="0" xfId="2" applyFill="1"/>
    <xf numFmtId="2" fontId="0" fillId="30" borderId="14" xfId="0" applyNumberFormat="1" applyFill="1" applyBorder="1" applyAlignment="1">
      <alignment horizontal="center"/>
    </xf>
    <xf numFmtId="2" fontId="0" fillId="30" borderId="0" xfId="0" applyNumberFormat="1" applyFill="1" applyAlignment="1">
      <alignment horizontal="center"/>
    </xf>
    <xf numFmtId="2" fontId="0" fillId="30" borderId="5" xfId="0" applyNumberFormat="1" applyFill="1" applyBorder="1" applyAlignment="1">
      <alignment horizontal="center"/>
    </xf>
    <xf numFmtId="1" fontId="0" fillId="30" borderId="14" xfId="0" applyNumberFormat="1" applyFill="1" applyBorder="1" applyAlignment="1">
      <alignment horizontal="center"/>
    </xf>
    <xf numFmtId="1" fontId="0" fillId="30" borderId="0" xfId="0" applyNumberFormat="1" applyFill="1" applyAlignment="1">
      <alignment horizontal="center"/>
    </xf>
    <xf numFmtId="1" fontId="0" fillId="30" borderId="7" xfId="0" applyNumberFormat="1" applyFill="1" applyBorder="1" applyAlignment="1">
      <alignment horizontal="center"/>
    </xf>
    <xf numFmtId="2" fontId="0" fillId="31" borderId="14" xfId="0" applyNumberFormat="1" applyFill="1" applyBorder="1" applyAlignment="1">
      <alignment horizontal="center"/>
    </xf>
    <xf numFmtId="2" fontId="0" fillId="31" borderId="0" xfId="0" applyNumberFormat="1" applyFill="1" applyAlignment="1">
      <alignment horizontal="center"/>
    </xf>
    <xf numFmtId="2" fontId="0" fillId="31" borderId="7" xfId="0" applyNumberFormat="1" applyFill="1" applyBorder="1" applyAlignment="1">
      <alignment horizontal="center"/>
    </xf>
    <xf numFmtId="2" fontId="0" fillId="31" borderId="5" xfId="0" applyNumberFormat="1" applyFill="1" applyBorder="1" applyAlignment="1">
      <alignment horizontal="center"/>
    </xf>
    <xf numFmtId="1" fontId="0" fillId="31" borderId="7" xfId="0" applyNumberFormat="1" applyFill="1" applyBorder="1" applyAlignment="1">
      <alignment horizontal="center"/>
    </xf>
    <xf numFmtId="1" fontId="0" fillId="31" borderId="0" xfId="0" applyNumberFormat="1" applyFill="1" applyAlignment="1">
      <alignment horizontal="center"/>
    </xf>
    <xf numFmtId="0" fontId="0" fillId="32" borderId="0" xfId="0" applyFill="1" applyAlignment="1">
      <alignment horizontal="center" vertical="center"/>
    </xf>
    <xf numFmtId="0" fontId="0" fillId="32" borderId="0" xfId="0" applyFill="1" applyAlignment="1">
      <alignment horizontal="left" vertical="center"/>
    </xf>
    <xf numFmtId="0" fontId="2" fillId="32" borderId="0" xfId="2" applyFill="1" applyAlignment="1">
      <alignment horizontal="center"/>
    </xf>
    <xf numFmtId="0" fontId="0" fillId="32" borderId="0" xfId="0" applyFill="1"/>
    <xf numFmtId="0" fontId="2" fillId="32" borderId="0" xfId="2" applyFill="1"/>
    <xf numFmtId="2" fontId="0" fillId="33" borderId="5" xfId="0" applyNumberFormat="1" applyFill="1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20" borderId="2" xfId="0" applyFill="1" applyBorder="1" applyAlignment="1">
      <alignment horizontal="center"/>
    </xf>
    <xf numFmtId="1" fontId="0" fillId="20" borderId="6" xfId="0" applyNumberFormat="1" applyFill="1" applyBorder="1" applyAlignment="1">
      <alignment horizontal="center"/>
    </xf>
    <xf numFmtId="0" fontId="0" fillId="20" borderId="9" xfId="0" applyFill="1" applyBorder="1" applyAlignment="1">
      <alignment horizontal="center"/>
    </xf>
    <xf numFmtId="1" fontId="0" fillId="34" borderId="0" xfId="0" applyNumberFormat="1" applyFill="1" applyAlignment="1">
      <alignment horizontal="center"/>
    </xf>
    <xf numFmtId="168" fontId="0" fillId="31" borderId="0" xfId="0" applyNumberFormat="1" applyFill="1" applyAlignment="1">
      <alignment horizontal="center"/>
    </xf>
    <xf numFmtId="168" fontId="0" fillId="20" borderId="6" xfId="0" applyNumberFormat="1" applyFill="1" applyBorder="1" applyAlignment="1">
      <alignment horizontal="center"/>
    </xf>
    <xf numFmtId="0" fontId="0" fillId="35" borderId="0" xfId="0" applyFill="1"/>
    <xf numFmtId="0" fontId="2" fillId="7" borderId="1" xfId="2" applyFill="1" applyBorder="1" applyAlignment="1">
      <alignment horizontal="center" vertical="center"/>
    </xf>
    <xf numFmtId="0" fontId="2" fillId="7" borderId="8" xfId="2" applyFill="1" applyBorder="1" applyAlignment="1">
      <alignment horizontal="center" vertical="center"/>
    </xf>
    <xf numFmtId="0" fontId="2" fillId="8" borderId="5" xfId="2" applyFill="1" applyBorder="1" applyAlignment="1">
      <alignment horizontal="center" vertical="center"/>
    </xf>
    <xf numFmtId="0" fontId="2" fillId="8" borderId="8" xfId="2" applyFill="1" applyBorder="1" applyAlignment="1">
      <alignment horizontal="center" vertical="center"/>
    </xf>
    <xf numFmtId="0" fontId="5" fillId="9" borderId="0" xfId="0" applyFont="1" applyFill="1" applyAlignment="1">
      <alignment horizontal="center" wrapText="1"/>
    </xf>
    <xf numFmtId="0" fontId="4" fillId="0" borderId="4" xfId="0" applyFont="1" applyBorder="1" applyAlignment="1">
      <alignment horizontal="center"/>
    </xf>
    <xf numFmtId="0" fontId="2" fillId="2" borderId="1" xfId="2" applyFill="1" applyBorder="1" applyAlignment="1">
      <alignment horizontal="center" vertical="center"/>
    </xf>
    <xf numFmtId="0" fontId="2" fillId="2" borderId="5" xfId="2" applyFill="1" applyBorder="1" applyAlignment="1">
      <alignment horizontal="center" vertical="center"/>
    </xf>
    <xf numFmtId="0" fontId="2" fillId="2" borderId="8" xfId="2" applyFill="1" applyBorder="1" applyAlignment="1">
      <alignment horizontal="center" vertical="center"/>
    </xf>
    <xf numFmtId="0" fontId="2" fillId="3" borderId="1" xfId="2" applyFill="1" applyBorder="1" applyAlignment="1">
      <alignment horizontal="center" vertical="center"/>
    </xf>
    <xf numFmtId="0" fontId="2" fillId="3" borderId="5" xfId="2" applyFill="1" applyBorder="1" applyAlignment="1">
      <alignment horizontal="center" vertical="center"/>
    </xf>
    <xf numFmtId="0" fontId="2" fillId="3" borderId="8" xfId="2" applyFill="1" applyBorder="1" applyAlignment="1">
      <alignment horizontal="center" vertical="center"/>
    </xf>
    <xf numFmtId="0" fontId="2" fillId="4" borderId="1" xfId="2" applyFill="1" applyBorder="1" applyAlignment="1">
      <alignment horizontal="center" vertical="center"/>
    </xf>
    <xf numFmtId="0" fontId="2" fillId="4" borderId="5" xfId="2" applyFill="1" applyBorder="1" applyAlignment="1">
      <alignment horizontal="center" vertical="center"/>
    </xf>
    <xf numFmtId="0" fontId="2" fillId="4" borderId="8" xfId="2" applyFill="1" applyBorder="1" applyAlignment="1">
      <alignment horizontal="center" vertical="center"/>
    </xf>
    <xf numFmtId="0" fontId="2" fillId="6" borderId="1" xfId="2" applyFill="1" applyBorder="1" applyAlignment="1">
      <alignment horizontal="center" vertical="center"/>
    </xf>
    <xf numFmtId="0" fontId="2" fillId="6" borderId="5" xfId="2" applyFill="1" applyBorder="1" applyAlignment="1">
      <alignment horizontal="center" vertical="center"/>
    </xf>
    <xf numFmtId="0" fontId="2" fillId="6" borderId="8" xfId="2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 wrapText="1"/>
    </xf>
    <xf numFmtId="0" fontId="0" fillId="11" borderId="0" xfId="0" applyFill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15" borderId="5" xfId="0" applyFill="1" applyBorder="1" applyAlignment="1">
      <alignment horizontal="center"/>
    </xf>
    <xf numFmtId="0" fontId="0" fillId="15" borderId="7" xfId="0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1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9" fontId="9" fillId="4" borderId="1" xfId="0" applyNumberFormat="1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9" xfId="0" applyFont="1" applyFill="1" applyBorder="1" applyAlignment="1">
      <alignment horizontal="center" vertical="center" wrapText="1"/>
    </xf>
    <xf numFmtId="0" fontId="9" fillId="7" borderId="2" xfId="0" applyFont="1" applyFill="1" applyBorder="1" applyAlignment="1">
      <alignment horizontal="center" vertical="center"/>
    </xf>
    <xf numFmtId="0" fontId="9" fillId="7" borderId="6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21" borderId="2" xfId="0" applyFont="1" applyFill="1" applyBorder="1" applyAlignment="1">
      <alignment horizontal="center" vertical="center" wrapText="1"/>
    </xf>
    <xf numFmtId="0" fontId="9" fillId="21" borderId="6" xfId="0" applyFont="1" applyFill="1" applyBorder="1" applyAlignment="1">
      <alignment horizontal="center" vertical="center" wrapText="1"/>
    </xf>
    <xf numFmtId="0" fontId="9" fillId="21" borderId="9" xfId="0" applyFont="1" applyFill="1" applyBorder="1" applyAlignment="1">
      <alignment horizontal="center" vertical="center" wrapText="1"/>
    </xf>
    <xf numFmtId="0" fontId="0" fillId="23" borderId="0" xfId="0" applyFill="1" applyAlignment="1">
      <alignment horizontal="center"/>
    </xf>
    <xf numFmtId="2" fontId="0" fillId="23" borderId="5" xfId="0" applyNumberFormat="1" applyFill="1" applyBorder="1" applyAlignment="1">
      <alignment horizontal="center"/>
    </xf>
    <xf numFmtId="2" fontId="0" fillId="23" borderId="0" xfId="0" applyNumberFormat="1" applyFill="1" applyAlignment="1">
      <alignment horizontal="center"/>
    </xf>
    <xf numFmtId="0" fontId="9" fillId="2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9" fontId="4" fillId="6" borderId="1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6" borderId="8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9" fontId="4" fillId="17" borderId="1" xfId="0" applyNumberFormat="1" applyFont="1" applyFill="1" applyBorder="1" applyAlignment="1">
      <alignment horizontal="center" vertical="center"/>
    </xf>
    <xf numFmtId="0" fontId="4" fillId="17" borderId="14" xfId="0" applyFont="1" applyFill="1" applyBorder="1" applyAlignment="1">
      <alignment horizontal="center" vertical="center"/>
    </xf>
    <xf numFmtId="0" fontId="4" fillId="17" borderId="3" xfId="0" applyFont="1" applyFill="1" applyBorder="1" applyAlignment="1">
      <alignment horizontal="center" vertical="center"/>
    </xf>
    <xf numFmtId="0" fontId="4" fillId="17" borderId="5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4" fillId="17" borderId="7" xfId="0" applyFont="1" applyFill="1" applyBorder="1" applyAlignment="1">
      <alignment horizontal="center" vertical="center"/>
    </xf>
    <xf numFmtId="9" fontId="4" fillId="16" borderId="1" xfId="0" applyNumberFormat="1" applyFont="1" applyFill="1" applyBorder="1" applyAlignment="1">
      <alignment horizontal="center" vertical="center"/>
    </xf>
    <xf numFmtId="0" fontId="4" fillId="16" borderId="14" xfId="0" applyFont="1" applyFill="1" applyBorder="1" applyAlignment="1">
      <alignment horizontal="center" vertical="center"/>
    </xf>
    <xf numFmtId="0" fontId="4" fillId="16" borderId="3" xfId="0" applyFont="1" applyFill="1" applyBorder="1" applyAlignment="1">
      <alignment horizontal="center" vertical="center"/>
    </xf>
    <xf numFmtId="0" fontId="4" fillId="16" borderId="5" xfId="0" applyFont="1" applyFill="1" applyBorder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0" fontId="4" fillId="16" borderId="7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9" fontId="4" fillId="3" borderId="1" xfId="0" applyNumberFormat="1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9" fontId="4" fillId="14" borderId="1" xfId="0" applyNumberFormat="1" applyFont="1" applyFill="1" applyBorder="1" applyAlignment="1">
      <alignment horizontal="center" vertical="center"/>
    </xf>
    <xf numFmtId="0" fontId="4" fillId="14" borderId="14" xfId="0" applyFont="1" applyFill="1" applyBorder="1" applyAlignment="1">
      <alignment horizontal="center" vertical="center"/>
    </xf>
    <xf numFmtId="0" fontId="4" fillId="14" borderId="3" xfId="0" applyFont="1" applyFill="1" applyBorder="1" applyAlignment="1">
      <alignment horizontal="center" vertical="center"/>
    </xf>
    <xf numFmtId="0" fontId="4" fillId="14" borderId="5" xfId="0" applyFont="1" applyFill="1" applyBorder="1" applyAlignment="1">
      <alignment horizontal="center" vertical="center"/>
    </xf>
    <xf numFmtId="0" fontId="4" fillId="14" borderId="0" xfId="0" applyFont="1" applyFill="1" applyAlignment="1">
      <alignment horizontal="center" vertical="center"/>
    </xf>
    <xf numFmtId="0" fontId="4" fillId="14" borderId="7" xfId="0" applyFont="1" applyFill="1" applyBorder="1" applyAlignment="1">
      <alignment horizontal="center" vertical="center"/>
    </xf>
    <xf numFmtId="0" fontId="9" fillId="15" borderId="2" xfId="0" applyFont="1" applyFill="1" applyBorder="1" applyAlignment="1">
      <alignment horizontal="center" vertical="center"/>
    </xf>
    <xf numFmtId="0" fontId="9" fillId="15" borderId="6" xfId="0" applyFont="1" applyFill="1" applyBorder="1" applyAlignment="1">
      <alignment horizontal="center" vertical="center"/>
    </xf>
    <xf numFmtId="9" fontId="4" fillId="15" borderId="1" xfId="0" applyNumberFormat="1" applyFont="1" applyFill="1" applyBorder="1" applyAlignment="1">
      <alignment horizontal="center" vertical="center"/>
    </xf>
    <xf numFmtId="0" fontId="4" fillId="15" borderId="14" xfId="0" applyFont="1" applyFill="1" applyBorder="1" applyAlignment="1">
      <alignment horizontal="center" vertical="center"/>
    </xf>
    <xf numFmtId="0" fontId="4" fillId="15" borderId="3" xfId="0" applyFont="1" applyFill="1" applyBorder="1" applyAlignment="1">
      <alignment horizontal="center" vertical="center"/>
    </xf>
    <xf numFmtId="0" fontId="4" fillId="15" borderId="5" xfId="0" applyFont="1" applyFill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4" fillId="15" borderId="7" xfId="0" applyFont="1" applyFill="1" applyBorder="1" applyAlignment="1">
      <alignment horizontal="center" vertical="center"/>
    </xf>
    <xf numFmtId="0" fontId="4" fillId="15" borderId="8" xfId="0" applyFont="1" applyFill="1" applyBorder="1" applyAlignment="1">
      <alignment horizontal="center" vertical="center"/>
    </xf>
    <xf numFmtId="0" fontId="4" fillId="15" borderId="4" xfId="0" applyFont="1" applyFill="1" applyBorder="1" applyAlignment="1">
      <alignment horizontal="center" vertical="center"/>
    </xf>
    <xf numFmtId="0" fontId="4" fillId="15" borderId="10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vertical="center" wrapText="1"/>
    </xf>
    <xf numFmtId="0" fontId="9" fillId="7" borderId="9" xfId="0" applyFont="1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/>
    </xf>
    <xf numFmtId="0" fontId="0" fillId="14" borderId="3" xfId="0" applyFill="1" applyBorder="1" applyAlignment="1">
      <alignment horizontal="center"/>
    </xf>
    <xf numFmtId="0" fontId="9" fillId="15" borderId="9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9" fillId="13" borderId="1" xfId="0" applyFont="1" applyFill="1" applyBorder="1" applyAlignment="1">
      <alignment horizontal="center" vertical="center"/>
    </xf>
    <xf numFmtId="0" fontId="9" fillId="13" borderId="14" xfId="0" applyFont="1" applyFill="1" applyBorder="1" applyAlignment="1">
      <alignment horizontal="center" vertical="center"/>
    </xf>
    <xf numFmtId="0" fontId="9" fillId="13" borderId="3" xfId="0" applyFont="1" applyFill="1" applyBorder="1" applyAlignment="1">
      <alignment horizontal="center" vertical="center"/>
    </xf>
    <xf numFmtId="0" fontId="9" fillId="24" borderId="6" xfId="0" applyFont="1" applyFill="1" applyBorder="1" applyAlignment="1">
      <alignment horizontal="center" vertical="center"/>
    </xf>
    <xf numFmtId="0" fontId="9" fillId="6" borderId="9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 wrapText="1"/>
    </xf>
    <xf numFmtId="0" fontId="9" fillId="4" borderId="9" xfId="0" applyFont="1" applyFill="1" applyBorder="1" applyAlignment="1">
      <alignment horizontal="center" vertical="center" wrapText="1"/>
    </xf>
    <xf numFmtId="9" fontId="4" fillId="4" borderId="1" xfId="0" applyNumberFormat="1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9" fontId="4" fillId="18" borderId="1" xfId="0" applyNumberFormat="1" applyFont="1" applyFill="1" applyBorder="1" applyAlignment="1">
      <alignment horizontal="center" vertical="center"/>
    </xf>
    <xf numFmtId="0" fontId="4" fillId="18" borderId="14" xfId="0" applyFont="1" applyFill="1" applyBorder="1" applyAlignment="1">
      <alignment horizontal="center" vertical="center"/>
    </xf>
    <xf numFmtId="0" fontId="4" fillId="18" borderId="3" xfId="0" applyFont="1" applyFill="1" applyBorder="1" applyAlignment="1">
      <alignment horizontal="center" vertical="center"/>
    </xf>
    <xf numFmtId="0" fontId="4" fillId="18" borderId="5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0" fontId="4" fillId="18" borderId="7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11" borderId="2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 wrapText="1"/>
    </xf>
    <xf numFmtId="0" fontId="4" fillId="18" borderId="8" xfId="0" applyFont="1" applyFill="1" applyBorder="1" applyAlignment="1">
      <alignment horizontal="center" vertical="center"/>
    </xf>
    <xf numFmtId="0" fontId="4" fillId="18" borderId="4" xfId="0" applyFont="1" applyFill="1" applyBorder="1" applyAlignment="1">
      <alignment horizontal="center" vertical="center"/>
    </xf>
    <xf numFmtId="0" fontId="4" fillId="18" borderId="10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 wrapText="1"/>
    </xf>
    <xf numFmtId="0" fontId="9" fillId="13" borderId="8" xfId="0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0" fontId="9" fillId="13" borderId="1" xfId="0" applyFont="1" applyFill="1" applyBorder="1" applyAlignment="1">
      <alignment horizontal="center"/>
    </xf>
    <xf numFmtId="0" fontId="9" fillId="13" borderId="14" xfId="0" applyFont="1" applyFill="1" applyBorder="1" applyAlignment="1">
      <alignment horizontal="center"/>
    </xf>
    <xf numFmtId="0" fontId="9" fillId="13" borderId="3" xfId="0" applyFont="1" applyFill="1" applyBorder="1" applyAlignment="1">
      <alignment horizontal="center"/>
    </xf>
    <xf numFmtId="0" fontId="9" fillId="26" borderId="2" xfId="0" applyFont="1" applyFill="1" applyBorder="1" applyAlignment="1">
      <alignment horizontal="center" vertical="center"/>
    </xf>
    <xf numFmtId="0" fontId="9" fillId="26" borderId="6" xfId="0" applyFont="1" applyFill="1" applyBorder="1" applyAlignment="1">
      <alignment horizontal="center" vertical="center"/>
    </xf>
    <xf numFmtId="0" fontId="9" fillId="26" borderId="9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11" borderId="9" xfId="0" applyFont="1" applyFill="1" applyBorder="1" applyAlignment="1">
      <alignment horizontal="center" vertical="center"/>
    </xf>
    <xf numFmtId="0" fontId="9" fillId="24" borderId="2" xfId="0" applyFont="1" applyFill="1" applyBorder="1" applyAlignment="1">
      <alignment horizontal="center" vertical="center"/>
    </xf>
    <xf numFmtId="0" fontId="9" fillId="24" borderId="9" xfId="0" applyFont="1" applyFill="1" applyBorder="1" applyAlignment="1">
      <alignment horizontal="center" vertical="center"/>
    </xf>
    <xf numFmtId="0" fontId="9" fillId="28" borderId="2" xfId="0" applyFont="1" applyFill="1" applyBorder="1" applyAlignment="1">
      <alignment horizontal="center" vertical="center"/>
    </xf>
    <xf numFmtId="0" fontId="9" fillId="28" borderId="6" xfId="0" applyFont="1" applyFill="1" applyBorder="1" applyAlignment="1">
      <alignment horizontal="center" vertical="center"/>
    </xf>
    <xf numFmtId="0" fontId="9" fillId="28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13" borderId="6" xfId="0" applyFont="1" applyFill="1" applyBorder="1" applyAlignment="1">
      <alignment horizontal="center" vertical="center"/>
    </xf>
    <xf numFmtId="0" fontId="9" fillId="26" borderId="1" xfId="0" applyFont="1" applyFill="1" applyBorder="1" applyAlignment="1">
      <alignment horizontal="center" vertical="center"/>
    </xf>
    <xf numFmtId="0" fontId="9" fillId="26" borderId="5" xfId="0" applyFont="1" applyFill="1" applyBorder="1" applyAlignment="1">
      <alignment horizontal="center" vertical="center"/>
    </xf>
    <xf numFmtId="0" fontId="9" fillId="26" borderId="8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9" xfId="0" applyFont="1" applyFill="1" applyBorder="1" applyAlignment="1">
      <alignment horizontal="center" vertical="center"/>
    </xf>
    <xf numFmtId="0" fontId="9" fillId="15" borderId="1" xfId="0" applyFont="1" applyFill="1" applyBorder="1" applyAlignment="1">
      <alignment horizontal="center" vertical="center"/>
    </xf>
    <xf numFmtId="0" fontId="9" fillId="15" borderId="5" xfId="0" applyFont="1" applyFill="1" applyBorder="1" applyAlignment="1">
      <alignment horizontal="center" vertical="center"/>
    </xf>
    <xf numFmtId="0" fontId="9" fillId="15" borderId="8" xfId="0" applyFont="1" applyFill="1" applyBorder="1" applyAlignment="1">
      <alignment horizontal="center" vertical="center"/>
    </xf>
    <xf numFmtId="0" fontId="9" fillId="24" borderId="1" xfId="0" applyFont="1" applyFill="1" applyBorder="1" applyAlignment="1">
      <alignment horizontal="center" vertical="center"/>
    </xf>
    <xf numFmtId="0" fontId="9" fillId="24" borderId="5" xfId="0" applyFont="1" applyFill="1" applyBorder="1" applyAlignment="1">
      <alignment horizontal="center" vertical="center"/>
    </xf>
    <xf numFmtId="0" fontId="9" fillId="24" borderId="8" xfId="0" applyFont="1" applyFill="1" applyBorder="1" applyAlignment="1">
      <alignment horizontal="center" vertical="center"/>
    </xf>
    <xf numFmtId="0" fontId="9" fillId="13" borderId="10" xfId="0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8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 vertical="center" wrapText="1"/>
    </xf>
    <xf numFmtId="0" fontId="9" fillId="15" borderId="5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9" fillId="28" borderId="5" xfId="0" applyFont="1" applyFill="1" applyBorder="1" applyAlignment="1">
      <alignment horizontal="center" vertical="center"/>
    </xf>
    <xf numFmtId="0" fontId="9" fillId="28" borderId="8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13" borderId="5" xfId="0" applyFont="1" applyFill="1" applyBorder="1" applyAlignment="1">
      <alignment horizontal="center"/>
    </xf>
    <xf numFmtId="0" fontId="9" fillId="13" borderId="0" xfId="0" applyFont="1" applyFill="1" applyAlignment="1">
      <alignment horizontal="center"/>
    </xf>
    <xf numFmtId="0" fontId="9" fillId="13" borderId="5" xfId="0" applyFont="1" applyFill="1" applyBorder="1" applyAlignment="1">
      <alignment horizontal="center" vertical="center"/>
    </xf>
    <xf numFmtId="0" fontId="9" fillId="13" borderId="7" xfId="0" applyFont="1" applyFill="1" applyBorder="1" applyAlignment="1">
      <alignment horizontal="center" vertical="center"/>
    </xf>
    <xf numFmtId="9" fontId="0" fillId="7" borderId="1" xfId="0" applyNumberFormat="1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9" fontId="0" fillId="7" borderId="5" xfId="0" applyNumberFormat="1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9" fontId="0" fillId="7" borderId="8" xfId="0" applyNumberFormat="1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9" fontId="0" fillId="6" borderId="1" xfId="0" applyNumberFormat="1" applyFill="1" applyBorder="1" applyAlignment="1">
      <alignment horizontal="center"/>
    </xf>
    <xf numFmtId="9" fontId="0" fillId="6" borderId="5" xfId="0" applyNumberFormat="1" applyFill="1" applyBorder="1" applyAlignment="1">
      <alignment horizontal="center"/>
    </xf>
    <xf numFmtId="9" fontId="0" fillId="6" borderId="8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9" fillId="6" borderId="5" xfId="0" applyFont="1" applyFill="1" applyBorder="1" applyAlignment="1">
      <alignment horizontal="center" vertical="center" wrapText="1"/>
    </xf>
    <xf numFmtId="0" fontId="9" fillId="26" borderId="3" xfId="0" applyFont="1" applyFill="1" applyBorder="1" applyAlignment="1">
      <alignment horizontal="center" vertical="center"/>
    </xf>
    <xf numFmtId="0" fontId="0" fillId="6" borderId="0" xfId="0" applyFill="1" applyBorder="1" applyAlignment="1">
      <alignment horizontal="center"/>
    </xf>
    <xf numFmtId="0" fontId="0" fillId="14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0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17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0" fontId="0" fillId="18" borderId="0" xfId="0" applyFill="1" applyBorder="1" applyAlignment="1">
      <alignment horizontal="center"/>
    </xf>
    <xf numFmtId="0" fontId="0" fillId="23" borderId="0" xfId="0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2" fontId="0" fillId="6" borderId="0" xfId="0" applyNumberFormat="1" applyFill="1" applyBorder="1" applyAlignment="1">
      <alignment horizontal="center"/>
    </xf>
    <xf numFmtId="166" fontId="0" fillId="14" borderId="14" xfId="0" applyNumberFormat="1" applyFill="1" applyBorder="1" applyAlignment="1">
      <alignment horizontal="center"/>
    </xf>
    <xf numFmtId="166" fontId="0" fillId="14" borderId="0" xfId="0" applyNumberFormat="1" applyFill="1" applyBorder="1" applyAlignment="1">
      <alignment horizontal="center"/>
    </xf>
    <xf numFmtId="2" fontId="0" fillId="15" borderId="0" xfId="0" applyNumberFormat="1" applyFill="1" applyBorder="1" applyAlignment="1">
      <alignment horizontal="center"/>
    </xf>
    <xf numFmtId="167" fontId="0" fillId="16" borderId="0" xfId="0" applyNumberFormat="1" applyFill="1" applyBorder="1" applyAlignment="1">
      <alignment horizontal="center"/>
    </xf>
    <xf numFmtId="2" fontId="0" fillId="3" borderId="0" xfId="0" applyNumberFormat="1" applyFill="1" applyBorder="1" applyAlignment="1">
      <alignment horizontal="center"/>
    </xf>
    <xf numFmtId="2" fontId="0" fillId="17" borderId="0" xfId="0" applyNumberFormat="1" applyFill="1" applyBorder="1" applyAlignment="1">
      <alignment horizontal="center"/>
    </xf>
    <xf numFmtId="2" fontId="0" fillId="18" borderId="0" xfId="0" applyNumberFormat="1" applyFill="1" applyBorder="1" applyAlignment="1">
      <alignment horizontal="center"/>
    </xf>
    <xf numFmtId="165" fontId="0" fillId="22" borderId="0" xfId="0" applyNumberFormat="1" applyFill="1" applyBorder="1" applyAlignment="1">
      <alignment horizontal="center"/>
    </xf>
    <xf numFmtId="165" fontId="0" fillId="13" borderId="0" xfId="0" applyNumberFormat="1" applyFill="1" applyBorder="1" applyAlignment="1">
      <alignment horizontal="center"/>
    </xf>
    <xf numFmtId="165" fontId="0" fillId="16" borderId="0" xfId="0" applyNumberFormat="1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165" fontId="0" fillId="20" borderId="0" xfId="0" applyNumberFormat="1" applyFill="1" applyBorder="1" applyAlignment="1">
      <alignment horizontal="center"/>
    </xf>
    <xf numFmtId="2" fontId="0" fillId="13" borderId="0" xfId="0" applyNumberFormat="1" applyFill="1" applyBorder="1" applyAlignment="1">
      <alignment horizontal="center"/>
    </xf>
    <xf numFmtId="2" fontId="0" fillId="7" borderId="0" xfId="0" applyNumberFormat="1" applyFill="1" applyBorder="1" applyAlignment="1">
      <alignment horizontal="center"/>
    </xf>
    <xf numFmtId="165" fontId="0" fillId="25" borderId="0" xfId="0" applyNumberFormat="1" applyFill="1" applyBorder="1" applyAlignment="1">
      <alignment horizontal="center"/>
    </xf>
    <xf numFmtId="2" fontId="0" fillId="21" borderId="0" xfId="0" applyNumberFormat="1" applyFill="1" applyBorder="1" applyAlignment="1">
      <alignment horizontal="center"/>
    </xf>
    <xf numFmtId="2" fontId="0" fillId="22" borderId="0" xfId="0" applyNumberFormat="1" applyFill="1" applyBorder="1" applyAlignment="1">
      <alignment horizontal="center"/>
    </xf>
    <xf numFmtId="165" fontId="0" fillId="14" borderId="0" xfId="0" applyNumberFormat="1" applyFill="1" applyBorder="1" applyAlignment="1">
      <alignment horizontal="center"/>
    </xf>
    <xf numFmtId="166" fontId="0" fillId="30" borderId="0" xfId="0" applyNumberFormat="1" applyFill="1" applyAlignment="1">
      <alignment horizontal="center"/>
    </xf>
    <xf numFmtId="166" fontId="0" fillId="13" borderId="18" xfId="0" applyNumberFormat="1" applyFill="1" applyBorder="1" applyAlignment="1">
      <alignment horizontal="center"/>
    </xf>
    <xf numFmtId="167" fontId="0" fillId="13" borderId="18" xfId="0" applyNumberFormat="1" applyFill="1" applyBorder="1" applyAlignment="1">
      <alignment horizontal="center"/>
    </xf>
    <xf numFmtId="167" fontId="0" fillId="36" borderId="0" xfId="0" applyNumberFormat="1" applyFill="1" applyAlignment="1">
      <alignment horizontal="center"/>
    </xf>
  </cellXfs>
  <cellStyles count="4">
    <cellStyle name="Comma 2 2" xfId="1" xr:uid="{00000000-0005-0000-0000-000000000000}"/>
    <cellStyle name="Link" xfId="2" builtinId="8"/>
    <cellStyle name="Link 2" xfId="3" xr:uid="{00000000-0005-0000-0000-000002000000}"/>
    <cellStyle name="Standard" xfId="0" builtinId="0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jp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jp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g"/><Relationship Id="rId7" Type="http://schemas.openxmlformats.org/officeDocument/2006/relationships/image" Target="../media/image25.png"/><Relationship Id="rId2" Type="http://schemas.openxmlformats.org/officeDocument/2006/relationships/image" Target="../media/image20.jpg"/><Relationship Id="rId1" Type="http://schemas.openxmlformats.org/officeDocument/2006/relationships/image" Target="../media/image19.jpg"/><Relationship Id="rId6" Type="http://schemas.openxmlformats.org/officeDocument/2006/relationships/image" Target="../media/image24.png"/><Relationship Id="rId5" Type="http://schemas.openxmlformats.org/officeDocument/2006/relationships/image" Target="../media/image23.jpg"/><Relationship Id="rId4" Type="http://schemas.openxmlformats.org/officeDocument/2006/relationships/image" Target="../media/image22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jp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" Type="http://schemas.openxmlformats.org/officeDocument/2006/relationships/image" Target="../media/image52.png"/><Relationship Id="rId21" Type="http://schemas.openxmlformats.org/officeDocument/2006/relationships/image" Target="../media/image69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14.png"/><Relationship Id="rId25" Type="http://schemas.openxmlformats.org/officeDocument/2006/relationships/image" Target="../media/image73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8.png"/><Relationship Id="rId29" Type="http://schemas.openxmlformats.org/officeDocument/2006/relationships/image" Target="../media/image77.jp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2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1.png"/><Relationship Id="rId28" Type="http://schemas.openxmlformats.org/officeDocument/2006/relationships/image" Target="../media/image76.jpg"/><Relationship Id="rId10" Type="http://schemas.openxmlformats.org/officeDocument/2006/relationships/image" Target="../media/image59.png"/><Relationship Id="rId19" Type="http://schemas.openxmlformats.org/officeDocument/2006/relationships/image" Target="../media/image67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Relationship Id="rId30" Type="http://schemas.openxmlformats.org/officeDocument/2006/relationships/image" Target="../media/image78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0.jp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74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2.jp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1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18" Type="http://schemas.openxmlformats.org/officeDocument/2006/relationships/image" Target="../media/image110.jpg"/><Relationship Id="rId26" Type="http://schemas.openxmlformats.org/officeDocument/2006/relationships/image" Target="../media/image118.jpg"/><Relationship Id="rId3" Type="http://schemas.openxmlformats.org/officeDocument/2006/relationships/image" Target="../media/image95.png"/><Relationship Id="rId21" Type="http://schemas.openxmlformats.org/officeDocument/2006/relationships/image" Target="../media/image113.jp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17" Type="http://schemas.openxmlformats.org/officeDocument/2006/relationships/image" Target="../media/image109.jpg"/><Relationship Id="rId25" Type="http://schemas.openxmlformats.org/officeDocument/2006/relationships/image" Target="../media/image117.jpg"/><Relationship Id="rId2" Type="http://schemas.openxmlformats.org/officeDocument/2006/relationships/image" Target="../media/image94.png"/><Relationship Id="rId16" Type="http://schemas.openxmlformats.org/officeDocument/2006/relationships/image" Target="../media/image108.jpg"/><Relationship Id="rId20" Type="http://schemas.openxmlformats.org/officeDocument/2006/relationships/image" Target="../media/image112.jp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24" Type="http://schemas.openxmlformats.org/officeDocument/2006/relationships/image" Target="../media/image116.jpg"/><Relationship Id="rId5" Type="http://schemas.openxmlformats.org/officeDocument/2006/relationships/image" Target="../media/image97.png"/><Relationship Id="rId15" Type="http://schemas.openxmlformats.org/officeDocument/2006/relationships/image" Target="../media/image107.jpg"/><Relationship Id="rId23" Type="http://schemas.openxmlformats.org/officeDocument/2006/relationships/image" Target="../media/image115.jpg"/><Relationship Id="rId10" Type="http://schemas.openxmlformats.org/officeDocument/2006/relationships/image" Target="../media/image102.png"/><Relationship Id="rId19" Type="http://schemas.openxmlformats.org/officeDocument/2006/relationships/image" Target="../media/image111.jp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Relationship Id="rId22" Type="http://schemas.openxmlformats.org/officeDocument/2006/relationships/image" Target="../media/image114.jpg"/><Relationship Id="rId27" Type="http://schemas.openxmlformats.org/officeDocument/2006/relationships/image" Target="../media/image119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7.png"/><Relationship Id="rId3" Type="http://schemas.openxmlformats.org/officeDocument/2006/relationships/image" Target="../media/image122.png"/><Relationship Id="rId7" Type="http://schemas.openxmlformats.org/officeDocument/2006/relationships/image" Target="../media/image126.png"/><Relationship Id="rId2" Type="http://schemas.openxmlformats.org/officeDocument/2006/relationships/image" Target="../media/image121.png"/><Relationship Id="rId1" Type="http://schemas.openxmlformats.org/officeDocument/2006/relationships/image" Target="../media/image120.png"/><Relationship Id="rId6" Type="http://schemas.openxmlformats.org/officeDocument/2006/relationships/image" Target="../media/image125.png"/><Relationship Id="rId5" Type="http://schemas.openxmlformats.org/officeDocument/2006/relationships/image" Target="../media/image124.png"/><Relationship Id="rId4" Type="http://schemas.openxmlformats.org/officeDocument/2006/relationships/image" Target="../media/image123.png"/><Relationship Id="rId9" Type="http://schemas.openxmlformats.org/officeDocument/2006/relationships/image" Target="../media/image1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86</xdr:row>
      <xdr:rowOff>0</xdr:rowOff>
    </xdr:from>
    <xdr:to>
      <xdr:col>13</xdr:col>
      <xdr:colOff>1357134</xdr:colOff>
      <xdr:row>88</xdr:row>
      <xdr:rowOff>76238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825500" y="571500"/>
          <a:ext cx="9294634" cy="457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94</xdr:row>
      <xdr:rowOff>19050</xdr:rowOff>
    </xdr:from>
    <xdr:to>
      <xdr:col>10</xdr:col>
      <xdr:colOff>32370</xdr:colOff>
      <xdr:row>129</xdr:row>
      <xdr:rowOff>115244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854075" y="2114550"/>
          <a:ext cx="4766296" cy="67636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1</xdr:rowOff>
    </xdr:from>
    <xdr:to>
      <xdr:col>19</xdr:col>
      <xdr:colOff>504825</xdr:colOff>
      <xdr:row>124</xdr:row>
      <xdr:rowOff>162763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9080500" y="2286001"/>
          <a:ext cx="9585325" cy="56872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34349</xdr:colOff>
      <xdr:row>231</xdr:row>
      <xdr:rowOff>0</xdr:rowOff>
    </xdr:from>
    <xdr:to>
      <xdr:col>6</xdr:col>
      <xdr:colOff>311432</xdr:colOff>
      <xdr:row>239</xdr:row>
      <xdr:rowOff>5866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796349" y="38996470"/>
          <a:ext cx="4653354" cy="1529863"/>
        </a:xfrm>
        <a:prstGeom prst="rect">
          <a:avLst/>
        </a:prstGeom>
      </xdr:spPr>
    </xdr:pic>
    <xdr:clientData/>
  </xdr:twoCellAnchor>
  <xdr:twoCellAnchor editAs="oneCell">
    <xdr:from>
      <xdr:col>0</xdr:col>
      <xdr:colOff>758337</xdr:colOff>
      <xdr:row>239</xdr:row>
      <xdr:rowOff>158260</xdr:rowOff>
    </xdr:from>
    <xdr:to>
      <xdr:col>6</xdr:col>
      <xdr:colOff>271648</xdr:colOff>
      <xdr:row>252</xdr:row>
      <xdr:rowOff>23447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758337" y="40678732"/>
          <a:ext cx="4651582" cy="23416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257</xdr:row>
      <xdr:rowOff>0</xdr:rowOff>
    </xdr:from>
    <xdr:to>
      <xdr:col>6</xdr:col>
      <xdr:colOff>297837</xdr:colOff>
      <xdr:row>271</xdr:row>
      <xdr:rowOff>14169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762001" y="43949471"/>
          <a:ext cx="4674107" cy="2693866"/>
        </a:xfrm>
        <a:prstGeom prst="rect">
          <a:avLst/>
        </a:prstGeom>
      </xdr:spPr>
    </xdr:pic>
    <xdr:clientData/>
  </xdr:twoCellAnchor>
  <xdr:twoCellAnchor editAs="oneCell">
    <xdr:from>
      <xdr:col>0</xdr:col>
      <xdr:colOff>728382</xdr:colOff>
      <xdr:row>279</xdr:row>
      <xdr:rowOff>1</xdr:rowOff>
    </xdr:from>
    <xdr:to>
      <xdr:col>6</xdr:col>
      <xdr:colOff>508145</xdr:colOff>
      <xdr:row>309</xdr:row>
      <xdr:rowOff>162347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728382" y="48140472"/>
          <a:ext cx="4918035" cy="5877347"/>
        </a:xfrm>
        <a:prstGeom prst="rect">
          <a:avLst/>
        </a:prstGeom>
      </xdr:spPr>
    </xdr:pic>
    <xdr:clientData/>
  </xdr:twoCellAnchor>
  <xdr:twoCellAnchor editAs="oneCell">
    <xdr:from>
      <xdr:col>6</xdr:col>
      <xdr:colOff>719016</xdr:colOff>
      <xdr:row>279</xdr:row>
      <xdr:rowOff>79131</xdr:rowOff>
    </xdr:from>
    <xdr:to>
      <xdr:col>12</xdr:col>
      <xdr:colOff>354808</xdr:colOff>
      <xdr:row>310</xdr:row>
      <xdr:rowOff>38100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/>
      </xdr:blipFill>
      <xdr:spPr bwMode="auto">
        <a:xfrm>
          <a:off x="6421316" y="51882431"/>
          <a:ext cx="5466503" cy="5864469"/>
        </a:xfrm>
        <a:prstGeom prst="rect">
          <a:avLst/>
        </a:prstGeom>
      </xdr:spPr>
    </xdr:pic>
    <xdr:clientData/>
  </xdr:twoCellAnchor>
  <xdr:twoCellAnchor editAs="oneCell">
    <xdr:from>
      <xdr:col>12</xdr:col>
      <xdr:colOff>867399</xdr:colOff>
      <xdr:row>280</xdr:row>
      <xdr:rowOff>19540</xdr:rowOff>
    </xdr:from>
    <xdr:to>
      <xdr:col>18</xdr:col>
      <xdr:colOff>688162</xdr:colOff>
      <xdr:row>310</xdr:row>
      <xdr:rowOff>5131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12424399" y="53161984"/>
          <a:ext cx="5182985" cy="59122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316</xdr:row>
      <xdr:rowOff>0</xdr:rowOff>
    </xdr:from>
    <xdr:to>
      <xdr:col>10</xdr:col>
      <xdr:colOff>643563</xdr:colOff>
      <xdr:row>355</xdr:row>
      <xdr:rowOff>86147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/>
      </xdr:blipFill>
      <xdr:spPr bwMode="auto">
        <a:xfrm>
          <a:off x="762001" y="55188971"/>
          <a:ext cx="8447339" cy="7515649"/>
        </a:xfrm>
        <a:prstGeom prst="rect">
          <a:avLst/>
        </a:prstGeom>
      </xdr:spPr>
    </xdr:pic>
    <xdr:clientData/>
  </xdr:twoCellAnchor>
  <xdr:twoCellAnchor editAs="oneCell">
    <xdr:from>
      <xdr:col>8</xdr:col>
      <xdr:colOff>738555</xdr:colOff>
      <xdr:row>230</xdr:row>
      <xdr:rowOff>164123</xdr:rowOff>
    </xdr:from>
    <xdr:to>
      <xdr:col>14</xdr:col>
      <xdr:colOff>3956</xdr:colOff>
      <xdr:row>241</xdr:row>
      <xdr:rowOff>123474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/>
      </xdr:blipFill>
      <xdr:spPr bwMode="auto">
        <a:xfrm>
          <a:off x="6868173" y="38970095"/>
          <a:ext cx="4349259" cy="2054852"/>
        </a:xfrm>
        <a:prstGeom prst="rect">
          <a:avLst/>
        </a:prstGeom>
      </xdr:spPr>
    </xdr:pic>
    <xdr:clientData/>
  </xdr:twoCellAnchor>
  <xdr:twoCellAnchor editAs="oneCell">
    <xdr:from>
      <xdr:col>8</xdr:col>
      <xdr:colOff>720969</xdr:colOff>
      <xdr:row>241</xdr:row>
      <xdr:rowOff>140678</xdr:rowOff>
    </xdr:from>
    <xdr:to>
      <xdr:col>13</xdr:col>
      <xdr:colOff>728481</xdr:colOff>
      <xdr:row>255</xdr:row>
      <xdr:rowOff>135766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/>
      </xdr:blipFill>
      <xdr:spPr bwMode="auto">
        <a:xfrm>
          <a:off x="6850588" y="41042149"/>
          <a:ext cx="4384429" cy="2662086"/>
        </a:xfrm>
        <a:prstGeom prst="rect">
          <a:avLst/>
        </a:prstGeom>
      </xdr:spPr>
    </xdr:pic>
    <xdr:clientData/>
  </xdr:twoCellAnchor>
  <xdr:twoCellAnchor editAs="oneCell">
    <xdr:from>
      <xdr:col>8</xdr:col>
      <xdr:colOff>715108</xdr:colOff>
      <xdr:row>255</xdr:row>
      <xdr:rowOff>76200</xdr:rowOff>
    </xdr:from>
    <xdr:to>
      <xdr:col>14</xdr:col>
      <xdr:colOff>197</xdr:colOff>
      <xdr:row>274</xdr:row>
      <xdr:rowOff>131382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/>
      </xdr:blipFill>
      <xdr:spPr bwMode="auto">
        <a:xfrm>
          <a:off x="6844726" y="43644671"/>
          <a:ext cx="4396153" cy="368738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231</xdr:row>
      <xdr:rowOff>0</xdr:rowOff>
    </xdr:from>
    <xdr:to>
      <xdr:col>23</xdr:col>
      <xdr:colOff>650687</xdr:colOff>
      <xdr:row>244</xdr:row>
      <xdr:rowOff>46858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/>
      </xdr:blipFill>
      <xdr:spPr bwMode="auto">
        <a:xfrm>
          <a:off x="13323794" y="39758471"/>
          <a:ext cx="4778188" cy="2523359"/>
        </a:xfrm>
        <a:prstGeom prst="rect">
          <a:avLst/>
        </a:prstGeom>
      </xdr:spPr>
    </xdr:pic>
    <xdr:clientData/>
  </xdr:twoCellAnchor>
  <xdr:oneCellAnchor>
    <xdr:from>
      <xdr:col>18</xdr:col>
      <xdr:colOff>0</xdr:colOff>
      <xdr:row>251</xdr:row>
      <xdr:rowOff>13957</xdr:rowOff>
    </xdr:from>
    <xdr:ext cx="7781890" cy="1137042"/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/>
      </xdr:blipFill>
      <xdr:spPr bwMode="auto">
        <a:xfrm>
          <a:off x="825500" y="67628757"/>
          <a:ext cx="7781891" cy="1137042"/>
        </a:xfrm>
        <a:prstGeom prst="rect">
          <a:avLst/>
        </a:prstGeom>
      </xdr:spPr>
    </xdr:pic>
    <xdr:clientData/>
  </xdr:oneCellAnchor>
  <xdr:oneCellAnchor>
    <xdr:from>
      <xdr:col>42</xdr:col>
      <xdr:colOff>712177</xdr:colOff>
      <xdr:row>279</xdr:row>
      <xdr:rowOff>146538</xdr:rowOff>
    </xdr:from>
    <xdr:ext cx="5182984" cy="5912256"/>
    <xdr:pic>
      <xdr:nvPicPr>
        <xdr:cNvPr id="11" name="Grafik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14075399" y="53091428"/>
          <a:ext cx="5182985" cy="5912257"/>
        </a:xfrm>
        <a:prstGeom prst="rect">
          <a:avLst/>
        </a:prstGeom>
      </xdr:spPr>
    </xdr:pic>
    <xdr:clientData/>
  </xdr:oneCellAnchor>
  <xdr:twoCellAnchor editAs="oneCell">
    <xdr:from>
      <xdr:col>13</xdr:col>
      <xdr:colOff>832554</xdr:colOff>
      <xdr:row>337</xdr:row>
      <xdr:rowOff>0</xdr:rowOff>
    </xdr:from>
    <xdr:to>
      <xdr:col>23</xdr:col>
      <xdr:colOff>364068</xdr:colOff>
      <xdr:row>347</xdr:row>
      <xdr:rowOff>98778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/>
      </xdr:blipFill>
      <xdr:spPr bwMode="auto">
        <a:xfrm>
          <a:off x="13363221" y="64403110"/>
          <a:ext cx="8435625" cy="2074333"/>
        </a:xfrm>
        <a:prstGeom prst="rect">
          <a:avLst/>
        </a:prstGeom>
      </xdr:spPr>
    </xdr:pic>
    <xdr:clientData/>
  </xdr:twoCellAnchor>
  <xdr:twoCellAnchor editAs="oneCell">
    <xdr:from>
      <xdr:col>14</xdr:col>
      <xdr:colOff>14111</xdr:colOff>
      <xdr:row>314</xdr:row>
      <xdr:rowOff>141110</xdr:rowOff>
    </xdr:from>
    <xdr:to>
      <xdr:col>23</xdr:col>
      <xdr:colOff>251701</xdr:colOff>
      <xdr:row>335</xdr:row>
      <xdr:rowOff>1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/>
      </xdr:blipFill>
      <xdr:spPr bwMode="auto">
        <a:xfrm>
          <a:off x="13377333" y="60000443"/>
          <a:ext cx="8309147" cy="4007557"/>
        </a:xfrm>
        <a:prstGeom prst="rect">
          <a:avLst/>
        </a:prstGeom>
      </xdr:spPr>
    </xdr:pic>
    <xdr:clientData/>
  </xdr:twoCellAnchor>
  <xdr:twoCellAnchor editAs="oneCell">
    <xdr:from>
      <xdr:col>13</xdr:col>
      <xdr:colOff>808182</xdr:colOff>
      <xdr:row>230</xdr:row>
      <xdr:rowOff>159860</xdr:rowOff>
    </xdr:from>
    <xdr:to>
      <xdr:col>16</xdr:col>
      <xdr:colOff>540501</xdr:colOff>
      <xdr:row>239</xdr:row>
      <xdr:rowOff>133217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/>
      </xdr:blipFill>
      <xdr:spPr bwMode="auto">
        <a:xfrm>
          <a:off x="13330560" y="43428671"/>
          <a:ext cx="2263438" cy="16518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785905</xdr:colOff>
      <xdr:row>45</xdr:row>
      <xdr:rowOff>130969</xdr:rowOff>
    </xdr:from>
    <xdr:to>
      <xdr:col>9</xdr:col>
      <xdr:colOff>676169</xdr:colOff>
      <xdr:row>74</xdr:row>
      <xdr:rowOff>92064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785906" y="3178970"/>
          <a:ext cx="7286145" cy="5788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6</xdr:col>
      <xdr:colOff>127001</xdr:colOff>
      <xdr:row>115</xdr:row>
      <xdr:rowOff>138203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16510000" y="11239500"/>
          <a:ext cx="4254500" cy="44577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95</xdr:row>
      <xdr:rowOff>0</xdr:rowOff>
    </xdr:from>
    <xdr:to>
      <xdr:col>24</xdr:col>
      <xdr:colOff>177800</xdr:colOff>
      <xdr:row>107</xdr:row>
      <xdr:rowOff>64994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14859000" y="16776700"/>
          <a:ext cx="7607300" cy="2362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10</xdr:col>
      <xdr:colOff>342900</xdr:colOff>
      <xdr:row>83</xdr:row>
      <xdr:rowOff>151218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4127500" y="23444200"/>
          <a:ext cx="7772400" cy="722719"/>
        </a:xfrm>
        <a:prstGeom prst="rect">
          <a:avLst/>
        </a:prstGeom>
      </xdr:spPr>
    </xdr:pic>
    <xdr:clientData/>
  </xdr:twoCellAnchor>
  <xdr:twoCellAnchor editAs="oneCell">
    <xdr:from>
      <xdr:col>31</xdr:col>
      <xdr:colOff>24653</xdr:colOff>
      <xdr:row>52</xdr:row>
      <xdr:rowOff>17929</xdr:rowOff>
    </xdr:from>
    <xdr:to>
      <xdr:col>40</xdr:col>
      <xdr:colOff>367553</xdr:colOff>
      <xdr:row>72</xdr:row>
      <xdr:rowOff>56755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/>
      </xdr:blipFill>
      <xdr:spPr bwMode="auto">
        <a:xfrm>
          <a:off x="23034065" y="4918635"/>
          <a:ext cx="7738782" cy="401317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22</xdr:col>
      <xdr:colOff>370138</xdr:colOff>
      <xdr:row>68</xdr:row>
      <xdr:rowOff>95791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9B682F7E-E0CB-413B-9DCC-87426725A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183725" y="17526000"/>
          <a:ext cx="6466138" cy="3877216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72</xdr:row>
      <xdr:rowOff>22412</xdr:rowOff>
    </xdr:from>
    <xdr:to>
      <xdr:col>22</xdr:col>
      <xdr:colOff>308493</xdr:colOff>
      <xdr:row>87</xdr:row>
      <xdr:rowOff>22811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296FB60-EE2B-49FC-86C2-5EBDE84AF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217343" y="21929912"/>
          <a:ext cx="6370875" cy="28578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3028</xdr:colOff>
      <xdr:row>153</xdr:row>
      <xdr:rowOff>35934</xdr:rowOff>
    </xdr:from>
    <xdr:to>
      <xdr:col>7</xdr:col>
      <xdr:colOff>317094</xdr:colOff>
      <xdr:row>166</xdr:row>
      <xdr:rowOff>97220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765028" y="8473963"/>
          <a:ext cx="4975713" cy="2537787"/>
        </a:xfrm>
        <a:prstGeom prst="rect">
          <a:avLst/>
        </a:prstGeom>
      </xdr:spPr>
    </xdr:pic>
    <xdr:clientData/>
  </xdr:twoCellAnchor>
  <xdr:twoCellAnchor editAs="oneCell">
    <xdr:from>
      <xdr:col>0</xdr:col>
      <xdr:colOff>691663</xdr:colOff>
      <xdr:row>170</xdr:row>
      <xdr:rowOff>76200</xdr:rowOff>
    </xdr:from>
    <xdr:to>
      <xdr:col>7</xdr:col>
      <xdr:colOff>162400</xdr:colOff>
      <xdr:row>175</xdr:row>
      <xdr:rowOff>37819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691663" y="11943229"/>
          <a:ext cx="4894384" cy="914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7</xdr:col>
      <xdr:colOff>51030</xdr:colOff>
      <xdr:row>207</xdr:row>
      <xdr:rowOff>11600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762000" y="13581529"/>
          <a:ext cx="4712677" cy="515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153</xdr:row>
      <xdr:rowOff>17586</xdr:rowOff>
    </xdr:from>
    <xdr:to>
      <xdr:col>19</xdr:col>
      <xdr:colOff>366</xdr:colOff>
      <xdr:row>167</xdr:row>
      <xdr:rowOff>120541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7911353" y="8455615"/>
          <a:ext cx="4620358" cy="2769955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167</xdr:row>
      <xdr:rowOff>181707</xdr:rowOff>
    </xdr:from>
    <xdr:to>
      <xdr:col>18</xdr:col>
      <xdr:colOff>664422</xdr:colOff>
      <xdr:row>177</xdr:row>
      <xdr:rowOff>19250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/>
      </xdr:blipFill>
      <xdr:spPr bwMode="auto">
        <a:xfrm>
          <a:off x="7911354" y="11286736"/>
          <a:ext cx="4519245" cy="1742543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178</xdr:row>
      <xdr:rowOff>0</xdr:rowOff>
    </xdr:from>
    <xdr:to>
      <xdr:col>18</xdr:col>
      <xdr:colOff>693729</xdr:colOff>
      <xdr:row>188</xdr:row>
      <xdr:rowOff>3974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7911354" y="13200529"/>
          <a:ext cx="4548553" cy="19089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189</xdr:row>
      <xdr:rowOff>72887</xdr:rowOff>
    </xdr:from>
    <xdr:to>
      <xdr:col>18</xdr:col>
      <xdr:colOff>721571</xdr:colOff>
      <xdr:row>195</xdr:row>
      <xdr:rowOff>2516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/>
      </xdr:blipFill>
      <xdr:spPr bwMode="auto">
        <a:xfrm>
          <a:off x="7911353" y="15368916"/>
          <a:ext cx="4576395" cy="10614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196</xdr:row>
      <xdr:rowOff>1</xdr:rowOff>
    </xdr:from>
    <xdr:to>
      <xdr:col>18</xdr:col>
      <xdr:colOff>670283</xdr:colOff>
      <xdr:row>209</xdr:row>
      <xdr:rowOff>37913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/>
      </xdr:blipFill>
      <xdr:spPr bwMode="auto">
        <a:xfrm>
          <a:off x="7911353" y="16629530"/>
          <a:ext cx="4525107" cy="25144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18</xdr:col>
      <xdr:colOff>12350</xdr:colOff>
      <xdr:row>228</xdr:row>
      <xdr:rowOff>151921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/>
      </xdr:blipFill>
      <xdr:spPr bwMode="auto">
        <a:xfrm>
          <a:off x="762000" y="21582529"/>
          <a:ext cx="13584750" cy="129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234</xdr:row>
      <xdr:rowOff>17439</xdr:rowOff>
    </xdr:from>
    <xdr:to>
      <xdr:col>10</xdr:col>
      <xdr:colOff>389000</xdr:colOff>
      <xdr:row>237</xdr:row>
      <xdr:rowOff>41104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/>
      </xdr:blipFill>
      <xdr:spPr bwMode="auto">
        <a:xfrm>
          <a:off x="762001" y="23885968"/>
          <a:ext cx="7473461" cy="595165"/>
        </a:xfrm>
        <a:prstGeom prst="rect">
          <a:avLst/>
        </a:prstGeom>
      </xdr:spPr>
    </xdr:pic>
    <xdr:clientData/>
  </xdr:twoCellAnchor>
  <xdr:twoCellAnchor editAs="oneCell">
    <xdr:from>
      <xdr:col>1</xdr:col>
      <xdr:colOff>2198</xdr:colOff>
      <xdr:row>237</xdr:row>
      <xdr:rowOff>52754</xdr:rowOff>
    </xdr:from>
    <xdr:to>
      <xdr:col>10</xdr:col>
      <xdr:colOff>388999</xdr:colOff>
      <xdr:row>240</xdr:row>
      <xdr:rowOff>106538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/>
      </xdr:blipFill>
      <xdr:spPr bwMode="auto">
        <a:xfrm>
          <a:off x="764198" y="24492783"/>
          <a:ext cx="7471263" cy="625285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</xdr:colOff>
      <xdr:row>247</xdr:row>
      <xdr:rowOff>93785</xdr:rowOff>
    </xdr:from>
    <xdr:to>
      <xdr:col>6</xdr:col>
      <xdr:colOff>705896</xdr:colOff>
      <xdr:row>253</xdr:row>
      <xdr:rowOff>132518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/>
      </xdr:blipFill>
      <xdr:spPr bwMode="auto">
        <a:xfrm>
          <a:off x="773723" y="26438814"/>
          <a:ext cx="4454769" cy="11817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181707</xdr:rowOff>
    </xdr:from>
    <xdr:to>
      <xdr:col>6</xdr:col>
      <xdr:colOff>805543</xdr:colOff>
      <xdr:row>272</xdr:row>
      <xdr:rowOff>22867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/>
      </xdr:blipFill>
      <xdr:spPr bwMode="auto">
        <a:xfrm>
          <a:off x="762000" y="27669736"/>
          <a:ext cx="4566139" cy="34606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273</xdr:row>
      <xdr:rowOff>0</xdr:rowOff>
    </xdr:from>
    <xdr:to>
      <xdr:col>6</xdr:col>
      <xdr:colOff>858297</xdr:colOff>
      <xdr:row>291</xdr:row>
      <xdr:rowOff>169382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/>
      </xdr:blipFill>
      <xdr:spPr bwMode="auto">
        <a:xfrm>
          <a:off x="762001" y="31298029"/>
          <a:ext cx="4618892" cy="3598382"/>
        </a:xfrm>
        <a:prstGeom prst="rect">
          <a:avLst/>
        </a:prstGeom>
      </xdr:spPr>
    </xdr:pic>
    <xdr:clientData/>
  </xdr:twoCellAnchor>
  <xdr:twoCellAnchor editAs="oneCell">
    <xdr:from>
      <xdr:col>8</xdr:col>
      <xdr:colOff>219507</xdr:colOff>
      <xdr:row>255</xdr:row>
      <xdr:rowOff>0</xdr:rowOff>
    </xdr:from>
    <xdr:to>
      <xdr:col>13</xdr:col>
      <xdr:colOff>8884</xdr:colOff>
      <xdr:row>273</xdr:row>
      <xdr:rowOff>5860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/>
      </xdr:blipFill>
      <xdr:spPr bwMode="auto">
        <a:xfrm>
          <a:off x="7008519" y="27234444"/>
          <a:ext cx="4571476" cy="3392528"/>
        </a:xfrm>
        <a:prstGeom prst="rect">
          <a:avLst/>
        </a:prstGeom>
      </xdr:spPr>
    </xdr:pic>
    <xdr:clientData/>
  </xdr:twoCellAnchor>
  <xdr:twoCellAnchor editAs="oneCell">
    <xdr:from>
      <xdr:col>8</xdr:col>
      <xdr:colOff>313581</xdr:colOff>
      <xdr:row>274</xdr:row>
      <xdr:rowOff>15679</xdr:rowOff>
    </xdr:from>
    <xdr:to>
      <xdr:col>12</xdr:col>
      <xdr:colOff>864930</xdr:colOff>
      <xdr:row>291</xdr:row>
      <xdr:rowOff>156538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/>
      </xdr:blipFill>
      <xdr:spPr bwMode="auto">
        <a:xfrm>
          <a:off x="7102593" y="30824938"/>
          <a:ext cx="4361349" cy="3339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181707</xdr:rowOff>
    </xdr:from>
    <xdr:to>
      <xdr:col>6</xdr:col>
      <xdr:colOff>383512</xdr:colOff>
      <xdr:row>310</xdr:row>
      <xdr:rowOff>96627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/>
      </xdr:blipFill>
      <xdr:spPr bwMode="auto">
        <a:xfrm>
          <a:off x="762000" y="35099236"/>
          <a:ext cx="4144108" cy="33439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311</xdr:row>
      <xdr:rowOff>1</xdr:rowOff>
    </xdr:from>
    <xdr:to>
      <xdr:col>6</xdr:col>
      <xdr:colOff>324897</xdr:colOff>
      <xdr:row>328</xdr:row>
      <xdr:rowOff>2092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/>
      </xdr:blipFill>
      <xdr:spPr bwMode="auto">
        <a:xfrm>
          <a:off x="762001" y="38537029"/>
          <a:ext cx="4085492" cy="3240592"/>
        </a:xfrm>
        <a:prstGeom prst="rect">
          <a:avLst/>
        </a:prstGeom>
      </xdr:spPr>
    </xdr:pic>
    <xdr:clientData/>
  </xdr:twoCellAnchor>
  <xdr:twoCellAnchor editAs="oneCell">
    <xdr:from>
      <xdr:col>8</xdr:col>
      <xdr:colOff>329260</xdr:colOff>
      <xdr:row>293</xdr:row>
      <xdr:rowOff>156791</xdr:rowOff>
    </xdr:from>
    <xdr:to>
      <xdr:col>13</xdr:col>
      <xdr:colOff>48922</xdr:colOff>
      <xdr:row>310</xdr:row>
      <xdr:rowOff>56567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/>
      </xdr:blipFill>
      <xdr:spPr bwMode="auto">
        <a:xfrm>
          <a:off x="7118272" y="34540865"/>
          <a:ext cx="4501761" cy="3098294"/>
        </a:xfrm>
        <a:prstGeom prst="rect">
          <a:avLst/>
        </a:prstGeom>
      </xdr:spPr>
    </xdr:pic>
    <xdr:clientData/>
  </xdr:twoCellAnchor>
  <xdr:twoCellAnchor editAs="oneCell">
    <xdr:from>
      <xdr:col>8</xdr:col>
      <xdr:colOff>454692</xdr:colOff>
      <xdr:row>312</xdr:row>
      <xdr:rowOff>78394</xdr:rowOff>
    </xdr:from>
    <xdr:to>
      <xdr:col>12</xdr:col>
      <xdr:colOff>864881</xdr:colOff>
      <xdr:row>328</xdr:row>
      <xdr:rowOff>19736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/>
      </xdr:blipFill>
      <xdr:spPr bwMode="auto">
        <a:xfrm>
          <a:off x="7243704" y="38037284"/>
          <a:ext cx="4250669" cy="295171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350</xdr:row>
      <xdr:rowOff>161924</xdr:rowOff>
    </xdr:from>
    <xdr:to>
      <xdr:col>9</xdr:col>
      <xdr:colOff>413954</xdr:colOff>
      <xdr:row>365</xdr:row>
      <xdr:rowOff>124218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/>
      </xdr:blipFill>
      <xdr:spPr bwMode="auto">
        <a:xfrm>
          <a:off x="809625" y="46128454"/>
          <a:ext cx="6592220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825036</xdr:colOff>
      <xdr:row>333</xdr:row>
      <xdr:rowOff>0</xdr:rowOff>
    </xdr:from>
    <xdr:to>
      <xdr:col>9</xdr:col>
      <xdr:colOff>433014</xdr:colOff>
      <xdr:row>353</xdr:row>
      <xdr:rowOff>105321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/>
      </xdr:blipFill>
      <xdr:spPr bwMode="auto">
        <a:xfrm>
          <a:off x="825036" y="43300511"/>
          <a:ext cx="7311409" cy="399875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333</xdr:row>
      <xdr:rowOff>0</xdr:rowOff>
    </xdr:from>
    <xdr:to>
      <xdr:col>23</xdr:col>
      <xdr:colOff>723860</xdr:colOff>
      <xdr:row>355</xdr:row>
      <xdr:rowOff>162531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/>
      </xdr:blipFill>
      <xdr:spPr bwMode="auto">
        <a:xfrm>
          <a:off x="10219765" y="42728029"/>
          <a:ext cx="6098532" cy="4353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9</xdr:col>
      <xdr:colOff>227951</xdr:colOff>
      <xdr:row>217</xdr:row>
      <xdr:rowOff>77574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/>
      </xdr:blipFill>
      <xdr:spPr bwMode="auto">
        <a:xfrm>
          <a:off x="825500" y="19304000"/>
          <a:ext cx="7112000" cy="10300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227</xdr:row>
      <xdr:rowOff>0</xdr:rowOff>
    </xdr:from>
    <xdr:to>
      <xdr:col>5</xdr:col>
      <xdr:colOff>664285</xdr:colOff>
      <xdr:row>231</xdr:row>
      <xdr:rowOff>25154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762000" y="12034345"/>
          <a:ext cx="3777975" cy="78715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231</xdr:row>
      <xdr:rowOff>53341</xdr:rowOff>
    </xdr:from>
    <xdr:to>
      <xdr:col>5</xdr:col>
      <xdr:colOff>717625</xdr:colOff>
      <xdr:row>234</xdr:row>
      <xdr:rowOff>141864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777240" y="12849686"/>
          <a:ext cx="3816075" cy="6600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226</xdr:row>
      <xdr:rowOff>144780</xdr:rowOff>
    </xdr:from>
    <xdr:to>
      <xdr:col>15</xdr:col>
      <xdr:colOff>686363</xdr:colOff>
      <xdr:row>228</xdr:row>
      <xdr:rowOff>26126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6161690" y="11988625"/>
          <a:ext cx="5516426" cy="2623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228</xdr:row>
      <xdr:rowOff>0</xdr:rowOff>
    </xdr:from>
    <xdr:to>
      <xdr:col>15</xdr:col>
      <xdr:colOff>603486</xdr:colOff>
      <xdr:row>235</xdr:row>
      <xdr:rowOff>38215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6161690" y="12224845"/>
          <a:ext cx="5433549" cy="1371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237</xdr:row>
      <xdr:rowOff>0</xdr:rowOff>
    </xdr:from>
    <xdr:to>
      <xdr:col>15</xdr:col>
      <xdr:colOff>554663</xdr:colOff>
      <xdr:row>238</xdr:row>
      <xdr:rowOff>7637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/>
      </xdr:blipFill>
      <xdr:spPr bwMode="auto">
        <a:xfrm>
          <a:off x="6161690" y="13939345"/>
          <a:ext cx="5387825" cy="1981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238</xdr:row>
      <xdr:rowOff>0</xdr:rowOff>
    </xdr:from>
    <xdr:to>
      <xdr:col>15</xdr:col>
      <xdr:colOff>569905</xdr:colOff>
      <xdr:row>245</xdr:row>
      <xdr:rowOff>144904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6161690" y="14129845"/>
          <a:ext cx="5403067" cy="147840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247</xdr:row>
      <xdr:rowOff>0</xdr:rowOff>
    </xdr:from>
    <xdr:to>
      <xdr:col>15</xdr:col>
      <xdr:colOff>501316</xdr:colOff>
      <xdr:row>248</xdr:row>
      <xdr:rowOff>76224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/>
      </xdr:blipFill>
      <xdr:spPr bwMode="auto">
        <a:xfrm>
          <a:off x="6161690" y="15844345"/>
          <a:ext cx="5334477" cy="26672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249</xdr:row>
      <xdr:rowOff>0</xdr:rowOff>
    </xdr:from>
    <xdr:to>
      <xdr:col>12</xdr:col>
      <xdr:colOff>685101</xdr:colOff>
      <xdr:row>249</xdr:row>
      <xdr:rowOff>114310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/>
      </xdr:blipFill>
      <xdr:spPr bwMode="auto">
        <a:xfrm>
          <a:off x="6161690" y="16225345"/>
          <a:ext cx="3048272" cy="114310"/>
        </a:xfrm>
        <a:prstGeom prst="rect">
          <a:avLst/>
        </a:prstGeom>
      </xdr:spPr>
    </xdr:pic>
    <xdr:clientData/>
  </xdr:twoCellAnchor>
  <xdr:twoCellAnchor editAs="oneCell">
    <xdr:from>
      <xdr:col>9</xdr:col>
      <xdr:colOff>4555</xdr:colOff>
      <xdr:row>251</xdr:row>
      <xdr:rowOff>0</xdr:rowOff>
    </xdr:from>
    <xdr:to>
      <xdr:col>15</xdr:col>
      <xdr:colOff>528489</xdr:colOff>
      <xdr:row>252</xdr:row>
      <xdr:rowOff>50708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/>
      </xdr:blipFill>
      <xdr:spPr bwMode="auto">
        <a:xfrm>
          <a:off x="6166245" y="16606345"/>
          <a:ext cx="5357096" cy="241208"/>
        </a:xfrm>
        <a:prstGeom prst="rect">
          <a:avLst/>
        </a:prstGeom>
      </xdr:spPr>
    </xdr:pic>
    <xdr:clientData/>
  </xdr:twoCellAnchor>
  <xdr:twoCellAnchor editAs="oneCell">
    <xdr:from>
      <xdr:col>9</xdr:col>
      <xdr:colOff>826</xdr:colOff>
      <xdr:row>252</xdr:row>
      <xdr:rowOff>39756</xdr:rowOff>
    </xdr:from>
    <xdr:to>
      <xdr:col>15</xdr:col>
      <xdr:colOff>545718</xdr:colOff>
      <xdr:row>255</xdr:row>
      <xdr:rowOff>169025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/>
      </xdr:blipFill>
      <xdr:spPr bwMode="auto">
        <a:xfrm>
          <a:off x="6162517" y="16836601"/>
          <a:ext cx="5378053" cy="7007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7</xdr:col>
      <xdr:colOff>127586</xdr:colOff>
      <xdr:row>255</xdr:row>
      <xdr:rowOff>46382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 b="85362"/>
        <a:stretch/>
      </xdr:blipFill>
      <xdr:spPr bwMode="auto">
        <a:xfrm>
          <a:off x="762000" y="17177845"/>
          <a:ext cx="4842125" cy="236882"/>
        </a:xfrm>
        <a:prstGeom prst="rect">
          <a:avLst/>
        </a:prstGeom>
      </xdr:spPr>
    </xdr:pic>
    <xdr:clientData/>
  </xdr:twoCellAnchor>
  <xdr:twoCellAnchor editAs="oneCell">
    <xdr:from>
      <xdr:col>0</xdr:col>
      <xdr:colOff>675860</xdr:colOff>
      <xdr:row>255</xdr:row>
      <xdr:rowOff>99390</xdr:rowOff>
    </xdr:from>
    <xdr:to>
      <xdr:col>7</xdr:col>
      <xdr:colOff>136830</xdr:colOff>
      <xdr:row>256</xdr:row>
      <xdr:rowOff>125893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 t="86949"/>
        <a:stretch/>
      </xdr:blipFill>
      <xdr:spPr bwMode="auto">
        <a:xfrm>
          <a:off x="675860" y="17467735"/>
          <a:ext cx="4937509" cy="217005"/>
        </a:xfrm>
        <a:prstGeom prst="rect">
          <a:avLst/>
        </a:prstGeom>
      </xdr:spPr>
    </xdr:pic>
    <xdr:clientData/>
  </xdr:twoCellAnchor>
  <xdr:twoCellAnchor editAs="oneCell">
    <xdr:from>
      <xdr:col>9</xdr:col>
      <xdr:colOff>4555</xdr:colOff>
      <xdr:row>257</xdr:row>
      <xdr:rowOff>0</xdr:rowOff>
    </xdr:from>
    <xdr:to>
      <xdr:col>15</xdr:col>
      <xdr:colOff>566592</xdr:colOff>
      <xdr:row>260</xdr:row>
      <xdr:rowOff>121648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/>
      </xdr:blipFill>
      <xdr:spPr bwMode="auto">
        <a:xfrm>
          <a:off x="6166245" y="17749345"/>
          <a:ext cx="5395199" cy="693148"/>
        </a:xfrm>
        <a:prstGeom prst="rect">
          <a:avLst/>
        </a:prstGeom>
      </xdr:spPr>
    </xdr:pic>
    <xdr:clientData/>
  </xdr:twoCellAnchor>
  <xdr:twoCellAnchor editAs="oneCell">
    <xdr:from>
      <xdr:col>9</xdr:col>
      <xdr:colOff>4555</xdr:colOff>
      <xdr:row>261</xdr:row>
      <xdr:rowOff>1</xdr:rowOff>
    </xdr:from>
    <xdr:to>
      <xdr:col>15</xdr:col>
      <xdr:colOff>629832</xdr:colOff>
      <xdr:row>264</xdr:row>
      <xdr:rowOff>157704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/>
      </xdr:blipFill>
      <xdr:spPr bwMode="auto">
        <a:xfrm>
          <a:off x="6166245" y="18511346"/>
          <a:ext cx="5455340" cy="729204"/>
        </a:xfrm>
        <a:prstGeom prst="rect">
          <a:avLst/>
        </a:prstGeom>
      </xdr:spPr>
    </xdr:pic>
    <xdr:clientData/>
  </xdr:twoCellAnchor>
  <xdr:twoCellAnchor editAs="oneCell">
    <xdr:from>
      <xdr:col>6</xdr:col>
      <xdr:colOff>90824</xdr:colOff>
      <xdr:row>277</xdr:row>
      <xdr:rowOff>154224</xdr:rowOff>
    </xdr:from>
    <xdr:to>
      <xdr:col>13</xdr:col>
      <xdr:colOff>5082</xdr:colOff>
      <xdr:row>292</xdr:row>
      <xdr:rowOff>179941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/>
      </xdr:blipFill>
      <xdr:spPr bwMode="auto">
        <a:xfrm>
          <a:off x="5182476" y="21452940"/>
          <a:ext cx="6066185" cy="2822046"/>
        </a:xfrm>
        <a:prstGeom prst="rect">
          <a:avLst/>
        </a:prstGeom>
      </xdr:spPr>
    </xdr:pic>
    <xdr:clientData/>
  </xdr:twoCellAnchor>
  <xdr:twoCellAnchor>
    <xdr:from>
      <xdr:col>5</xdr:col>
      <xdr:colOff>89712</xdr:colOff>
      <xdr:row>288</xdr:row>
      <xdr:rowOff>78911</xdr:rowOff>
    </xdr:from>
    <xdr:to>
      <xdr:col>6</xdr:col>
      <xdr:colOff>16270</xdr:colOff>
      <xdr:row>291</xdr:row>
      <xdr:rowOff>142013</xdr:rowOff>
    </xdr:to>
    <xdr:cxnSp macro="">
      <xdr:nvCxnSpPr>
        <xdr:cNvPr id="20" name="Gerade Verbindung mit Pfeil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>
          <a:cxnSpLocks/>
        </xdr:cNvCxnSpPr>
      </xdr:nvCxnSpPr>
      <xdr:spPr bwMode="auto">
        <a:xfrm flipV="1">
          <a:off x="4354116" y="23428269"/>
          <a:ext cx="753806" cy="6223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756689</xdr:colOff>
      <xdr:row>277</xdr:row>
      <xdr:rowOff>135363</xdr:rowOff>
    </xdr:from>
    <xdr:to>
      <xdr:col>5</xdr:col>
      <xdr:colOff>299664</xdr:colOff>
      <xdr:row>288</xdr:row>
      <xdr:rowOff>6623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/>
      </xdr:blipFill>
      <xdr:spPr bwMode="auto">
        <a:xfrm>
          <a:off x="756690" y="21694708"/>
          <a:ext cx="3418664" cy="1966762"/>
        </a:xfrm>
        <a:prstGeom prst="rect">
          <a:avLst/>
        </a:prstGeom>
      </xdr:spPr>
    </xdr:pic>
    <xdr:clientData/>
  </xdr:twoCellAnchor>
  <xdr:twoCellAnchor editAs="oneCell">
    <xdr:from>
      <xdr:col>6</xdr:col>
      <xdr:colOff>125448</xdr:colOff>
      <xdr:row>295</xdr:row>
      <xdr:rowOff>24133</xdr:rowOff>
    </xdr:from>
    <xdr:to>
      <xdr:col>13</xdr:col>
      <xdr:colOff>221763</xdr:colOff>
      <xdr:row>307</xdr:row>
      <xdr:rowOff>12827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/>
      </xdr:blipFill>
      <xdr:spPr bwMode="auto">
        <a:xfrm>
          <a:off x="5217099" y="24678445"/>
          <a:ext cx="6248242" cy="2225756"/>
        </a:xfrm>
        <a:prstGeom prst="rect">
          <a:avLst/>
        </a:prstGeom>
      </xdr:spPr>
    </xdr:pic>
    <xdr:clientData/>
  </xdr:twoCellAnchor>
  <xdr:twoCellAnchor>
    <xdr:from>
      <xdr:col>5</xdr:col>
      <xdr:colOff>22328</xdr:colOff>
      <xdr:row>297</xdr:row>
      <xdr:rowOff>30983</xdr:rowOff>
    </xdr:from>
    <xdr:to>
      <xdr:col>5</xdr:col>
      <xdr:colOff>633307</xdr:colOff>
      <xdr:row>298</xdr:row>
      <xdr:rowOff>171386</xdr:rowOff>
    </xdr:to>
    <xdr:cxnSp macro="">
      <xdr:nvCxnSpPr>
        <xdr:cNvPr id="26" name="Gerade Verbindung mit Pfeil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CxnSpPr>
          <a:cxnSpLocks/>
        </xdr:cNvCxnSpPr>
      </xdr:nvCxnSpPr>
      <xdr:spPr bwMode="auto">
        <a:xfrm>
          <a:off x="4286732" y="25058139"/>
          <a:ext cx="610979" cy="32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759702</xdr:colOff>
      <xdr:row>226</xdr:row>
      <xdr:rowOff>15765</xdr:rowOff>
    </xdr:from>
    <xdr:to>
      <xdr:col>26</xdr:col>
      <xdr:colOff>61372</xdr:colOff>
      <xdr:row>229</xdr:row>
      <xdr:rowOff>99847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 b="73918"/>
        <a:stretch/>
      </xdr:blipFill>
      <xdr:spPr bwMode="auto">
        <a:xfrm>
          <a:off x="13779392" y="11859610"/>
          <a:ext cx="4775231" cy="655582"/>
        </a:xfrm>
        <a:prstGeom prst="rect">
          <a:avLst/>
        </a:prstGeom>
      </xdr:spPr>
    </xdr:pic>
    <xdr:clientData/>
  </xdr:twoCellAnchor>
  <xdr:twoCellAnchor editAs="oneCell">
    <xdr:from>
      <xdr:col>20</xdr:col>
      <xdr:colOff>2956</xdr:colOff>
      <xdr:row>229</xdr:row>
      <xdr:rowOff>99847</xdr:rowOff>
    </xdr:from>
    <xdr:to>
      <xdr:col>26</xdr:col>
      <xdr:colOff>136408</xdr:colOff>
      <xdr:row>231</xdr:row>
      <xdr:rowOff>99410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 t="84929"/>
        <a:stretch/>
      </xdr:blipFill>
      <xdr:spPr bwMode="auto">
        <a:xfrm>
          <a:off x="13784646" y="12515193"/>
          <a:ext cx="4775231" cy="380562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234</xdr:row>
      <xdr:rowOff>75351</xdr:rowOff>
    </xdr:from>
    <xdr:to>
      <xdr:col>26</xdr:col>
      <xdr:colOff>225725</xdr:colOff>
      <xdr:row>240</xdr:row>
      <xdr:rowOff>155492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/>
      </xdr:blipFill>
      <xdr:spPr bwMode="auto">
        <a:xfrm>
          <a:off x="13783236" y="18833998"/>
          <a:ext cx="4867503" cy="1223141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249</xdr:row>
      <xdr:rowOff>183930</xdr:rowOff>
    </xdr:from>
    <xdr:to>
      <xdr:col>26</xdr:col>
      <xdr:colOff>566098</xdr:colOff>
      <xdr:row>274</xdr:row>
      <xdr:rowOff>107518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/>
      </xdr:blipFill>
      <xdr:spPr bwMode="auto">
        <a:xfrm>
          <a:off x="13781691" y="16409276"/>
          <a:ext cx="5207876" cy="4686087"/>
        </a:xfrm>
        <a:prstGeom prst="rect">
          <a:avLst/>
        </a:prstGeom>
      </xdr:spPr>
    </xdr:pic>
    <xdr:clientData/>
  </xdr:twoCellAnchor>
  <xdr:twoCellAnchor editAs="oneCell">
    <xdr:from>
      <xdr:col>20</xdr:col>
      <xdr:colOff>2956</xdr:colOff>
      <xdr:row>276</xdr:row>
      <xdr:rowOff>0</xdr:rowOff>
    </xdr:from>
    <xdr:to>
      <xdr:col>27</xdr:col>
      <xdr:colOff>3162</xdr:colOff>
      <xdr:row>310</xdr:row>
      <xdr:rowOff>154280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/>
      </xdr:blipFill>
      <xdr:spPr bwMode="auto">
        <a:xfrm>
          <a:off x="13784646" y="21368845"/>
          <a:ext cx="5394105" cy="663128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312</xdr:row>
      <xdr:rowOff>0</xdr:rowOff>
    </xdr:from>
    <xdr:to>
      <xdr:col>26</xdr:col>
      <xdr:colOff>678369</xdr:colOff>
      <xdr:row>331</xdr:row>
      <xdr:rowOff>26277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/>
      </xdr:blipFill>
      <xdr:spPr bwMode="auto">
        <a:xfrm>
          <a:off x="13781690" y="28226845"/>
          <a:ext cx="5320148" cy="364577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333</xdr:row>
      <xdr:rowOff>0</xdr:rowOff>
    </xdr:from>
    <xdr:to>
      <xdr:col>26</xdr:col>
      <xdr:colOff>671200</xdr:colOff>
      <xdr:row>350</xdr:row>
      <xdr:rowOff>36917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/>
      </xdr:blipFill>
      <xdr:spPr bwMode="auto">
        <a:xfrm>
          <a:off x="13781690" y="32227345"/>
          <a:ext cx="5312979" cy="327541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352</xdr:row>
      <xdr:rowOff>1</xdr:rowOff>
    </xdr:from>
    <xdr:to>
      <xdr:col>27</xdr:col>
      <xdr:colOff>60137</xdr:colOff>
      <xdr:row>376</xdr:row>
      <xdr:rowOff>120385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/>
      </xdr:blipFill>
      <xdr:spPr bwMode="auto">
        <a:xfrm>
          <a:off x="13781690" y="35846846"/>
          <a:ext cx="5533696" cy="4692383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378</xdr:row>
      <xdr:rowOff>0</xdr:rowOff>
    </xdr:from>
    <xdr:to>
      <xdr:col>27</xdr:col>
      <xdr:colOff>11</xdr:colOff>
      <xdr:row>399</xdr:row>
      <xdr:rowOff>175149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/>
      </xdr:blipFill>
      <xdr:spPr bwMode="auto">
        <a:xfrm>
          <a:off x="13781691" y="40799845"/>
          <a:ext cx="5454869" cy="4175648"/>
        </a:xfrm>
        <a:prstGeom prst="rect">
          <a:avLst/>
        </a:prstGeom>
      </xdr:spPr>
    </xdr:pic>
    <xdr:clientData/>
  </xdr:twoCellAnchor>
  <xdr:twoCellAnchor editAs="oneCell">
    <xdr:from>
      <xdr:col>9</xdr:col>
      <xdr:colOff>33618</xdr:colOff>
      <xdr:row>265</xdr:row>
      <xdr:rowOff>56030</xdr:rowOff>
    </xdr:from>
    <xdr:to>
      <xdr:col>15</xdr:col>
      <xdr:colOff>568074</xdr:colOff>
      <xdr:row>272</xdr:row>
      <xdr:rowOff>68215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/>
      </xdr:blipFill>
      <xdr:spPr bwMode="auto">
        <a:xfrm>
          <a:off x="6195308" y="19329375"/>
          <a:ext cx="5367618" cy="1345685"/>
        </a:xfrm>
        <a:prstGeom prst="rect">
          <a:avLst/>
        </a:prstGeom>
      </xdr:spPr>
    </xdr:pic>
    <xdr:clientData/>
  </xdr:twoCellAnchor>
  <xdr:twoCellAnchor editAs="oneCell">
    <xdr:from>
      <xdr:col>27</xdr:col>
      <xdr:colOff>115501</xdr:colOff>
      <xdr:row>249</xdr:row>
      <xdr:rowOff>91524</xdr:rowOff>
    </xdr:from>
    <xdr:to>
      <xdr:col>34</xdr:col>
      <xdr:colOff>689401</xdr:colOff>
      <xdr:row>297</xdr:row>
      <xdr:rowOff>146628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/>
      </xdr:blipFill>
      <xdr:spPr bwMode="auto">
        <a:xfrm>
          <a:off x="25892313" y="16755040"/>
          <a:ext cx="6477307" cy="94335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10</xdr:col>
      <xdr:colOff>714769</xdr:colOff>
      <xdr:row>325</xdr:row>
      <xdr:rowOff>181265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/>
      </xdr:blipFill>
      <xdr:spPr bwMode="auto">
        <a:xfrm>
          <a:off x="3115235" y="34189147"/>
          <a:ext cx="5496692" cy="20862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7</xdr:col>
      <xdr:colOff>625100</xdr:colOff>
      <xdr:row>337</xdr:row>
      <xdr:rowOff>138759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/>
      </xdr:blipFill>
      <xdr:spPr bwMode="auto">
        <a:xfrm>
          <a:off x="2618395" y="30229136"/>
          <a:ext cx="4025899" cy="107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9</xdr:col>
      <xdr:colOff>415518</xdr:colOff>
      <xdr:row>357</xdr:row>
      <xdr:rowOff>58796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/>
      </xdr:blipFill>
      <xdr:spPr bwMode="auto">
        <a:xfrm>
          <a:off x="2618395" y="30229136"/>
          <a:ext cx="56134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7</xdr:col>
      <xdr:colOff>367651</xdr:colOff>
      <xdr:row>247</xdr:row>
      <xdr:rowOff>71057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/>
      </xdr:blipFill>
      <xdr:spPr bwMode="auto">
        <a:xfrm>
          <a:off x="825500" y="13817599"/>
          <a:ext cx="5524500" cy="10235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1200149</xdr:colOff>
      <xdr:row>235</xdr:row>
      <xdr:rowOff>180974</xdr:rowOff>
    </xdr:from>
    <xdr:to>
      <xdr:col>8</xdr:col>
      <xdr:colOff>360679</xdr:colOff>
      <xdr:row>245</xdr:row>
      <xdr:rowOff>115598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1524000" y="3619500"/>
          <a:ext cx="5128260" cy="1830097"/>
        </a:xfrm>
        <a:prstGeom prst="rect">
          <a:avLst/>
        </a:prstGeom>
      </xdr:spPr>
    </xdr:pic>
    <xdr:clientData/>
  </xdr:twoCellAnchor>
  <xdr:twoCellAnchor editAs="oneCell">
    <xdr:from>
      <xdr:col>1</xdr:col>
      <xdr:colOff>1200149</xdr:colOff>
      <xdr:row>245</xdr:row>
      <xdr:rowOff>180974</xdr:rowOff>
    </xdr:from>
    <xdr:to>
      <xdr:col>8</xdr:col>
      <xdr:colOff>132519</xdr:colOff>
      <xdr:row>268</xdr:row>
      <xdr:rowOff>30832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1524000" y="5476875"/>
          <a:ext cx="4900100" cy="422183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235</xdr:row>
      <xdr:rowOff>57149</xdr:rowOff>
    </xdr:from>
    <xdr:to>
      <xdr:col>19</xdr:col>
      <xdr:colOff>421191</xdr:colOff>
      <xdr:row>241</xdr:row>
      <xdr:rowOff>148272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9169401" y="4146550"/>
          <a:ext cx="4653280" cy="123412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241</xdr:row>
      <xdr:rowOff>180974</xdr:rowOff>
    </xdr:from>
    <xdr:to>
      <xdr:col>19</xdr:col>
      <xdr:colOff>474531</xdr:colOff>
      <xdr:row>261</xdr:row>
      <xdr:rowOff>96231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8382001" y="4714875"/>
          <a:ext cx="4389120" cy="3715733"/>
        </a:xfrm>
        <a:prstGeom prst="rect">
          <a:avLst/>
        </a:prstGeom>
      </xdr:spPr>
    </xdr:pic>
    <xdr:clientData/>
  </xdr:twoCellAnchor>
  <xdr:twoCellAnchor editAs="oneCell">
    <xdr:from>
      <xdr:col>21</xdr:col>
      <xdr:colOff>16500</xdr:colOff>
      <xdr:row>248</xdr:row>
      <xdr:rowOff>106016</xdr:rowOff>
    </xdr:from>
    <xdr:to>
      <xdr:col>26</xdr:col>
      <xdr:colOff>491031</xdr:colOff>
      <xdr:row>262</xdr:row>
      <xdr:rowOff>47543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/>
      </xdr:blipFill>
      <xdr:spPr bwMode="auto">
        <a:xfrm>
          <a:off x="18125207" y="12014135"/>
          <a:ext cx="4687943" cy="2660821"/>
        </a:xfrm>
        <a:prstGeom prst="rect">
          <a:avLst/>
        </a:prstGeom>
      </xdr:spPr>
    </xdr:pic>
    <xdr:clientData/>
  </xdr:twoCellAnchor>
  <xdr:twoCellAnchor editAs="oneCell">
    <xdr:from>
      <xdr:col>25</xdr:col>
      <xdr:colOff>735927</xdr:colOff>
      <xdr:row>277</xdr:row>
      <xdr:rowOff>145079</xdr:rowOff>
    </xdr:from>
    <xdr:to>
      <xdr:col>33</xdr:col>
      <xdr:colOff>253402</xdr:colOff>
      <xdr:row>301</xdr:row>
      <xdr:rowOff>32995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22236281" y="41890727"/>
          <a:ext cx="6300769" cy="4549563"/>
        </a:xfrm>
        <a:prstGeom prst="rect">
          <a:avLst/>
        </a:prstGeom>
      </xdr:spPr>
    </xdr:pic>
    <xdr:clientData/>
  </xdr:twoCellAnchor>
  <xdr:twoCellAnchor editAs="oneCell">
    <xdr:from>
      <xdr:col>2</xdr:col>
      <xdr:colOff>13605</xdr:colOff>
      <xdr:row>316</xdr:row>
      <xdr:rowOff>81642</xdr:rowOff>
    </xdr:from>
    <xdr:to>
      <xdr:col>8</xdr:col>
      <xdr:colOff>184233</xdr:colOff>
      <xdr:row>339</xdr:row>
      <xdr:rowOff>5800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/>
      </xdr:blipFill>
      <xdr:spPr bwMode="auto">
        <a:xfrm>
          <a:off x="8395606" y="17594036"/>
          <a:ext cx="4983928" cy="4305659"/>
        </a:xfrm>
        <a:prstGeom prst="rect">
          <a:avLst/>
        </a:prstGeom>
      </xdr:spPr>
    </xdr:pic>
    <xdr:clientData/>
  </xdr:twoCellAnchor>
  <xdr:twoCellAnchor editAs="oneCell">
    <xdr:from>
      <xdr:col>1</xdr:col>
      <xdr:colOff>1200149</xdr:colOff>
      <xdr:row>301</xdr:row>
      <xdr:rowOff>180974</xdr:rowOff>
    </xdr:from>
    <xdr:to>
      <xdr:col>7</xdr:col>
      <xdr:colOff>786968</xdr:colOff>
      <xdr:row>308</xdr:row>
      <xdr:rowOff>167749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/>
      </xdr:blipFill>
      <xdr:spPr bwMode="auto">
        <a:xfrm>
          <a:off x="1524000" y="17668875"/>
          <a:ext cx="4618135" cy="131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8</xdr:col>
      <xdr:colOff>589280</xdr:colOff>
      <xdr:row>368</xdr:row>
      <xdr:rowOff>42305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/>
      </xdr:blipFill>
      <xdr:spPr bwMode="auto">
        <a:xfrm>
          <a:off x="1584961" y="24391621"/>
          <a:ext cx="5570220" cy="3334146"/>
        </a:xfrm>
        <a:prstGeom prst="rect">
          <a:avLst/>
        </a:prstGeom>
      </xdr:spPr>
    </xdr:pic>
    <xdr:clientData/>
  </xdr:twoCellAnchor>
  <xdr:twoCellAnchor editAs="oneCell">
    <xdr:from>
      <xdr:col>10</xdr:col>
      <xdr:colOff>809624</xdr:colOff>
      <xdr:row>349</xdr:row>
      <xdr:rowOff>134470</xdr:rowOff>
    </xdr:from>
    <xdr:to>
      <xdr:col>17</xdr:col>
      <xdr:colOff>209026</xdr:colOff>
      <xdr:row>375</xdr:row>
      <xdr:rowOff>142205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/>
      </xdr:blipFill>
      <xdr:spPr bwMode="auto">
        <a:xfrm>
          <a:off x="9517530" y="31660353"/>
          <a:ext cx="5303968" cy="5057853"/>
        </a:xfrm>
        <a:prstGeom prst="rect">
          <a:avLst/>
        </a:prstGeom>
      </xdr:spPr>
    </xdr:pic>
    <xdr:clientData/>
  </xdr:twoCellAnchor>
  <xdr:twoCellAnchor editAs="oneCell">
    <xdr:from>
      <xdr:col>10</xdr:col>
      <xdr:colOff>809624</xdr:colOff>
      <xdr:row>378</xdr:row>
      <xdr:rowOff>44822</xdr:rowOff>
    </xdr:from>
    <xdr:to>
      <xdr:col>21</xdr:col>
      <xdr:colOff>68854</xdr:colOff>
      <xdr:row>404</xdr:row>
      <xdr:rowOff>129061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/>
      </xdr:blipFill>
      <xdr:spPr bwMode="auto">
        <a:xfrm>
          <a:off x="9532470" y="37203529"/>
          <a:ext cx="8645091" cy="51343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9</xdr:col>
      <xdr:colOff>162560</xdr:colOff>
      <xdr:row>420</xdr:row>
      <xdr:rowOff>42599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/>
      </xdr:blipFill>
      <xdr:spPr bwMode="auto">
        <a:xfrm>
          <a:off x="1584961" y="28414981"/>
          <a:ext cx="5981700" cy="8820840"/>
        </a:xfrm>
        <a:prstGeom prst="rect">
          <a:avLst/>
        </a:prstGeom>
      </xdr:spPr>
    </xdr:pic>
    <xdr:clientData/>
  </xdr:twoCellAnchor>
  <xdr:twoCellAnchor>
    <xdr:from>
      <xdr:col>1</xdr:col>
      <xdr:colOff>205740</xdr:colOff>
      <xdr:row>390</xdr:row>
      <xdr:rowOff>99060</xdr:rowOff>
    </xdr:from>
    <xdr:to>
      <xdr:col>2</xdr:col>
      <xdr:colOff>15240</xdr:colOff>
      <xdr:row>390</xdr:row>
      <xdr:rowOff>114300</xdr:rowOff>
    </xdr:to>
    <xdr:cxnSp macro="">
      <xdr:nvCxnSpPr>
        <xdr:cNvPr id="16" name="Gerade Verbindung mit Pfeil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cxnSpLocks/>
        </xdr:cNvCxnSpPr>
      </xdr:nvCxnSpPr>
      <xdr:spPr bwMode="auto">
        <a:xfrm>
          <a:off x="998220" y="31805880"/>
          <a:ext cx="601980" cy="1524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1200149</xdr:colOff>
      <xdr:row>427</xdr:row>
      <xdr:rowOff>180974</xdr:rowOff>
    </xdr:from>
    <xdr:to>
      <xdr:col>7</xdr:col>
      <xdr:colOff>761999</xdr:colOff>
      <xdr:row>432</xdr:row>
      <xdr:rowOff>88246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/>
      </xdr:blipFill>
      <xdr:spPr bwMode="auto">
        <a:xfrm>
          <a:off x="1645920" y="47172880"/>
          <a:ext cx="5019040" cy="860407"/>
        </a:xfrm>
        <a:prstGeom prst="rect">
          <a:avLst/>
        </a:prstGeom>
      </xdr:spPr>
    </xdr:pic>
    <xdr:clientData/>
  </xdr:twoCellAnchor>
  <xdr:twoCellAnchor>
    <xdr:from>
      <xdr:col>1</xdr:col>
      <xdr:colOff>274320</xdr:colOff>
      <xdr:row>227</xdr:row>
      <xdr:rowOff>81280</xdr:rowOff>
    </xdr:from>
    <xdr:to>
      <xdr:col>1</xdr:col>
      <xdr:colOff>487680</xdr:colOff>
      <xdr:row>229</xdr:row>
      <xdr:rowOff>10160</xdr:rowOff>
    </xdr:to>
    <xdr:sp macro="" textlink="">
      <xdr:nvSpPr>
        <xdr:cNvPr id="18" name="Pfeil nach unten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 bwMode="auto">
        <a:xfrm flipV="1">
          <a:off x="1097280" y="9225280"/>
          <a:ext cx="213360" cy="294640"/>
        </a:xfrm>
        <a:prstGeom prst="downArrow">
          <a:avLst>
            <a:gd name="adj1" fmla="val 50000"/>
            <a:gd name="adj2" fmla="val 5000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de-DE" sz="1100"/>
        </a:p>
      </xdr:txBody>
    </xdr:sp>
    <xdr:clientData/>
  </xdr:twoCellAnchor>
  <xdr:twoCellAnchor>
    <xdr:from>
      <xdr:col>9</xdr:col>
      <xdr:colOff>537135</xdr:colOff>
      <xdr:row>281</xdr:row>
      <xdr:rowOff>85165</xdr:rowOff>
    </xdr:from>
    <xdr:to>
      <xdr:col>13</xdr:col>
      <xdr:colOff>346635</xdr:colOff>
      <xdr:row>284</xdr:row>
      <xdr:rowOff>110565</xdr:rowOff>
    </xdr:to>
    <xdr:cxnSp macro="">
      <xdr:nvCxnSpPr>
        <xdr:cNvPr id="20" name="Gerade Verbindung mit Pfeil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cxnSpLocks/>
        </xdr:cNvCxnSpPr>
      </xdr:nvCxnSpPr>
      <xdr:spPr bwMode="auto">
        <a:xfrm>
          <a:off x="8261723" y="18403047"/>
          <a:ext cx="1557618" cy="6081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0</xdr:colOff>
      <xdr:row>320</xdr:row>
      <xdr:rowOff>0</xdr:rowOff>
    </xdr:from>
    <xdr:ext cx="6655661" cy="2189593"/>
    <xdr:pic>
      <xdr:nvPicPr>
        <xdr:cNvPr id="21" name="Grafik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/>
      </xdr:blipFill>
      <xdr:spPr bwMode="auto">
        <a:xfrm>
          <a:off x="16103599" y="10363200"/>
          <a:ext cx="6655662" cy="2189593"/>
        </a:xfrm>
        <a:prstGeom prst="rect">
          <a:avLst/>
        </a:prstGeom>
      </xdr:spPr>
    </xdr:pic>
    <xdr:clientData/>
  </xdr:oneCellAnchor>
  <xdr:twoCellAnchor>
    <xdr:from>
      <xdr:col>14</xdr:col>
      <xdr:colOff>328705</xdr:colOff>
      <xdr:row>275</xdr:row>
      <xdr:rowOff>59766</xdr:rowOff>
    </xdr:from>
    <xdr:to>
      <xdr:col>23</xdr:col>
      <xdr:colOff>149412</xdr:colOff>
      <xdr:row>278</xdr:row>
      <xdr:rowOff>119531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 bwMode="auto">
        <a:xfrm>
          <a:off x="12475882" y="17212237"/>
          <a:ext cx="7425765" cy="642470"/>
        </a:xfrm>
        <a:prstGeom prst="rect">
          <a:avLst/>
        </a:prstGeom>
        <a:solidFill>
          <a:srgbClr val="EDACA7"/>
        </a:solidFill>
        <a:ln w="38100" cmpd="sng">
          <a:solidFill>
            <a:srgbClr val="FF0000"/>
          </a:solidFill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defRPr/>
          </a:pPr>
          <a:r>
            <a:rPr lang="de-DE" sz="1400" b="1">
              <a:solidFill>
                <a:schemeClr val="tx1"/>
              </a:solidFill>
            </a:rPr>
            <a:t>Berechnungsvorgehen auffindbar im Sciebo-Ordner unter AP2.2</a:t>
          </a:r>
          <a:br>
            <a:rPr lang="de-DE" sz="1400" b="1">
              <a:solidFill>
                <a:schemeClr val="tx1"/>
              </a:solidFill>
            </a:rPr>
          </a:br>
          <a:r>
            <a:rPr lang="de-DE" sz="1400" b="1">
              <a:solidFill>
                <a:schemeClr val="tx1"/>
              </a:solidFill>
            </a:rPr>
            <a:t>"Pipeline_vs_Schiff_Transport.pptx" !! und "Übergabe AP 2.2"</a:t>
          </a:r>
        </a:p>
      </xdr:txBody>
    </xdr:sp>
    <xdr:clientData/>
  </xdr:twoCellAnchor>
  <xdr:twoCellAnchor editAs="oneCell">
    <xdr:from>
      <xdr:col>1</xdr:col>
      <xdr:colOff>761999</xdr:colOff>
      <xdr:row>274</xdr:row>
      <xdr:rowOff>104588</xdr:rowOff>
    </xdr:from>
    <xdr:to>
      <xdr:col>9</xdr:col>
      <xdr:colOff>386416</xdr:colOff>
      <xdr:row>291</xdr:row>
      <xdr:rowOff>15402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/>
      </xdr:blipFill>
      <xdr:spPr bwMode="auto">
        <a:xfrm>
          <a:off x="1583765" y="43419060"/>
          <a:ext cx="7082118" cy="32128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130</xdr:row>
      <xdr:rowOff>22860</xdr:rowOff>
    </xdr:from>
    <xdr:to>
      <xdr:col>7</xdr:col>
      <xdr:colOff>339447</xdr:colOff>
      <xdr:row>147</xdr:row>
      <xdr:rowOff>7621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792480" y="2217421"/>
          <a:ext cx="5094326" cy="3093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7</xdr:col>
      <xdr:colOff>266700</xdr:colOff>
      <xdr:row>149</xdr:row>
      <xdr:rowOff>139769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792480" y="5669280"/>
          <a:ext cx="5021580" cy="5055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150</xdr:row>
      <xdr:rowOff>1</xdr:rowOff>
    </xdr:from>
    <xdr:to>
      <xdr:col>7</xdr:col>
      <xdr:colOff>213361</xdr:colOff>
      <xdr:row>154</xdr:row>
      <xdr:rowOff>104322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825501" y="10553701"/>
          <a:ext cx="5166360" cy="866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7</xdr:col>
      <xdr:colOff>106680</xdr:colOff>
      <xdr:row>156</xdr:row>
      <xdr:rowOff>131613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792480" y="7132320"/>
          <a:ext cx="4861560" cy="3144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18</xdr:col>
      <xdr:colOff>312928</xdr:colOff>
      <xdr:row>138</xdr:row>
      <xdr:rowOff>175386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/>
      </xdr:blipFill>
      <xdr:spPr bwMode="auto">
        <a:xfrm>
          <a:off x="7924800" y="2377440"/>
          <a:ext cx="5860288" cy="145554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139</xdr:row>
      <xdr:rowOff>0</xdr:rowOff>
    </xdr:from>
    <xdr:to>
      <xdr:col>18</xdr:col>
      <xdr:colOff>335790</xdr:colOff>
      <xdr:row>140</xdr:row>
      <xdr:rowOff>167670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7924800" y="3840480"/>
          <a:ext cx="5883149" cy="350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143</xdr:row>
      <xdr:rowOff>0</xdr:rowOff>
    </xdr:from>
    <xdr:to>
      <xdr:col>18</xdr:col>
      <xdr:colOff>427238</xdr:colOff>
      <xdr:row>149</xdr:row>
      <xdr:rowOff>53440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/>
      </xdr:blipFill>
      <xdr:spPr bwMode="auto">
        <a:xfrm>
          <a:off x="7924800" y="4572000"/>
          <a:ext cx="5974598" cy="11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137160</xdr:colOff>
      <xdr:row>149</xdr:row>
      <xdr:rowOff>144780</xdr:rowOff>
    </xdr:from>
    <xdr:to>
      <xdr:col>18</xdr:col>
      <xdr:colOff>450088</xdr:colOff>
      <xdr:row>151</xdr:row>
      <xdr:rowOff>83846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/>
      </xdr:blipFill>
      <xdr:spPr bwMode="auto">
        <a:xfrm>
          <a:off x="8061960" y="5814060"/>
          <a:ext cx="5860288" cy="30482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153</xdr:row>
      <xdr:rowOff>0</xdr:rowOff>
    </xdr:from>
    <xdr:to>
      <xdr:col>18</xdr:col>
      <xdr:colOff>267203</xdr:colOff>
      <xdr:row>159</xdr:row>
      <xdr:rowOff>144888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/>
      </xdr:blipFill>
      <xdr:spPr bwMode="auto">
        <a:xfrm>
          <a:off x="7924800" y="6400800"/>
          <a:ext cx="5814564" cy="124216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160</xdr:row>
      <xdr:rowOff>0</xdr:rowOff>
    </xdr:from>
    <xdr:to>
      <xdr:col>18</xdr:col>
      <xdr:colOff>297687</xdr:colOff>
      <xdr:row>161</xdr:row>
      <xdr:rowOff>129567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/>
      </xdr:blipFill>
      <xdr:spPr bwMode="auto">
        <a:xfrm>
          <a:off x="7924800" y="7680960"/>
          <a:ext cx="5845047" cy="312447"/>
        </a:xfrm>
        <a:prstGeom prst="rect">
          <a:avLst/>
        </a:prstGeom>
      </xdr:spPr>
    </xdr:pic>
    <xdr:clientData/>
  </xdr:twoCellAnchor>
  <xdr:twoCellAnchor editAs="oneCell">
    <xdr:from>
      <xdr:col>0</xdr:col>
      <xdr:colOff>624840</xdr:colOff>
      <xdr:row>215</xdr:row>
      <xdr:rowOff>22860</xdr:rowOff>
    </xdr:from>
    <xdr:to>
      <xdr:col>8</xdr:col>
      <xdr:colOff>449580</xdr:colOff>
      <xdr:row>238</xdr:row>
      <xdr:rowOff>28340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/>
      </xdr:blipFill>
      <xdr:spPr bwMode="auto">
        <a:xfrm>
          <a:off x="624840" y="17396460"/>
          <a:ext cx="6164580" cy="4211721"/>
        </a:xfrm>
        <a:prstGeom prst="rect">
          <a:avLst/>
        </a:prstGeom>
      </xdr:spPr>
    </xdr:pic>
    <xdr:clientData/>
  </xdr:twoCellAnchor>
  <xdr:twoCellAnchor editAs="oneCell">
    <xdr:from>
      <xdr:col>10</xdr:col>
      <xdr:colOff>435709</xdr:colOff>
      <xdr:row>191</xdr:row>
      <xdr:rowOff>66097</xdr:rowOff>
    </xdr:from>
    <xdr:to>
      <xdr:col>18</xdr:col>
      <xdr:colOff>139469</xdr:colOff>
      <xdr:row>238</xdr:row>
      <xdr:rowOff>147180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/>
      </xdr:blipFill>
      <xdr:spPr bwMode="auto">
        <a:xfrm>
          <a:off x="8669775" y="18153130"/>
          <a:ext cx="6291013" cy="9264162"/>
        </a:xfrm>
        <a:prstGeom prst="rect">
          <a:avLst/>
        </a:prstGeom>
      </xdr:spPr>
    </xdr:pic>
    <xdr:clientData/>
  </xdr:twoCellAnchor>
  <xdr:twoCellAnchor editAs="oneCell">
    <xdr:from>
      <xdr:col>0</xdr:col>
      <xdr:colOff>678180</xdr:colOff>
      <xdr:row>191</xdr:row>
      <xdr:rowOff>160020</xdr:rowOff>
    </xdr:from>
    <xdr:to>
      <xdr:col>9</xdr:col>
      <xdr:colOff>335353</xdr:colOff>
      <xdr:row>214</xdr:row>
      <xdr:rowOff>61392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/>
      </xdr:blipFill>
      <xdr:spPr bwMode="auto">
        <a:xfrm>
          <a:off x="678180" y="13144500"/>
          <a:ext cx="6789493" cy="410761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244</xdr:row>
      <xdr:rowOff>0</xdr:rowOff>
    </xdr:from>
    <xdr:to>
      <xdr:col>19</xdr:col>
      <xdr:colOff>198122</xdr:colOff>
      <xdr:row>273</xdr:row>
      <xdr:rowOff>32055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/>
      </xdr:blipFill>
      <xdr:spPr bwMode="auto">
        <a:xfrm>
          <a:off x="7924801" y="22677120"/>
          <a:ext cx="6537960" cy="5335577"/>
        </a:xfrm>
        <a:prstGeom prst="rect">
          <a:avLst/>
        </a:prstGeom>
      </xdr:spPr>
    </xdr:pic>
    <xdr:clientData/>
  </xdr:twoCellAnchor>
  <xdr:twoCellAnchor>
    <xdr:from>
      <xdr:col>23</xdr:col>
      <xdr:colOff>10161</xdr:colOff>
      <xdr:row>149</xdr:row>
      <xdr:rowOff>50800</xdr:rowOff>
    </xdr:from>
    <xdr:to>
      <xdr:col>32</xdr:col>
      <xdr:colOff>50800</xdr:colOff>
      <xdr:row>158</xdr:row>
      <xdr:rowOff>30480</xdr:rowOff>
    </xdr:to>
    <xdr:grpSp>
      <xdr:nvGrpSpPr>
        <xdr:cNvPr id="14" name="Gruppieren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pSpPr/>
      </xdr:nvGrpSpPr>
      <xdr:grpSpPr bwMode="auto">
        <a:xfrm>
          <a:off x="18306535" y="27641899"/>
          <a:ext cx="7200089" cy="1637658"/>
          <a:chOff x="15626081" y="6390640"/>
          <a:chExt cx="5648959" cy="2086864"/>
        </a:xfrm>
      </xdr:grpSpPr>
      <xdr:pic>
        <xdr:nvPicPr>
          <xdr:cNvPr id="17" name="Grafik 16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/>
        </xdr:blipFill>
        <xdr:spPr bwMode="auto">
          <a:xfrm>
            <a:off x="15636240" y="6390640"/>
            <a:ext cx="5638800" cy="1320800"/>
          </a:xfrm>
          <a:prstGeom prst="rect">
            <a:avLst/>
          </a:prstGeom>
        </xdr:spPr>
      </xdr:pic>
      <xdr:pic>
        <xdr:nvPicPr>
          <xdr:cNvPr id="18" name="Grafik 17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/>
        </xdr:blipFill>
        <xdr:spPr bwMode="auto">
          <a:xfrm>
            <a:off x="15626081" y="7691120"/>
            <a:ext cx="5618841" cy="786384"/>
          </a:xfrm>
          <a:prstGeom prst="rect">
            <a:avLst/>
          </a:prstGeom>
        </xdr:spPr>
      </xdr:pic>
    </xdr:grpSp>
    <xdr:clientData/>
  </xdr:twoCellAnchor>
  <xdr:twoCellAnchor editAs="oneCell">
    <xdr:from>
      <xdr:col>23</xdr:col>
      <xdr:colOff>10160</xdr:colOff>
      <xdr:row>149</xdr:row>
      <xdr:rowOff>30480</xdr:rowOff>
    </xdr:from>
    <xdr:to>
      <xdr:col>24</xdr:col>
      <xdr:colOff>1</xdr:colOff>
      <xdr:row>149</xdr:row>
      <xdr:rowOff>175241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/>
      </xdr:blipFill>
      <xdr:spPr bwMode="auto">
        <a:xfrm>
          <a:off x="15646400" y="6614160"/>
          <a:ext cx="812800" cy="144761"/>
        </a:xfrm>
        <a:prstGeom prst="rect">
          <a:avLst/>
        </a:prstGeom>
      </xdr:spPr>
    </xdr:pic>
    <xdr:clientData/>
  </xdr:twoCellAnchor>
  <xdr:twoCellAnchor editAs="oneCell">
    <xdr:from>
      <xdr:col>0</xdr:col>
      <xdr:colOff>725715</xdr:colOff>
      <xdr:row>175</xdr:row>
      <xdr:rowOff>120950</xdr:rowOff>
    </xdr:from>
    <xdr:to>
      <xdr:col>7</xdr:col>
      <xdr:colOff>424725</xdr:colOff>
      <xdr:row>177</xdr:row>
      <xdr:rowOff>120953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/>
      </xdr:blipFill>
      <xdr:spPr bwMode="auto">
        <a:xfrm>
          <a:off x="725715" y="14665475"/>
          <a:ext cx="5519843" cy="3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82148</xdr:rowOff>
    </xdr:from>
    <xdr:to>
      <xdr:col>7</xdr:col>
      <xdr:colOff>377976</xdr:colOff>
      <xdr:row>174</xdr:row>
      <xdr:rowOff>58736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/>
      </xdr:blipFill>
      <xdr:spPr bwMode="auto">
        <a:xfrm>
          <a:off x="831548" y="13447386"/>
          <a:ext cx="5367262" cy="95932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172</xdr:row>
      <xdr:rowOff>1</xdr:rowOff>
    </xdr:from>
    <xdr:to>
      <xdr:col>30</xdr:col>
      <xdr:colOff>369</xdr:colOff>
      <xdr:row>187</xdr:row>
      <xdr:rowOff>105836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/>
      </xdr:blipFill>
      <xdr:spPr bwMode="auto">
        <a:xfrm>
          <a:off x="18294048" y="13954882"/>
          <a:ext cx="5821202" cy="305404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194</xdr:row>
      <xdr:rowOff>0</xdr:rowOff>
    </xdr:from>
    <xdr:to>
      <xdr:col>32</xdr:col>
      <xdr:colOff>288471</xdr:colOff>
      <xdr:row>194</xdr:row>
      <xdr:rowOff>161737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/>
      </xdr:blipFill>
      <xdr:spPr bwMode="auto">
        <a:xfrm>
          <a:off x="18294048" y="18475476"/>
          <a:ext cx="7772400" cy="1617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195</xdr:row>
      <xdr:rowOff>0</xdr:rowOff>
    </xdr:from>
    <xdr:to>
      <xdr:col>32</xdr:col>
      <xdr:colOff>288471</xdr:colOff>
      <xdr:row>197</xdr:row>
      <xdr:rowOff>63030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/>
      </xdr:blipFill>
      <xdr:spPr bwMode="auto">
        <a:xfrm>
          <a:off x="18294048" y="18672024"/>
          <a:ext cx="7772400" cy="4561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28</xdr:col>
      <xdr:colOff>366240</xdr:colOff>
      <xdr:row>291</xdr:row>
      <xdr:rowOff>1</xdr:rowOff>
    </xdr:to>
    <xdr:pic>
      <xdr:nvPicPr>
        <xdr:cNvPr id="19" name="Grafik 13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/>
      </xdr:blipFill>
      <xdr:spPr bwMode="auto">
        <a:xfrm>
          <a:off x="829733" y="34188400"/>
          <a:ext cx="22769040" cy="1676400"/>
        </a:xfrm>
        <a:prstGeom prst="rect">
          <a:avLst/>
        </a:prstGeom>
      </xdr:spPr>
    </xdr:pic>
    <xdr:clientData/>
  </xdr:twoCellAnchor>
  <xdr:oneCellAnchor>
    <xdr:from>
      <xdr:col>30</xdr:col>
      <xdr:colOff>10160</xdr:colOff>
      <xdr:row>149</xdr:row>
      <xdr:rowOff>30480</xdr:rowOff>
    </xdr:from>
    <xdr:ext cx="813247" cy="144760"/>
    <xdr:pic>
      <xdr:nvPicPr>
        <xdr:cNvPr id="21" name="Grafik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/>
      </xdr:blipFill>
      <xdr:spPr bwMode="auto">
        <a:xfrm>
          <a:off x="18948512" y="9911359"/>
          <a:ext cx="813247" cy="144761"/>
        </a:xfrm>
        <a:prstGeom prst="rect">
          <a:avLst/>
        </a:prstGeom>
      </xdr:spPr>
    </xdr:pic>
    <xdr:clientData/>
  </xdr:oneCellAnchor>
  <xdr:oneCellAnchor>
    <xdr:from>
      <xdr:col>37</xdr:col>
      <xdr:colOff>10160</xdr:colOff>
      <xdr:row>149</xdr:row>
      <xdr:rowOff>30480</xdr:rowOff>
    </xdr:from>
    <xdr:ext cx="813247" cy="144760"/>
    <xdr:pic>
      <xdr:nvPicPr>
        <xdr:cNvPr id="27" name="Grafik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/>
      </xdr:blipFill>
      <xdr:spPr bwMode="auto">
        <a:xfrm>
          <a:off x="24712358" y="9911359"/>
          <a:ext cx="813247" cy="144761"/>
        </a:xfrm>
        <a:prstGeom prst="rect">
          <a:avLst/>
        </a:prstGeom>
      </xdr:spPr>
    </xdr:pic>
    <xdr:clientData/>
  </xdr:oneCellAnchor>
  <xdr:twoCellAnchor editAs="oneCell">
    <xdr:from>
      <xdr:col>1</xdr:col>
      <xdr:colOff>215900</xdr:colOff>
      <xdr:row>297</xdr:row>
      <xdr:rowOff>25400</xdr:rowOff>
    </xdr:from>
    <xdr:to>
      <xdr:col>10</xdr:col>
      <xdr:colOff>558800</xdr:colOff>
      <xdr:row>307</xdr:row>
      <xdr:rowOff>180260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/>
      </xdr:blipFill>
      <xdr:spPr bwMode="auto">
        <a:xfrm>
          <a:off x="1008380" y="8011160"/>
          <a:ext cx="7475220" cy="198366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299</xdr:row>
      <xdr:rowOff>0</xdr:rowOff>
    </xdr:from>
    <xdr:to>
      <xdr:col>26</xdr:col>
      <xdr:colOff>342900</xdr:colOff>
      <xdr:row>321</xdr:row>
      <xdr:rowOff>2480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/>
      </xdr:blipFill>
      <xdr:spPr bwMode="auto">
        <a:xfrm>
          <a:off x="11094720" y="7802880"/>
          <a:ext cx="7475220" cy="402584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322</xdr:row>
      <xdr:rowOff>0</xdr:rowOff>
    </xdr:from>
    <xdr:to>
      <xdr:col>26</xdr:col>
      <xdr:colOff>342900</xdr:colOff>
      <xdr:row>360</xdr:row>
      <xdr:rowOff>75509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/>
      </xdr:blipFill>
      <xdr:spPr bwMode="auto">
        <a:xfrm>
          <a:off x="11094720" y="12009120"/>
          <a:ext cx="7475220" cy="7024949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</xdr:colOff>
      <xdr:row>362</xdr:row>
      <xdr:rowOff>114300</xdr:rowOff>
    </xdr:from>
    <xdr:to>
      <xdr:col>22</xdr:col>
      <xdr:colOff>0</xdr:colOff>
      <xdr:row>382</xdr:row>
      <xdr:rowOff>50801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/>
      </xdr:blipFill>
      <xdr:spPr bwMode="auto">
        <a:xfrm>
          <a:off x="11107420" y="19438620"/>
          <a:ext cx="3949700" cy="35941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70555</xdr:colOff>
      <xdr:row>61</xdr:row>
      <xdr:rowOff>70556</xdr:rowOff>
    </xdr:from>
    <xdr:to>
      <xdr:col>8</xdr:col>
      <xdr:colOff>270462</xdr:colOff>
      <xdr:row>67</xdr:row>
      <xdr:rowOff>135210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0C347D08-D6AF-F1B8-F81F-C9761619A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4907" y="12535371"/>
          <a:ext cx="5632685" cy="11935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9</xdr:col>
      <xdr:colOff>476969</xdr:colOff>
      <xdr:row>112</xdr:row>
      <xdr:rowOff>95200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91C40812-EFB5-A828-F8E4-F6515C818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352" y="17732963"/>
          <a:ext cx="5992061" cy="3858163"/>
        </a:xfrm>
        <a:prstGeom prst="rect">
          <a:avLst/>
        </a:prstGeom>
      </xdr:spPr>
    </xdr:pic>
    <xdr:clientData/>
  </xdr:twoCellAnchor>
  <xdr:twoCellAnchor editAs="oneCell">
    <xdr:from>
      <xdr:col>10</xdr:col>
      <xdr:colOff>823149</xdr:colOff>
      <xdr:row>59</xdr:row>
      <xdr:rowOff>105833</xdr:rowOff>
    </xdr:from>
    <xdr:to>
      <xdr:col>29</xdr:col>
      <xdr:colOff>103969</xdr:colOff>
      <xdr:row>63</xdr:row>
      <xdr:rowOff>39137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AFB643D6-C012-6807-1AB3-E57406E72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3612" y="15581018"/>
          <a:ext cx="13603598" cy="68589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58796</xdr:rowOff>
    </xdr:from>
    <xdr:to>
      <xdr:col>29</xdr:col>
      <xdr:colOff>79856</xdr:colOff>
      <xdr:row>59</xdr:row>
      <xdr:rowOff>108806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9D87126E-EBC5-AD40-AFD8-AF732A28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7130" y="15345833"/>
          <a:ext cx="13555967" cy="238158"/>
        </a:xfrm>
        <a:prstGeom prst="rect">
          <a:avLst/>
        </a:prstGeom>
      </xdr:spPr>
    </xdr:pic>
    <xdr:clientData/>
  </xdr:twoCellAnchor>
  <xdr:twoCellAnchor editAs="oneCell">
    <xdr:from>
      <xdr:col>10</xdr:col>
      <xdr:colOff>764352</xdr:colOff>
      <xdr:row>80</xdr:row>
      <xdr:rowOff>70555</xdr:rowOff>
    </xdr:from>
    <xdr:to>
      <xdr:col>18</xdr:col>
      <xdr:colOff>274683</xdr:colOff>
      <xdr:row>116</xdr:row>
      <xdr:rowOff>175232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2484AAE0-C2C0-F2C1-368C-79746395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54815" y="16674629"/>
          <a:ext cx="5801535" cy="6878010"/>
        </a:xfrm>
        <a:prstGeom prst="rect">
          <a:avLst/>
        </a:prstGeom>
      </xdr:spPr>
    </xdr:pic>
    <xdr:clientData/>
  </xdr:twoCellAnchor>
  <xdr:twoCellAnchor editAs="oneCell">
    <xdr:from>
      <xdr:col>1</xdr:col>
      <xdr:colOff>129352</xdr:colOff>
      <xdr:row>119</xdr:row>
      <xdr:rowOff>105834</xdr:rowOff>
    </xdr:from>
    <xdr:to>
      <xdr:col>7</xdr:col>
      <xdr:colOff>185985</xdr:colOff>
      <xdr:row>123</xdr:row>
      <xdr:rowOff>115348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F77A8493-0F59-22B9-06A9-4CE195DB8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704" y="23295093"/>
          <a:ext cx="4725059" cy="762106"/>
        </a:xfrm>
        <a:prstGeom prst="rect">
          <a:avLst/>
        </a:prstGeom>
      </xdr:spPr>
    </xdr:pic>
    <xdr:clientData/>
  </xdr:twoCellAnchor>
  <xdr:twoCellAnchor editAs="oneCell">
    <xdr:from>
      <xdr:col>2</xdr:col>
      <xdr:colOff>188148</xdr:colOff>
      <xdr:row>69</xdr:row>
      <xdr:rowOff>23519</xdr:rowOff>
    </xdr:from>
    <xdr:to>
      <xdr:col>8</xdr:col>
      <xdr:colOff>161081</xdr:colOff>
      <xdr:row>74</xdr:row>
      <xdr:rowOff>166388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C0A78803-B839-0CED-8CA7-A29A5245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14369815"/>
          <a:ext cx="4641359" cy="1083610"/>
        </a:xfrm>
        <a:prstGeom prst="rect">
          <a:avLst/>
        </a:prstGeom>
      </xdr:spPr>
    </xdr:pic>
    <xdr:clientData/>
  </xdr:twoCellAnchor>
  <xdr:twoCellAnchor editAs="oneCell">
    <xdr:from>
      <xdr:col>11</xdr:col>
      <xdr:colOff>23519</xdr:colOff>
      <xdr:row>63</xdr:row>
      <xdr:rowOff>141111</xdr:rowOff>
    </xdr:from>
    <xdr:to>
      <xdr:col>29</xdr:col>
      <xdr:colOff>189112</xdr:colOff>
      <xdr:row>67</xdr:row>
      <xdr:rowOff>122045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3BAB1DE1-DA38-8B5E-5A39-9585EC1A4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0649" y="16368889"/>
          <a:ext cx="13641704" cy="7335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8</xdr:col>
      <xdr:colOff>597389</xdr:colOff>
      <xdr:row>138</xdr:row>
      <xdr:rowOff>71429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13C56EB2-03A5-C4C6-9C5F-5AC6A5FD5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4352" y="27704815"/>
          <a:ext cx="6030167" cy="120031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Vittorelli, Christophe" id="{9408812B-EA69-F709-ECCD-EDDA2E288D0F}" userId="" providerId=""/>
  <person displayName="Erdelt, Marcel" id="{21D7BAEC-D017-5906-7CAA-A8633FF115EF}" userId="Erdelt, Marcel" providerId="None"/>
  <person displayName="Marcel Erdelt" id="{6C125938-9960-8A67-C187-C0FFB9AFFD0A}" userId="fcb17e537cac51b3" providerId="Windows Live"/>
  <person displayName="Erdelt, Marcel" id="{CC51EA43-EC95-4FEA-AB75-B8264388D968}" userId="S::Marcel.Erdelt@ruhr-uni-bochum.de::2272ef89-8e00-4503-83a4-be6903c9fa0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2" dT="2022-10-25T10:01:21.55" personId="{6C125938-9960-8A67-C187-C0FFB9AFFD0A}" id="{EC71E20E-53F8-ED43-90EF-5D3150D7576A}">
    <text xml:space="preserve">Allgemein 100%
</text>
  </threadedComment>
  <threadedComment ref="G3" dT="2022-10-25T10:01:34.10" personId="{6C125938-9960-8A67-C187-C0FFB9AFFD0A}" id="{9CE5E13D-AB00-B74B-8DD8-5A4306D327BC}">
    <text xml:space="preserve">Allgemein 100%
</text>
  </threadedComment>
  <threadedComment ref="G4" dT="2022-10-25T10:01:45.68" personId="{6C125938-9960-8A67-C187-C0FFB9AFFD0A}" id="{A2998C75-E0AF-924E-915A-75DDCA0A8CA4}">
    <text xml:space="preserve">Allgemein 100%
</text>
  </threadedComment>
  <threadedComment ref="G5" dT="2022-10-25T10:01:54.97" personId="{6C125938-9960-8A67-C187-C0FFB9AFFD0A}" id="{FF41CE24-81F7-4840-B104-D3F50D973039}">
    <text xml:space="preserve">Allgemein 100%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Q2" dT="2022-11-22T22:26:30.30" personId="{6C125938-9960-8A67-C187-C0FFB9AFFD0A}" id="{E01FA893-E0A6-F04A-AC92-BFDEB43A818B}">
    <text xml:space="preserve">Nach BIP gewichtete regionale stündliche labour cocts
</text>
  </threadedComment>
  <threadedComment ref="T12" dT="2022-11-22T22:39:53.61" personId="{6C125938-9960-8A67-C187-C0FFB9AFFD0A}" id="{B7B48A90-7340-AE46-8494-15144A34E37D}">
    <text xml:space="preserve">BIP gewichteter globaler Durchschnitt der stündlichen labour costs
</text>
  </threadedComment>
  <threadedComment ref="F31" personId="{9408812B-EA69-F709-ECCD-EDDA2E288D0F}" id="{00310087-003C-46C5-B537-00F2004200E8}">
    <text xml:space="preserve">
- Nonstandard economic activity: Including B
</text>
  </threadedComment>
  <threadedComment ref="G31" personId="{9408812B-EA69-F709-ECCD-EDDA2E288D0F}" id="{004100C2-0026-444D-81EF-005F00CD0002}">
    <text xml:space="preserve">
- Nonstandard economic activity: Including B
</text>
  </threadedComment>
  <threadedComment ref="H31" personId="{9408812B-EA69-F709-ECCD-EDDA2E288D0F}" id="{009900D8-002D-43DC-9A58-00C300BE0014}">
    <text xml:space="preserve">
- Nonstandard economic activity: Including B
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T53" dT="2022-10-31T14:01:07.84" personId="{6C125938-9960-8A67-C187-C0FFB9AFFD0A}" id="{69EE735A-E0E8-4541-A755-5F525CD1A06B}">
    <text xml:space="preserve">Konstant angenommen
</text>
  </threadedComment>
  <threadedComment ref="AU53" dT="2022-10-31T14:01:15.80" personId="{6C125938-9960-8A67-C187-C0FFB9AFFD0A}" id="{BE996D99-7133-5748-A56E-CD4129B260CA}">
    <text xml:space="preserve">Konstant angenommen
</text>
  </threadedComment>
  <threadedComment ref="AV53" dT="2022-10-31T14:01:21.08" personId="{6C125938-9960-8A67-C187-C0FFB9AFFD0A}" id="{622B95C8-FFAE-3A4F-9099-CCB41E22ECFD}">
    <text xml:space="preserve">Konstant angenommen
</text>
  </threadedComment>
  <threadedComment ref="AT54" dT="2022-10-31T14:01:27.29" personId="{6C125938-9960-8A67-C187-C0FFB9AFFD0A}" id="{E3813F68-48D4-304F-B5E2-0508354F6D92}">
    <text xml:space="preserve">Konstant angenommen
</text>
  </threadedComment>
  <threadedComment ref="AU54" dT="2022-10-31T14:01:32.60" personId="{6C125938-9960-8A67-C187-C0FFB9AFFD0A}" id="{F2B72FCE-760D-3C40-9C39-E0B5A937B6D0}">
    <text xml:space="preserve">Konstant angenommen
</text>
  </threadedComment>
  <threadedComment ref="AV54" dT="2022-10-31T14:01:37.65" personId="{6C125938-9960-8A67-C187-C0FFB9AFFD0A}" id="{AF68F2FE-B6EB-8341-82BB-91C37F8172CB}">
    <text xml:space="preserve">Konstant angenommen
</text>
  </threadedComment>
  <threadedComment ref="G66" dT="2022-08-18T13:23:29.36" personId="{21D7BAEC-D017-5906-7CAA-A8633FF115EF}" id="{654D0654-A747-41FA-A9DF-0D1C9E74BE38}">
    <text xml:space="preserve">Durchschnittsberechnung für alle angegebenen europäischen Länder
</text>
  </threadedComment>
  <threadedComment ref="G66" dT="2022-09-29T10:40:12.96" personId="{6C125938-9960-8A67-C187-C0FFB9AFFD0A}" id="{98AF82C2-FB4B-2B41-A047-B1C020DBC378}" parentId="{654D0654-A747-41FA-A9DF-0D1C9E74BE38}">
    <text xml:space="preserve">Datei inkl. Berechnungen im Sciebo-Ordner
</text>
  </threadedComment>
  <threadedComment ref="G76" dT="2022-08-18T13:15:24.02" personId="{21D7BAEC-D017-5906-7CAA-A8633FF115EF}" id="{66C18350-C627-4FD8-9EA0-A9D56C1C5468}">
    <text xml:space="preserve">Durchschnittsberechnung für alle angegebenen europäischen Länder; Technologien &gt;=1MW berücksichtigt
</text>
  </threadedComment>
  <threadedComment ref="G76" dT="2022-09-29T10:42:28.65" personId="{6C125938-9960-8A67-C187-C0FFB9AFFD0A}" id="{80E61F4F-E501-1141-AE61-70DEC256151D}" parentId="{66C18350-C627-4FD8-9EA0-A9D56C1C5468}">
    <text xml:space="preserve">Datei inkl. der Berechnungen befindet sich im Sciebo-Ordner
</text>
  </threadedComment>
  <threadedComment ref="G86" dT="2022-08-18T13:30:18.58" personId="{21D7BAEC-D017-5906-7CAA-A8633FF115EF}" id="{7A169873-BB90-4AC2-84E3-A6B6ECC1868D}">
    <text xml:space="preserve">Durchschnittsberechnung für alle angegebenen europäischen Länder; PV utility
</text>
  </threadedComment>
  <threadedComment ref="G86" dT="2022-09-29T10:43:22.71" personId="{6C125938-9960-8A67-C187-C0FFB9AFFD0A}" id="{0F579FDA-1D39-4548-BE29-343F8DB10C47}" parentId="{7A169873-BB90-4AC2-84E3-A6B6ECC1868D}">
    <text xml:space="preserve">Datei inkl. der Berechnungen befindet sich im Sciebo-Ordner
</text>
  </threadedComment>
  <threadedComment ref="G91" dT="2022-08-18T13:31:35.67" personId="{21D7BAEC-D017-5906-7CAA-A8633FF115EF}" id="{3B3C3492-9694-4FD4-AB15-5D4DD13C97C4}">
    <text xml:space="preserve">Durchschnittsberechnung für alle angegebenen europäischen Länder; PV residential
</text>
  </threadedComment>
  <threadedComment ref="G91" dT="2022-09-29T10:44:21.31" personId="{6C125938-9960-8A67-C187-C0FFB9AFFD0A}" id="{0BC058E1-A95F-3F45-8C0A-24BA0349041E}" parentId="{3B3C3492-9694-4FD4-AB15-5D4DD13C97C4}">
    <text xml:space="preserve">Datei inkl. der Berechnungen befindet sich im Sciebo-Ordner
</text>
  </threadedComment>
  <threadedComment ref="G96" dT="2022-10-25T09:32:37.54" personId="{6C125938-9960-8A67-C187-C0FFB9AFFD0A}" id="{295586D7-0163-6E49-94ED-BA5776BA9C79}">
    <text xml:space="preserve">Durchschnitt aus Hard Coal und Lignite PP
</text>
  </threadedComment>
  <threadedComment ref="U96" dT="2022-10-25T09:38:19.27" personId="{6C125938-9960-8A67-C187-C0FFB9AFFD0A}" id="{694DA101-4CA6-A440-B125-36D68AB4E936}">
    <text xml:space="preserve">Laut Tabelle 6 bzw. 9 e/MWh -&gt; Was soll „e“ sein?  
</text>
  </threadedComment>
  <threadedComment ref="U96" dT="2022-10-25T10:39:33.30" personId="{6C125938-9960-8A67-C187-C0FFB9AFFD0A}" id="{0685D2F8-D837-EE45-A262-93480C56D813}" parentId="{694DA101-4CA6-A440-B125-36D68AB4E936}">
    <text xml:space="preserve">6*0,001=0,006 €/kWh wäre wohl zu wenig im Vergleich zu den anderen Werten
</text>
  </threadedComment>
  <threadedComment ref="AP96" dT="2022-10-25T09:39:42.88" personId="{6C125938-9960-8A67-C187-C0FFB9AFFD0A}" id="{32B4207B-C7BF-F542-B44E-466DC920A6D3}">
    <text xml:space="preserve">„When efficiency ranges are given, they refer to plants installed from 1970 to 2015, with plants installed after 2010 having the value at the upper end of the range“
</text>
  </threadedComment>
  <threadedComment ref="I97" dT="2022-07-26T12:03:24.52" personId="{21D7BAEC-D017-5906-7CAA-A8633FF115EF}" id="{468F353C-DB19-4032-B735-2A7094100E48}">
    <text xml:space="preserve">Kohle allgemein (nicht zw. BK und SK unterschieden)
</text>
  </threadedComment>
  <threadedComment ref="U106" dT="2022-10-25T09:43:55.15" personId="{6C125938-9960-8A67-C187-C0FFB9AFFD0A}" id="{A5F183DA-F797-AD40-ADD9-847C87F6C492}">
    <text xml:space="preserve">5 e/MWh -&gt; was soll _x001E_„e“ sein?
</text>
  </threadedComment>
  <threadedComment ref="G107" dT="2022-08-18T13:56:55.34" personId="{21D7BAEC-D017-5906-7CAA-A8633FF115EF}" id="{AB99FA7B-CF29-4097-A492-3EA9570D1974}">
    <text xml:space="preserve">Durchschnittsberechnung für alle angegebenen europäischen Länder
</text>
  </threadedComment>
  <threadedComment ref="G107" dT="2022-09-29T10:45:48.15" personId="{6C125938-9960-8A67-C187-C0FFB9AFFD0A}" id="{D93316B4-2AA7-8443-9CD0-FBF22953AC64}" parentId="{AB99FA7B-CF29-4097-A492-3EA9570D1974}">
    <text xml:space="preserve">Datei inkl. der Berechnungen befindet sich im Sciebo-Ordner
</text>
  </threadedComment>
  <threadedComment ref="U114" dT="2022-10-25T09:49:02.51" personId="{6C125938-9960-8A67-C187-C0FFB9AFFD0A}" id="{A40DD06D-3E5A-224E-8548-91A5A23FA248}">
    <text xml:space="preserve">4 e/MWh -&gt; Was soll „e“ sein?
</text>
  </threadedComment>
  <threadedComment ref="G124" dT="2022-08-18T13:23:29.36" personId="{21D7BAEC-D017-5906-7CAA-A8633FF115EF}" id="{87AC9F5E-8375-40E8-ABBD-995EEF3B6C87}">
    <text xml:space="preserve">Durchschnittsberechnung für alle angegebenen amerikanischen Länder
</text>
  </threadedComment>
  <threadedComment ref="G124" dT="2022-09-29T10:47:06.05" personId="{6C125938-9960-8A67-C187-C0FFB9AFFD0A}" id="{6F0061F0-7959-EA4E-B9A3-B04CD4B82D1D}" parentId="{87AC9F5E-8375-40E8-ABBD-995EEF3B6C87}">
    <text xml:space="preserve">Datei inkl. der Berechnungen befindet sich im Sciebo-Ordner
</text>
  </threadedComment>
  <threadedComment ref="G131" dT="2022-08-18T13:19:22.40" personId="{21D7BAEC-D017-5906-7CAA-A8633FF115EF}" id="{020441BD-18B1-45E8-88F5-AFBDF03E7AEF}">
    <text xml:space="preserve">Durchschnittsberechnung für alle angegebenen amerikanischen Länder; Technologien &gt;=1MW berücksichtigt
</text>
  </threadedComment>
  <threadedComment ref="G131" dT="2022-09-29T10:48:07.93" personId="{6C125938-9960-8A67-C187-C0FFB9AFFD0A}" id="{F95C9E52-4D07-9F46-863B-C553EA70430F}" parentId="{020441BD-18B1-45E8-88F5-AFBDF03E7AEF}">
    <text xml:space="preserve">Datei inkl. der Berechnungen befindet sich im Sciebo-Ordner
</text>
  </threadedComment>
  <threadedComment ref="G138" dT="2022-08-18T13:30:18.58" personId="{21D7BAEC-D017-5906-7CAA-A8633FF115EF}" id="{F7A6B117-D07E-4FAD-A26C-0548C9FB458B}">
    <text xml:space="preserve">Durchschnittsberechnung für alle angegebenen amerikanischen Länder; PV utility
</text>
  </threadedComment>
  <threadedComment ref="G138" dT="2022-09-29T10:48:12.61" personId="{6C125938-9960-8A67-C187-C0FFB9AFFD0A}" id="{5D871BB3-CE89-EB48-B4DE-A89D3F06281B}" parentId="{F7A6B117-D07E-4FAD-A26C-0548C9FB458B}">
    <text xml:space="preserve">Datei inkl. der Berechnungen befindet sich im Sciebo-Ordner
</text>
  </threadedComment>
  <threadedComment ref="G142" dT="2022-08-18T13:34:42.94" personId="{21D7BAEC-D017-5906-7CAA-A8633FF115EF}" id="{9696D9A3-7512-4111-AAE3-15536EB95B46}">
    <text xml:space="preserve">Durchschnittsberechnung für alle angegebenen amerikanischen Länder; PV residential
</text>
  </threadedComment>
  <threadedComment ref="G142" dT="2022-09-29T10:48:17.83" personId="{6C125938-9960-8A67-C187-C0FFB9AFFD0A}" id="{AFEF5229-85B5-9E4B-848D-6CE82600BD43}" parentId="{9696D9A3-7512-4111-AAE3-15536EB95B46}">
    <text xml:space="preserve">Datei inkl. der Berechnungen befindet sich im Sciebo-Ordner
</text>
  </threadedComment>
  <threadedComment ref="G152" dT="2022-08-18T13:56:55.34" personId="{21D7BAEC-D017-5906-7CAA-A8633FF115EF}" id="{31B44083-4A4D-4D61-8A7A-0580DAB83603}">
    <text xml:space="preserve">Durchschnittsberechnung für alle angegebenen amerikanischen Länder
</text>
  </threadedComment>
  <threadedComment ref="G152" dT="2022-09-29T10:48:24.86" personId="{6C125938-9960-8A67-C187-C0FFB9AFFD0A}" id="{D5AB595B-83C5-C444-9318-945A2A0923C8}" parentId="{31B44083-4A4D-4D61-8A7A-0580DAB83603}">
    <text xml:space="preserve">Datei inkl. der Berechnungen befindet sich im Sciebo-Ordner
</text>
  </threadedComment>
  <threadedComment ref="G170" dT="2022-08-18T13:23:29.36" personId="{21D7BAEC-D017-5906-7CAA-A8633FF115EF}" id="{188E3A4B-B2D9-492A-8B92-0C316151A368}">
    <text xml:space="preserve">Durchschnittsberechnung für alle angegebenen asiatischen Länder
</text>
  </threadedComment>
  <threadedComment ref="G170" dT="2022-09-29T10:48:30.96" personId="{6C125938-9960-8A67-C187-C0FFB9AFFD0A}" id="{EB8C4DE5-992C-5249-9C32-558D86623FE2}" parentId="{188E3A4B-B2D9-492A-8B92-0C316151A368}">
    <text xml:space="preserve">Datei inkl. der Berechnungen befindet sich im Sciebo-Ordner
</text>
  </threadedComment>
  <threadedComment ref="G180" dT="2022-08-18T13:19:22.40" personId="{21D7BAEC-D017-5906-7CAA-A8633FF115EF}" id="{331E6A1E-D148-4CF0-A459-57BCBF00E0AB}">
    <text xml:space="preserve">Durchschnittsberechnung für alle angegebenen asiatischen Länder; Technologien &gt;=1MW berücksichtigt
</text>
  </threadedComment>
  <threadedComment ref="G180" dT="2022-09-29T10:48:35.23" personId="{6C125938-9960-8A67-C187-C0FFB9AFFD0A}" id="{A73505C9-67A5-9A46-A83A-C875F4F9E441}" parentId="{331E6A1E-D148-4CF0-A459-57BCBF00E0AB}">
    <text xml:space="preserve">Datei inkl. der Berechnungen befindet sich im Sciebo-Ordner
</text>
  </threadedComment>
  <threadedComment ref="G190" dT="2022-08-18T13:54:44.19" personId="{21D7BAEC-D017-5906-7CAA-A8633FF115EF}" id="{29491C23-4395-4D15-8D51-1A9451D52F10}">
    <text xml:space="preserve">Durchschnittsberechnung für alle angegebenen asiatischen Länder; PV utility
</text>
  </threadedComment>
  <threadedComment ref="G190" dT="2022-09-29T10:48:42.05" personId="{6C125938-9960-8A67-C187-C0FFB9AFFD0A}" id="{C4CD329F-A29E-804F-B610-C4A8DC1EBD21}" parentId="{29491C23-4395-4D15-8D51-1A9451D52F10}">
    <text xml:space="preserve">Datei inkl. der Berechnungen befindet sich im Sciebo-Ordner
</text>
  </threadedComment>
  <threadedComment ref="G194" dT="2022-08-18T13:34:42.94" personId="{21D7BAEC-D017-5906-7CAA-A8633FF115EF}" id="{F50D6C6C-06B2-4F75-90C5-691EE52A6F48}">
    <text xml:space="preserve">Durchschnittsberechnung für alle angegebenen asiatischen Länder; PV residential
</text>
  </threadedComment>
  <threadedComment ref="G194" dT="2022-09-29T10:48:46.46" personId="{6C125938-9960-8A67-C187-C0FFB9AFFD0A}" id="{0756FCD6-883D-C24B-B1B4-E812D00A259F}" parentId="{F50D6C6C-06B2-4F75-90C5-691EE52A6F48}">
    <text xml:space="preserve">Datei inkl. der Berechnungen befindet sich im Sciebo-Ordner
</text>
  </threadedComment>
  <threadedComment ref="G210" dT="2022-08-18T13:56:55.34" personId="{21D7BAEC-D017-5906-7CAA-A8633FF115EF}" id="{1783EC64-532C-4B42-98F7-CC9EFEE2B049}">
    <text xml:space="preserve">Durchschnittsberechnung für alle angegebenen asiatischen Länder
</text>
  </threadedComment>
  <threadedComment ref="G210" dT="2022-09-29T10:48:51.06" personId="{6C125938-9960-8A67-C187-C0FFB9AFFD0A}" id="{4E734E76-16D8-9F42-8AD1-E3B7C34AB8E2}" parentId="{1783EC64-532C-4B42-98F7-CC9EFEE2B049}">
    <text xml:space="preserve">Datei inkl. der Berechnungen befindet sich im Sciebo-Ordner
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3" dT="2022-10-31T12:13:32.98" personId="{6C125938-9960-8A67-C187-C0FFB9AFFD0A}" id="{8DF4913C-292B-644B-9987-66F5DC38BC2C}">
    <text xml:space="preserve">Konstant zu 2050 angenommen
</text>
  </threadedComment>
  <threadedComment ref="N3" dT="2022-09-27T08:13:55.35" personId="{6C125938-9960-8A67-C187-C0FFB9AFFD0A}" id="{7F5FCF83-5BAA-1A43-8CEB-7AF992E39142}">
    <text xml:space="preserve">4% der Invests pro Jahr
</text>
  </threadedComment>
  <threadedComment ref="J7" dT="2022-10-31T12:14:41.26" personId="{6C125938-9960-8A67-C187-C0FFB9AFFD0A}" id="{CB42914B-C8D1-2943-84A3-C5E2C0AD03C3}">
    <text xml:space="preserve">Konstant angenommen, da Werte sonst zu niedrig werden würden
</text>
  </threadedComment>
  <threadedComment ref="K7" dT="2022-10-31T12:14:41.26" personId="{6C125938-9960-8A67-C187-C0FFB9AFFD0A}" id="{089505A0-CD88-B545-AD49-4A7D8D619A02}">
    <text xml:space="preserve">Konstant angenommen, da Werte sonst zu niedrig werden würden
</text>
  </threadedComment>
  <threadedComment ref="L7" dT="2022-10-31T12:14:41.26" personId="{6C125938-9960-8A67-C187-C0FFB9AFFD0A}" id="{72B55B3F-7A70-CD4D-BAB9-F79411D78895}">
    <text xml:space="preserve">Konstant angenommen, da Werte sonst zu niedrig werden würden
</text>
  </threadedComment>
  <threadedComment ref="M7" dT="2022-10-31T12:14:41.26" personId="{6C125938-9960-8A67-C187-C0FFB9AFFD0A}" id="{FDA6162B-EAE6-E746-9E07-2A45C8FC8436}">
    <text xml:space="preserve">Konstant angenommen, da Werte sonst zu niedrig werden würden
</text>
  </threadedComment>
  <threadedComment ref="N8" dT="2022-09-27T08:27:49.45" personId="{6C125938-9960-8A67-C187-C0FFB9AFFD0A}" id="{11CBA90E-A259-AC4B-896B-C1AC8D7BCE00}">
    <text xml:space="preserve">2% der Invests
</text>
  </threadedComment>
  <threadedComment ref="M13" dT="2022-10-31T12:13:32.98" personId="{6C125938-9960-8A67-C187-C0FFB9AFFD0A}" id="{71AAB86A-14AB-E04B-AC54-626CAA35EEDB}">
    <text xml:space="preserve">Konstant zu 2050 angenommen
</text>
  </threadedComment>
  <threadedComment ref="N13" dT="2022-09-27T08:13:55.35" personId="{6C125938-9960-8A67-C187-C0FFB9AFFD0A}" id="{609D2F68-3E72-3747-BAF4-F36444BBAA65}">
    <text xml:space="preserve">4% der Invests pro Jahr
</text>
  </threadedComment>
  <threadedComment ref="J17" dT="2022-10-31T12:14:41.26" personId="{6C125938-9960-8A67-C187-C0FFB9AFFD0A}" id="{CE3E7BC1-FC8D-5249-A777-C109DA860953}">
    <text xml:space="preserve">Konstant angenommen, da Werte sonst zu niedrig werden würden
</text>
  </threadedComment>
  <threadedComment ref="K17" dT="2022-10-31T12:14:41.26" personId="{6C125938-9960-8A67-C187-C0FFB9AFFD0A}" id="{F2F56280-B2EC-9F47-9813-CE8D4570A83B}">
    <text xml:space="preserve">Konstant angenommen, da Werte sonst zu niedrig werden würden
</text>
  </threadedComment>
  <threadedComment ref="L17" dT="2022-10-31T12:14:41.26" personId="{6C125938-9960-8A67-C187-C0FFB9AFFD0A}" id="{F9362818-ACD5-E74E-8FF9-E22AFDC15EEF}">
    <text xml:space="preserve">Konstant angenommen, da Werte sonst zu niedrig werden würden
</text>
  </threadedComment>
  <threadedComment ref="M17" dT="2022-10-31T12:14:41.26" personId="{6C125938-9960-8A67-C187-C0FFB9AFFD0A}" id="{BD643284-F14F-6B45-A5F1-D9BA3AE93091}">
    <text xml:space="preserve">Konstant angenommen, da Werte sonst zu niedrig werden würden
</text>
  </threadedComment>
  <threadedComment ref="N18" dT="2022-09-27T08:27:49.45" personId="{6C125938-9960-8A67-C187-C0FFB9AFFD0A}" id="{AF971DB2-DC8F-CF42-9844-040B6D95A107}">
    <text xml:space="preserve">2% der Invests
</text>
  </threadedComment>
  <threadedComment ref="M23" dT="2022-10-31T12:13:32.98" personId="{6C125938-9960-8A67-C187-C0FFB9AFFD0A}" id="{E7494DF4-97B6-C443-9FD2-5F9D2B337A8A}">
    <text xml:space="preserve">Konstant zu 2050 angenommen
</text>
  </threadedComment>
  <threadedComment ref="N23" dT="2022-09-27T08:13:55.35" personId="{6C125938-9960-8A67-C187-C0FFB9AFFD0A}" id="{5C1F4ED3-3B2C-1146-BE3F-73490CC8E45C}">
    <text xml:space="preserve">4% der Invests pro Jahr
</text>
  </threadedComment>
  <threadedComment ref="J27" dT="2022-10-31T12:14:41.26" personId="{6C125938-9960-8A67-C187-C0FFB9AFFD0A}" id="{68218810-FD52-B249-8D68-EA67AB8827AD}">
    <text xml:space="preserve">Konstant angenommen, da Werte sonst zu niedrig werden würden
</text>
  </threadedComment>
  <threadedComment ref="K27" dT="2022-10-31T12:14:41.26" personId="{6C125938-9960-8A67-C187-C0FFB9AFFD0A}" id="{4A6A6B37-74CB-1F4B-AD16-14427AA10AC6}">
    <text xml:space="preserve">Konstant angenommen, da Werte sonst zu niedrig werden würden
</text>
  </threadedComment>
  <threadedComment ref="L27" dT="2022-10-31T12:14:41.26" personId="{6C125938-9960-8A67-C187-C0FFB9AFFD0A}" id="{0789F63E-E345-9A40-9A5B-D900EA65A426}">
    <text xml:space="preserve">Konstant angenommen, da Werte sonst zu niedrig werden würden
</text>
  </threadedComment>
  <threadedComment ref="M27" dT="2022-10-31T12:14:41.26" personId="{6C125938-9960-8A67-C187-C0FFB9AFFD0A}" id="{170B2BA2-0E25-DF49-9D7C-456DE3D8F830}">
    <text xml:space="preserve">Konstant angenommen, da Werte sonst zu niedrig werden würden
</text>
  </threadedComment>
  <threadedComment ref="N28" dT="2022-09-27T08:27:49.45" personId="{6C125938-9960-8A67-C187-C0FFB9AFFD0A}" id="{C5E2BA5E-84A9-C34F-9B16-50E6D30BBE31}">
    <text xml:space="preserve">2% der Invests
</text>
  </threadedComment>
  <threadedComment ref="M33" dT="2022-10-31T12:13:32.98" personId="{6C125938-9960-8A67-C187-C0FFB9AFFD0A}" id="{481B06B4-2B25-D94A-8BAE-CB61E1B850D3}">
    <text xml:space="preserve">Konstant zu 2050 angenommen
</text>
  </threadedComment>
  <threadedComment ref="N33" dT="2022-09-27T08:13:55.35" personId="{6C125938-9960-8A67-C187-C0FFB9AFFD0A}" id="{F737C045-1ACA-114D-9CE6-3A4ABB45ADDE}">
    <text xml:space="preserve">4% der Invests pro Jahr
</text>
  </threadedComment>
  <threadedComment ref="J37" dT="2022-10-31T12:14:41.26" personId="{6C125938-9960-8A67-C187-C0FFB9AFFD0A}" id="{A96B20C2-DE92-DB41-885B-B8A7B77B42B0}">
    <text xml:space="preserve">Konstant angenommen, da Werte sonst zu niedrig werden würden
</text>
  </threadedComment>
  <threadedComment ref="K37" dT="2022-10-31T12:14:41.26" personId="{6C125938-9960-8A67-C187-C0FFB9AFFD0A}" id="{E39FF253-1C1F-1D41-9C73-7097D35FBD5B}">
    <text xml:space="preserve">Konstant angenommen, da Werte sonst zu niedrig werden würden
</text>
  </threadedComment>
  <threadedComment ref="L37" dT="2022-10-31T12:14:41.26" personId="{6C125938-9960-8A67-C187-C0FFB9AFFD0A}" id="{0F258550-DDB4-024B-A356-CA2097A648E8}">
    <text xml:space="preserve">Konstant angenommen, da Werte sonst zu niedrig werden würden
</text>
  </threadedComment>
  <threadedComment ref="M37" dT="2022-10-31T12:14:41.26" personId="{6C125938-9960-8A67-C187-C0FFB9AFFD0A}" id="{A63C16E3-8698-E640-9D85-F38D3E9884C8}">
    <text xml:space="preserve">Konstant angenommen, da Werte sonst zu niedrig werden würden
</text>
  </threadedComment>
  <threadedComment ref="N38" dT="2022-09-27T08:27:49.45" personId="{6C125938-9960-8A67-C187-C0FFB9AFFD0A}" id="{FA177E89-FB8E-D34D-B6C5-98D94EFC2F67}">
    <text xml:space="preserve">2% der Invests
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H2" dT="2022-10-31T10:46:19.59" personId="{6C125938-9960-8A67-C187-C0FFB9AFFD0A}" id="{67974A37-1811-400D-8D45-ABAA3CA107D7}">
    <text xml:space="preserve">Konstant zu 2050 angenommen
</text>
  </threadedComment>
  <threadedComment ref="AO2" dT="2022-10-31T10:46:19.59" personId="{6C125938-9960-8A67-C187-C0FFB9AFFD0A}" id="{E48BF87D-9B81-034E-853E-3A7BB5536876}">
    <text xml:space="preserve">Konstant zu 2050 angenommen
</text>
  </threadedComment>
  <threadedComment ref="M4" dT="2022-10-25T13:41:28.46" personId="{6C125938-9960-8A67-C187-C0FFB9AFFD0A}" id="{0368A3EC-227B-5349-B4A3-658D33BF3151}">
    <text xml:space="preserve">Extrapolationsergebnis wäre schon zu gering, deswegen hier konstanter Wert genommen
</text>
  </threadedComment>
  <threadedComment ref="T4" dT="2022-10-25T13:44:03.47" personId="{6C125938-9960-8A67-C187-C0FFB9AFFD0A}" id="{64BEF299-2BE0-C340-B4C3-622D0DCCF2EC}">
    <text xml:space="preserve">Extrapolationsergebnis wäre schon zu gering, deswegen hier konstanter Wert genommen
</text>
  </threadedComment>
  <threadedComment ref="AI4" dT="2022-07-26T09:11:51.98" personId="{21D7BAEC-D017-5906-7CAA-A8633FF115EF}" id="{1D9398D5-A78D-4FB9-8054-51FA415C7A4A}">
    <text xml:space="preserve">Effizienz berechnet über Heizwert von H2 geteilt durch Strombedarf pro kgH2
</text>
  </threadedComment>
  <threadedComment ref="M5" dT="2022-10-25T13:41:14.29" personId="{6C125938-9960-8A67-C187-C0FFB9AFFD0A}" id="{32D5B8B4-4344-AB47-8A97-FCCC05B973D6}">
    <text xml:space="preserve">Extrapolationsergebnis wäre schon zu gering, deswegen hier konstanter Wert genommen
</text>
  </threadedComment>
  <threadedComment ref="M13" dT="2022-10-25T13:41:39.92" personId="{6C125938-9960-8A67-C187-C0FFB9AFFD0A}" id="{F1A9FA30-F611-9141-9E72-16D03A4EF6FD}">
    <text xml:space="preserve">Extrapolationsergebnis wäre schon zu gering, deswegen hier konstanter Wert genommen
</text>
  </threadedComment>
  <threadedComment ref="M20" dT="2022-10-25T13:43:29.58" personId="{6C125938-9960-8A67-C187-C0FFB9AFFD0A}" id="{7CC40FD2-8B4F-B14B-B6F0-62B5D5DD1DFF}">
    <text xml:space="preserve">Extrapolationsergebnis wäre schon zu gering, deswegen hier konstanter Wert genommen
</text>
  </threadedComment>
  <threadedComment ref="T20" dT="2022-10-25T14:17:24.72" personId="{6C125938-9960-8A67-C187-C0FFB9AFFD0A}" id="{267EF24A-859A-C54A-AE1A-965E2BC1745A}">
    <text xml:space="preserve">Extrapolationsergebnis wäre schon zu gering, deswegen hier konstanter Wert genommen
</text>
  </threadedComment>
  <threadedComment ref="M21" dT="2022-10-25T13:43:35.55" personId="{6C125938-9960-8A67-C187-C0FFB9AFFD0A}" id="{2301B2C2-2440-8A49-BC17-9B53A4B6649A}">
    <text xml:space="preserve">Extrapolationsergebnis wäre schon zu gering, deswegen hier konstanter Wert genommen
</text>
  </threadedComment>
  <threadedComment ref="T21" dT="2022-10-25T14:17:30.53" personId="{6C125938-9960-8A67-C187-C0FFB9AFFD0A}" id="{9544F75B-E977-854C-A241-E41698769A31}">
    <text xml:space="preserve">Extrapolationsergebnis wäre schon zu gering, deswegen hier konstanter Wert genommen
</text>
  </threadedComment>
  <threadedComment ref="M22" dT="2022-10-25T13:43:44.21" personId="{6C125938-9960-8A67-C187-C0FFB9AFFD0A}" id="{131642A8-37E3-094D-94BC-150617BAC9DC}">
    <text xml:space="preserve">Extrapolationsergebnis wäre schon zu gering, deswegen hier konstanter Wert genommen
</text>
  </threadedComment>
  <threadedComment ref="M29" dT="2022-10-25T14:01:12.82" personId="{6C125938-9960-8A67-C187-C0FFB9AFFD0A}" id="{F5A51E66-48F4-4E42-B0FA-997987F92F7A}">
    <text xml:space="preserve">Extrapolationsergebnis wäre schon zu gering, deswegen hier konstanter Wert genommen
</text>
  </threadedComment>
  <threadedComment ref="T29" dT="2022-10-25T14:20:10.53" personId="{6C125938-9960-8A67-C187-C0FFB9AFFD0A}" id="{7C6276A3-FE8E-7B4D-85F9-F0615DC48AD2}">
    <text xml:space="preserve">Extrapolationsergebnis wäre schon zu gering, deswegen hier konstanter Wert genommen
</text>
  </threadedComment>
  <threadedComment ref="J31" dT="2022-10-25T14:09:51.49" personId="{6C125938-9960-8A67-C187-C0FFB9AFFD0A}" id="{1CD9C93E-D221-8E45-A6D6-59280F60E4EE}">
    <text xml:space="preserve">Extrapolation: Wert würde zu klein werden -&gt; macht kein Sinn
</text>
  </threadedComment>
  <threadedComment ref="K31" dT="2022-10-25T14:09:39.28" personId="{6C125938-9960-8A67-C187-C0FFB9AFFD0A}" id="{A9767A1F-4C10-E340-8BB7-212B9B425863}">
    <text xml:space="preserve">Extrapolation: Wert würde zu klein werden -&gt; macht kein Sinn
</text>
  </threadedComment>
  <threadedComment ref="L31" dT="2022-10-25T14:09:33.30" personId="{6C125938-9960-8A67-C187-C0FFB9AFFD0A}" id="{809B0C12-3EAB-D741-A6DD-5B8230CC8718}">
    <text xml:space="preserve">Extrapolation: Wert würde zu klein werden -&gt; macht kein Sinn
</text>
  </threadedComment>
  <threadedComment ref="M31" dT="2022-10-25T13:55:24.51" personId="{6C125938-9960-8A67-C187-C0FFB9AFFD0A}" id="{934F2E05-EA1F-AC48-9961-4F203322A4AE}">
    <text xml:space="preserve">Extrapolation: Wert würde zu klein werden -&gt; macht kein Sinn
</text>
  </threadedComment>
  <threadedComment ref="K32" dT="2022-10-25T14:01:12.82" personId="{6C125938-9960-8A67-C187-C0FFB9AFFD0A}" id="{0648F8B5-0C64-4D4C-ABC1-08ACF2EF1E4D}">
    <text xml:space="preserve">Extrapolationsergebnis wäre schon zu gering, deswegen hier konstanter Wert genommen
</text>
  </threadedComment>
  <threadedComment ref="L32" dT="2022-10-25T14:01:12.82" personId="{6C125938-9960-8A67-C187-C0FFB9AFFD0A}" id="{D657715D-7A0B-C944-A71B-978EF1471679}">
    <text xml:space="preserve">Extrapolationsergebnis wäre schon zu gering, deswegen hier konstanter Wert genommen
</text>
  </threadedComment>
  <threadedComment ref="M32" dT="2022-10-25T14:01:12.82" personId="{6C125938-9960-8A67-C187-C0FFB9AFFD0A}" id="{EBCAF522-980C-4A45-BC13-2D36FDC7BFEB}">
    <text xml:space="preserve">Extrapolationsergebnis wäre schon zu gering, deswegen hier konstanter Wert genommen
</text>
  </threadedComment>
  <threadedComment ref="M41" dT="2022-10-25T13:41:28.46" personId="{6C125938-9960-8A67-C187-C0FFB9AFFD0A}" id="{D102DB15-46A7-CF4E-B1DF-60FFF716F489}">
    <text xml:space="preserve">Extrapolationsergebnis wäre schon zu gering, deswegen hier konstanter Wert genommen
</text>
  </threadedComment>
  <threadedComment ref="T41" dT="2022-10-25T13:44:03.47" personId="{6C125938-9960-8A67-C187-C0FFB9AFFD0A}" id="{128DDD33-95E6-B547-A88F-B2C020528AFF}">
    <text xml:space="preserve">Extrapolationsergebnis wäre schon zu gering, deswegen hier konstanter Wert genommen
</text>
  </threadedComment>
  <threadedComment ref="AI41" dT="2022-07-26T09:11:51.98" personId="{21D7BAEC-D017-5906-7CAA-A8633FF115EF}" id="{16ED7D6E-3752-B142-8DC8-E3D33D87DEEB}">
    <text xml:space="preserve">Effizienz berechnet über Heizwert von H2 geteilt durch Strombedarf pro kgH2
</text>
  </threadedComment>
  <threadedComment ref="M42" dT="2022-10-25T13:41:14.29" personId="{6C125938-9960-8A67-C187-C0FFB9AFFD0A}" id="{C6C6EF21-D12E-6746-B6D7-A07ABD189EA8}">
    <text xml:space="preserve">Extrapolationsergebnis wäre schon zu gering, deswegen hier konstanter Wert genommen
</text>
  </threadedComment>
  <threadedComment ref="M50" dT="2022-10-25T13:41:39.92" personId="{6C125938-9960-8A67-C187-C0FFB9AFFD0A}" id="{1408C841-4DB2-7142-8128-88380909707C}">
    <text xml:space="preserve">Extrapolationsergebnis wäre schon zu gering, deswegen hier konstanter Wert genommen
</text>
  </threadedComment>
  <threadedComment ref="M57" dT="2022-10-25T13:43:29.58" personId="{6C125938-9960-8A67-C187-C0FFB9AFFD0A}" id="{BFC31622-09C3-3A4B-80CB-AF642202FCE1}">
    <text xml:space="preserve">Extrapolationsergebnis wäre schon zu gering, deswegen hier konstanter Wert genommen
</text>
  </threadedComment>
  <threadedComment ref="T57" dT="2022-10-25T14:17:24.72" personId="{6C125938-9960-8A67-C187-C0FFB9AFFD0A}" id="{90C7C137-56A6-E849-B281-60C55B76A4C1}">
    <text xml:space="preserve">Extrapolationsergebnis wäre schon zu gering, deswegen hier konstanter Wert genommen
</text>
  </threadedComment>
  <threadedComment ref="M58" dT="2022-10-25T13:43:35.55" personId="{6C125938-9960-8A67-C187-C0FFB9AFFD0A}" id="{E9F8480E-6CFE-7743-B917-75DC0BDB843B}">
    <text xml:space="preserve">Extrapolationsergebnis wäre schon zu gering, deswegen hier konstanter Wert genommen
</text>
  </threadedComment>
  <threadedComment ref="T58" dT="2022-10-25T14:17:30.53" personId="{6C125938-9960-8A67-C187-C0FFB9AFFD0A}" id="{C87A9D88-5617-5B4C-B5D0-E069709ABD89}">
    <text xml:space="preserve">Extrapolationsergebnis wäre schon zu gering, deswegen hier konstanter Wert genommen
</text>
  </threadedComment>
  <threadedComment ref="M59" dT="2022-10-25T13:43:44.21" personId="{6C125938-9960-8A67-C187-C0FFB9AFFD0A}" id="{69C04DF9-08A3-FC4E-BDB3-4192FE7AFDB3}">
    <text xml:space="preserve">Extrapolationsergebnis wäre schon zu gering, deswegen hier konstanter Wert genommen
</text>
  </threadedComment>
  <threadedComment ref="M66" dT="2022-10-25T14:01:12.82" personId="{6C125938-9960-8A67-C187-C0FFB9AFFD0A}" id="{0B55D274-3C4C-8E4A-84A2-175DF78C0F40}">
    <text xml:space="preserve">Extrapolationsergebnis wäre schon zu gering, deswegen hier konstanter Wert genommen
</text>
  </threadedComment>
  <threadedComment ref="T66" dT="2022-10-25T14:20:10.53" personId="{6C125938-9960-8A67-C187-C0FFB9AFFD0A}" id="{54933A8F-B6CC-CD43-B349-97EC8299F6B6}">
    <text xml:space="preserve">Extrapolationsergebnis wäre schon zu gering, deswegen hier konstanter Wert genommen
</text>
  </threadedComment>
  <threadedComment ref="J68" dT="2022-10-25T14:09:51.49" personId="{6C125938-9960-8A67-C187-C0FFB9AFFD0A}" id="{DCFA52CD-93D2-A94A-AC25-6B92CF01A0CA}">
    <text xml:space="preserve">Extrapolation: Wert würde zu klein werden -&gt; macht kein Sinn
</text>
  </threadedComment>
  <threadedComment ref="K68" dT="2022-10-25T14:09:39.28" personId="{6C125938-9960-8A67-C187-C0FFB9AFFD0A}" id="{D341B467-9A5F-FD4C-A98B-FC2479BDDC60}">
    <text xml:space="preserve">Extrapolation: Wert würde zu klein werden -&gt; macht kein Sinn
</text>
  </threadedComment>
  <threadedComment ref="L68" dT="2022-10-25T14:09:33.30" personId="{6C125938-9960-8A67-C187-C0FFB9AFFD0A}" id="{6357F5D3-C836-C446-BEB9-E21AD5F1D8EB}">
    <text xml:space="preserve">Extrapolation: Wert würde zu klein werden -&gt; macht kein Sinn
</text>
  </threadedComment>
  <threadedComment ref="M68" dT="2022-10-25T13:55:24.51" personId="{6C125938-9960-8A67-C187-C0FFB9AFFD0A}" id="{A13978E5-B229-4E4C-BDB1-DCC43878E4E4}">
    <text xml:space="preserve">Extrapolation: Wert würde zu klein werden -&gt; macht kein Sinn
</text>
  </threadedComment>
  <threadedComment ref="K69" dT="2022-10-25T14:01:12.82" personId="{6C125938-9960-8A67-C187-C0FFB9AFFD0A}" id="{D05F4ECA-5F9B-F646-9210-87CA49B19B9E}">
    <text xml:space="preserve">Extrapolationsergebnis wäre schon zu gering, deswegen hier konstanter Wert genommen
</text>
  </threadedComment>
  <threadedComment ref="L69" dT="2022-10-25T14:01:12.82" personId="{6C125938-9960-8A67-C187-C0FFB9AFFD0A}" id="{75EA36B6-DBF7-4147-9C7B-BE2D28FC2514}">
    <text xml:space="preserve">Extrapolationsergebnis wäre schon zu gering, deswegen hier konstanter Wert genommen
</text>
  </threadedComment>
  <threadedComment ref="M69" dT="2022-10-25T14:01:12.82" personId="{6C125938-9960-8A67-C187-C0FFB9AFFD0A}" id="{B104C1DE-028B-E344-A673-06B93F534990}">
    <text xml:space="preserve">Extrapolationsergebnis wäre schon zu gering, deswegen hier konstanter Wert genommen
</text>
  </threadedComment>
  <threadedComment ref="M78" dT="2022-10-25T13:41:28.46" personId="{6C125938-9960-8A67-C187-C0FFB9AFFD0A}" id="{6AC580AC-4D0E-4746-8067-DFDFAA03A3D9}">
    <text xml:space="preserve">Extrapolationsergebnis wäre schon zu gering, deswegen hier konstanter Wert genommen
</text>
  </threadedComment>
  <threadedComment ref="T78" dT="2022-10-25T13:44:03.47" personId="{6C125938-9960-8A67-C187-C0FFB9AFFD0A}" id="{8DE85B3C-9041-CD4C-B1BD-3E6CB24CB8C0}">
    <text xml:space="preserve">Extrapolationsergebnis wäre schon zu gering, deswegen hier konstanter Wert genommen
</text>
  </threadedComment>
  <threadedComment ref="AI78" dT="2022-07-26T09:11:51.98" personId="{21D7BAEC-D017-5906-7CAA-A8633FF115EF}" id="{2557C081-2BAD-0045-AF7C-C49CFA001502}">
    <text xml:space="preserve">Effizienz berechnet über Heizwert von H2 geteilt durch Strombedarf pro kgH2
</text>
  </threadedComment>
  <threadedComment ref="M79" dT="2022-10-25T13:41:14.29" personId="{6C125938-9960-8A67-C187-C0FFB9AFFD0A}" id="{805EFE61-2113-914E-93EF-65BB4A6DEA3F}">
    <text xml:space="preserve">Extrapolationsergebnis wäre schon zu gering, deswegen hier konstanter Wert genommen
</text>
  </threadedComment>
  <threadedComment ref="M87" dT="2022-10-25T13:41:39.92" personId="{6C125938-9960-8A67-C187-C0FFB9AFFD0A}" id="{208179E6-5EEB-764E-9D95-E653614C34B8}">
    <text xml:space="preserve">Extrapolationsergebnis wäre schon zu gering, deswegen hier konstanter Wert genommen
</text>
  </threadedComment>
  <threadedComment ref="M94" dT="2022-10-25T13:43:29.58" personId="{6C125938-9960-8A67-C187-C0FFB9AFFD0A}" id="{9F4C64B7-C718-194A-8ACA-A9C31131A7ED}">
    <text xml:space="preserve">Extrapolationsergebnis wäre schon zu gering, deswegen hier konstanter Wert genommen
</text>
  </threadedComment>
  <threadedComment ref="T94" dT="2022-10-25T14:17:24.72" personId="{6C125938-9960-8A67-C187-C0FFB9AFFD0A}" id="{D75F3BB6-8A7E-FF45-B1FE-3395247B7830}">
    <text xml:space="preserve">Extrapolationsergebnis wäre schon zu gering, deswegen hier konstanter Wert genommen
</text>
  </threadedComment>
  <threadedComment ref="M95" dT="2022-10-25T13:43:35.55" personId="{6C125938-9960-8A67-C187-C0FFB9AFFD0A}" id="{7A4CBBC2-9483-CD48-BB80-9CF5138930D5}">
    <text xml:space="preserve">Extrapolationsergebnis wäre schon zu gering, deswegen hier konstanter Wert genommen
</text>
  </threadedComment>
  <threadedComment ref="T95" dT="2022-10-25T14:17:30.53" personId="{6C125938-9960-8A67-C187-C0FFB9AFFD0A}" id="{185D2693-0E5A-7347-A6CB-F9081FFA6333}">
    <text xml:space="preserve">Extrapolationsergebnis wäre schon zu gering, deswegen hier konstanter Wert genommen
</text>
  </threadedComment>
  <threadedComment ref="M96" dT="2022-10-25T13:43:44.21" personId="{6C125938-9960-8A67-C187-C0FFB9AFFD0A}" id="{926C8236-8EA1-6D4C-8B2C-9BE094A1162C}">
    <text xml:space="preserve">Extrapolationsergebnis wäre schon zu gering, deswegen hier konstanter Wert genommen
</text>
  </threadedComment>
  <threadedComment ref="M103" dT="2022-10-25T14:01:12.82" personId="{6C125938-9960-8A67-C187-C0FFB9AFFD0A}" id="{2671D60B-FCD5-CC49-9C5F-8638FB982CF2}">
    <text xml:space="preserve">Extrapolationsergebnis wäre schon zu gering, deswegen hier konstanter Wert genommen
</text>
  </threadedComment>
  <threadedComment ref="T103" dT="2022-10-25T14:20:10.53" personId="{6C125938-9960-8A67-C187-C0FFB9AFFD0A}" id="{821E5489-C67D-0C42-8E87-9625BB63EBBC}">
    <text xml:space="preserve">Extrapolationsergebnis wäre schon zu gering, deswegen hier konstanter Wert genommen
</text>
  </threadedComment>
  <threadedComment ref="J105" dT="2022-10-25T14:09:51.49" personId="{6C125938-9960-8A67-C187-C0FFB9AFFD0A}" id="{84143338-FF63-8143-B79B-A25C3DE8C59D}">
    <text xml:space="preserve">Extrapolation: Wert würde zu klein werden -&gt; macht kein Sinn
</text>
  </threadedComment>
  <threadedComment ref="K105" dT="2022-10-25T14:09:39.28" personId="{6C125938-9960-8A67-C187-C0FFB9AFFD0A}" id="{6A8969BC-4578-CF48-B49B-6D24307B306F}">
    <text xml:space="preserve">Extrapolation: Wert würde zu klein werden -&gt; macht kein Sinn
</text>
  </threadedComment>
  <threadedComment ref="L105" dT="2022-10-25T14:09:33.30" personId="{6C125938-9960-8A67-C187-C0FFB9AFFD0A}" id="{3C869D5D-DC8D-C648-84B7-39ECEF1DBC77}">
    <text xml:space="preserve">Extrapolation: Wert würde zu klein werden -&gt; macht kein Sinn
</text>
  </threadedComment>
  <threadedComment ref="M105" dT="2022-10-25T13:55:24.51" personId="{6C125938-9960-8A67-C187-C0FFB9AFFD0A}" id="{58B241B5-2C9A-B54E-999D-BFD674DA510B}">
    <text xml:space="preserve">Extrapolation: Wert würde zu klein werden -&gt; macht kein Sinn
</text>
  </threadedComment>
  <threadedComment ref="K106" dT="2022-10-25T14:01:12.82" personId="{6C125938-9960-8A67-C187-C0FFB9AFFD0A}" id="{E70C89A6-7E37-0A40-876C-87A952EE0E9B}">
    <text xml:space="preserve">Extrapolationsergebnis wäre schon zu gering, deswegen hier konstanter Wert genommen
</text>
  </threadedComment>
  <threadedComment ref="L106" dT="2022-10-25T14:01:12.82" personId="{6C125938-9960-8A67-C187-C0FFB9AFFD0A}" id="{CF88A3EC-F8F4-0545-88EB-884009BCF263}">
    <text xml:space="preserve">Extrapolationsergebnis wäre schon zu gering, deswegen hier konstanter Wert genommen
</text>
  </threadedComment>
  <threadedComment ref="M106" dT="2022-10-25T14:01:12.82" personId="{6C125938-9960-8A67-C187-C0FFB9AFFD0A}" id="{996C34A3-4B5B-3948-8377-DA097B2132D4}">
    <text xml:space="preserve">Extrapolationsergebnis wäre schon zu gering, deswegen hier konstanter Wert genommen
</text>
  </threadedComment>
  <threadedComment ref="M115" dT="2022-10-25T13:41:28.46" personId="{6C125938-9960-8A67-C187-C0FFB9AFFD0A}" id="{DDF30F6D-13F8-774F-B7DB-CCC023D1CAF9}">
    <text xml:space="preserve">Extrapolationsergebnis wäre schon zu gering, deswegen hier konstanter Wert genommen
</text>
  </threadedComment>
  <threadedComment ref="T115" dT="2022-10-25T13:44:03.47" personId="{6C125938-9960-8A67-C187-C0FFB9AFFD0A}" id="{DB8FA0EB-80E4-3340-B4DB-A53CE8956784}">
    <text xml:space="preserve">Extrapolationsergebnis wäre schon zu gering, deswegen hier konstanter Wert genommen
</text>
  </threadedComment>
  <threadedComment ref="AI115" dT="2022-07-26T09:11:51.98" personId="{21D7BAEC-D017-5906-7CAA-A8633FF115EF}" id="{E41CC6DD-4FCE-AE4A-9861-3B77B96E78B6}">
    <text xml:space="preserve">Effizienz berechnet über Heizwert von H2 geteilt durch Strombedarf pro kgH2
</text>
  </threadedComment>
  <threadedComment ref="M116" dT="2022-10-25T13:41:14.29" personId="{6C125938-9960-8A67-C187-C0FFB9AFFD0A}" id="{38752B50-12B5-B543-B2BA-CCFC8E61EC0F}">
    <text xml:space="preserve">Extrapolationsergebnis wäre schon zu gering, deswegen hier konstanter Wert genommen
</text>
  </threadedComment>
  <threadedComment ref="M124" dT="2022-10-25T13:41:39.92" personId="{6C125938-9960-8A67-C187-C0FFB9AFFD0A}" id="{BCBDCC74-AFE4-1048-A24F-D11AC2B87BD0}">
    <text xml:space="preserve">Extrapolationsergebnis wäre schon zu gering, deswegen hier konstanter Wert genommen
</text>
  </threadedComment>
  <threadedComment ref="M131" dT="2022-10-25T13:43:29.58" personId="{6C125938-9960-8A67-C187-C0FFB9AFFD0A}" id="{5515604F-D4DD-4F4E-B6A2-28FA05E3AADD}">
    <text xml:space="preserve">Extrapolationsergebnis wäre schon zu gering, deswegen hier konstanter Wert genommen
</text>
  </threadedComment>
  <threadedComment ref="T131" dT="2022-10-25T14:17:24.72" personId="{6C125938-9960-8A67-C187-C0FFB9AFFD0A}" id="{AD2C97B8-B071-B040-BA90-B01506D21BC9}">
    <text xml:space="preserve">Extrapolationsergebnis wäre schon zu gering, deswegen hier konstanter Wert genommen
</text>
  </threadedComment>
  <threadedComment ref="M132" dT="2022-10-25T13:43:35.55" personId="{6C125938-9960-8A67-C187-C0FFB9AFFD0A}" id="{07B553A1-B05F-9E45-9EED-92CCAB02C8FF}">
    <text xml:space="preserve">Extrapolationsergebnis wäre schon zu gering, deswegen hier konstanter Wert genommen
</text>
  </threadedComment>
  <threadedComment ref="T132" dT="2022-10-25T14:17:30.53" personId="{6C125938-9960-8A67-C187-C0FFB9AFFD0A}" id="{130D3821-EFCC-4D44-A8E4-2491B6821190}">
    <text xml:space="preserve">Extrapolationsergebnis wäre schon zu gering, deswegen hier konstanter Wert genommen
</text>
  </threadedComment>
  <threadedComment ref="M133" dT="2022-10-25T13:43:44.21" personId="{6C125938-9960-8A67-C187-C0FFB9AFFD0A}" id="{62F94F6F-5F2B-DD42-A927-5DC7C79D566D}">
    <text xml:space="preserve">Extrapolationsergebnis wäre schon zu gering, deswegen hier konstanter Wert genommen
</text>
  </threadedComment>
  <threadedComment ref="M140" dT="2022-10-25T14:01:12.82" personId="{6C125938-9960-8A67-C187-C0FFB9AFFD0A}" id="{98666F64-7256-4C44-B3DC-0B10D79009C9}">
    <text xml:space="preserve">Extrapolationsergebnis wäre schon zu gering, deswegen hier konstanter Wert genommen
</text>
  </threadedComment>
  <threadedComment ref="T140" dT="2022-10-25T14:20:10.53" personId="{6C125938-9960-8A67-C187-C0FFB9AFFD0A}" id="{4D86F48B-BC79-8D4B-A73A-5307E207C1E8}">
    <text xml:space="preserve">Extrapolationsergebnis wäre schon zu gering, deswegen hier konstanter Wert genommen
</text>
  </threadedComment>
  <threadedComment ref="J142" dT="2022-10-25T14:09:51.49" personId="{6C125938-9960-8A67-C187-C0FFB9AFFD0A}" id="{A2D0BB0C-8690-C443-8BF7-4191E12B8538}">
    <text xml:space="preserve">Extrapolation: Wert würde zu klein werden -&gt; macht kein Sinn
</text>
  </threadedComment>
  <threadedComment ref="K142" dT="2022-10-25T14:09:39.28" personId="{6C125938-9960-8A67-C187-C0FFB9AFFD0A}" id="{C0096F98-B733-3148-B4AC-E72407B96F9E}">
    <text xml:space="preserve">Extrapolation: Wert würde zu klein werden -&gt; macht kein Sinn
</text>
  </threadedComment>
  <threadedComment ref="L142" dT="2022-10-25T14:09:33.30" personId="{6C125938-9960-8A67-C187-C0FFB9AFFD0A}" id="{AB563737-1FC0-834A-8CD2-FFB6408666E2}">
    <text xml:space="preserve">Extrapolation: Wert würde zu klein werden -&gt; macht kein Sinn
</text>
  </threadedComment>
  <threadedComment ref="M142" dT="2022-10-25T13:55:24.51" personId="{6C125938-9960-8A67-C187-C0FFB9AFFD0A}" id="{C3566A95-3DAE-BB47-9CB7-ACD314368D92}">
    <text xml:space="preserve">Extrapolation: Wert würde zu klein werden -&gt; macht kein Sinn
</text>
  </threadedComment>
  <threadedComment ref="K143" dT="2022-10-25T14:01:12.82" personId="{6C125938-9960-8A67-C187-C0FFB9AFFD0A}" id="{A12D6AEE-6173-F64A-A947-4478DFD48F48}">
    <text xml:space="preserve">Extrapolationsergebnis wäre schon zu gering, deswegen hier konstanter Wert genommen
</text>
  </threadedComment>
  <threadedComment ref="L143" dT="2022-10-25T14:01:12.82" personId="{6C125938-9960-8A67-C187-C0FFB9AFFD0A}" id="{6CCCFB67-B2C9-9449-B95D-BE85CF705AB5}">
    <text xml:space="preserve">Extrapolationsergebnis wäre schon zu gering, deswegen hier konstanter Wert genommen
</text>
  </threadedComment>
  <threadedComment ref="M143" dT="2022-10-25T14:01:12.82" personId="{6C125938-9960-8A67-C187-C0FFB9AFFD0A}" id="{D2996A1C-76F6-FD43-9B16-9E96658B71DA}">
    <text xml:space="preserve">Extrapolationsergebnis wäre schon zu gering, deswegen hier konstanter Wert genommen
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G3" dT="2022-08-05T06:38:55.08" personId="{21D7BAEC-D017-5906-7CAA-A8633FF115EF}" id="{63FD80B4-5E12-4D6E-ACD0-7B33C8426ECE}">
    <text xml:space="preserve">keine Anlagengröße angegeben
</text>
  </threadedComment>
  <threadedComment ref="G3" dT="2022-08-05T07:47:37.15" personId="{21D7BAEC-D017-5906-7CAA-A8633FF115EF}" id="{AE170FD7-B78F-48BB-9EAC-9C340F4AB776}" parentId="{63FD80B4-5E12-4D6E-ACD0-7B33C8426ECE}">
    <text xml:space="preserve">Umrechnung von tH2/a in kWH2 -&gt; (1000kg*33,33kWh/kg/(8760h)) = 3,805 kW
</text>
  </threadedComment>
  <threadedComment ref="G4" dT="2022-08-05T07:49:33.19" personId="{21D7BAEC-D017-5906-7CAA-A8633FF115EF}" id="{0C4FAC23-D33E-4561-8EA2-B0E7EC0EE373}">
    <text xml:space="preserve">Anlagengröße: 260ktH2/a=712,33t/d
</text>
  </threadedComment>
  <threadedComment ref="G5" dT="2022-08-05T07:28:00.89" personId="{21D7BAEC-D017-5906-7CAA-A8633FF115EF}" id="{FC922068-3C1D-4B86-9CC7-607CB990650D}">
    <text xml:space="preserve">Formel in Abhängigkeit der Anlagengröße -&gt; x [t/d]
</text>
  </threadedComment>
  <threadedComment ref="G5" dT="2022-09-29T13:05:08.58" personId="{6C125938-9960-8A67-C187-C0FFB9AFFD0A}" id="{699C709F-C085-CD42-B6E8-F6242579CC62}" parentId="{FC922068-3C1D-4B86-9CC7-607CB990650D}">
    <text xml:space="preserve">=((105*10^6)*(x/50)^0,66)/(x*365)/3,805
</text>
  </threadedComment>
  <threadedComment ref="I5" dT="2022-09-29T13:05:37.01" personId="{6C125938-9960-8A67-C187-C0FFB9AFFD0A}" id="{5E4CBCD3-8EF8-3245-B6F9-4A75D80132F5}">
    <text xml:space="preserve">=((105*10^6)*(x/50)^0,66)/(x*365)/3,805
</text>
  </threadedComment>
  <threadedComment ref="L5" dT="2022-09-29T13:05:52.47" personId="{6C125938-9960-8A67-C187-C0FFB9AFFD0A}" id="{CAB63E64-1208-404B-990F-F404EA73D4CB}">
    <text xml:space="preserve">=((105*10^6)*(x/50)^0,66)/(x*365)/3,805
</text>
  </threadedComment>
  <threadedComment ref="M6" dT="2022-10-31T11:02:55.69" personId="{6C125938-9960-8A67-C187-C0FFB9AFFD0A}" id="{74CB9990-0CEB-8343-BF7D-3966F9B63EAF}">
    <text xml:space="preserve">Konstant zu 2050 angenommen, da Werte sonst bei Extrapolation schon zu niedrig
</text>
  </threadedComment>
  <threadedComment ref="T6" dT="2022-10-31T11:27:33.36" personId="{6C125938-9960-8A67-C187-C0FFB9AFFD0A}" id="{D91C13DB-0067-3F48-B115-03B69BE26F1B}">
    <text xml:space="preserve">Konstant zu 2050 angenommen, da Werte sonst bei Extrapolation schon zu niedrig
</text>
  </threadedComment>
  <threadedComment ref="M7" dT="2022-10-31T11:03:01.59" personId="{6C125938-9960-8A67-C187-C0FFB9AFFD0A}" id="{D1EED104-60A3-4C4C-9C74-63FA9F846B7A}">
    <text xml:space="preserve">Konstant zu 2050 angenommen, da Werte sonst bei Extrapolation schon zu niedrig
</text>
  </threadedComment>
  <threadedComment ref="T7" dT="2022-10-31T11:27:39.50" personId="{6C125938-9960-8A67-C187-C0FFB9AFFD0A}" id="{DABF7364-16B7-4E4E-B248-FCD6CE487879}">
    <text xml:space="preserve">Konstant zu 2050 angenommen, da Werte sonst bei Extrapolation schon zu niedrig
</text>
  </threadedComment>
  <threadedComment ref="M8" dT="2022-10-31T11:03:12.59" personId="{6C125938-9960-8A67-C187-C0FFB9AFFD0A}" id="{9F302995-BA01-3B4D-8365-67C9274D54E7}">
    <text xml:space="preserve">Konstant zu 2050 angenommen, da Werte sonst bei Extrapolation schon zu niedrig
</text>
  </threadedComment>
  <threadedComment ref="T8" dT="2022-10-31T11:27:45.56" personId="{6C125938-9960-8A67-C187-C0FFB9AFFD0A}" id="{14805E30-6DA6-4640-8BBF-7BA8C5F1ECE1}">
    <text xml:space="preserve">Konstant zu 2050 angenommen, da Werte sonst bei Extrapolation schon zu niedrig
</text>
  </threadedComment>
  <threadedComment ref="M12" dT="2022-10-31T11:05:00.68" personId="{6C125938-9960-8A67-C187-C0FFB9AFFD0A}" id="{83A5E6D7-0363-7943-BA9A-42263E8A2320}">
    <text xml:space="preserve">Konstant zu 2050 angenommen, da Werte sonst bei Extrapolation schon zu niedrig
</text>
  </threadedComment>
  <threadedComment ref="T12" dT="2022-10-31T11:29:13.35" personId="{6C125938-9960-8A67-C187-C0FFB9AFFD0A}" id="{43C69194-D87C-6649-8A56-63F08D2F5D0D}">
    <text xml:space="preserve">Konstant zu 2050 angenommen, da Werte sonst bei Extrapolation schon zu niedrig
</text>
  </threadedComment>
  <threadedComment ref="M13" dT="2022-10-31T11:05:07.30" personId="{6C125938-9960-8A67-C187-C0FFB9AFFD0A}" id="{9D7AC6BC-6B65-7149-8589-5B1DCC659D3A}">
    <text xml:space="preserve">Konstant zu 2050 angenommen, da Werte sonst bei Extrapolation schon zu niedrig
</text>
  </threadedComment>
  <threadedComment ref="T13" dT="2022-10-31T11:29:20.23" personId="{6C125938-9960-8A67-C187-C0FFB9AFFD0A}" id="{444251E3-6B0C-604D-8854-752AFA43E718}">
    <text xml:space="preserve">Konstant zu 2050 angenommen, da Werte sonst bei Extrapolation schon zu niedrig
</text>
  </threadedComment>
  <threadedComment ref="M18" dT="2022-10-31T11:07:06.07" personId="{6C125938-9960-8A67-C187-C0FFB9AFFD0A}" id="{A0A4CDDA-E3CF-D944-B74E-778F13B97F99}">
    <text xml:space="preserve">Konstant zu 2050 angenommen, da Werte sonst bei Extrapolation schon zu niedrig
</text>
  </threadedComment>
  <threadedComment ref="T18" dT="2022-10-31T11:31:04.01" personId="{6C125938-9960-8A67-C187-C0FFB9AFFD0A}" id="{2011FA4D-013A-6342-81A1-34539A6BBAC7}">
    <text xml:space="preserve">Konstant zu 2050 angenommen, da Werte sonst bei Extrapolation schon zu niedrig
</text>
  </threadedComment>
  <threadedComment ref="G23" dT="2022-08-05T08:39:57.14" personId="{21D7BAEC-D017-5906-7CAA-A8633FF115EF}" id="{8DC677E4-2AA2-40CF-9124-655F01306CCE}">
    <text xml:space="preserve">945 $2017/tNH3 (Einheiten! -&gt; hier nicht pro Leistung)
</text>
  </threadedComment>
  <threadedComment ref="I23" dT="2022-08-05T08:41:13.37" personId="{21D7BAEC-D017-5906-7CAA-A8633FF115EF}" id="{91F288AB-49C2-4B7C-AAD1-452945CDABCE}">
    <text xml:space="preserve">855 $2017/tNH3 (Einheiten! -&gt; hier nicht pro Leistung)
</text>
  </threadedComment>
  <threadedComment ref="L23" dT="2022-08-05T08:41:20.78" personId="{21D7BAEC-D017-5906-7CAA-A8633FF115EF}" id="{C5D90BDC-785A-4A98-A846-5C5D51B2165E}">
    <text xml:space="preserve">760 $2017/tNH3 (Einheiten! -&gt; hier nicht pro Leistung)
</text>
  </threadedComment>
  <threadedComment ref="N23" dT="2022-09-29T13:12:22.26" personId="{6C125938-9960-8A67-C187-C0FFB9AFFD0A}" id="{103EC3B9-FD81-9348-97CB-CBB2FD74BDB6}">
    <text xml:space="preserve">Verändert sich noch, sobald etwas in F24 eingetragen wird
</text>
  </threadedComment>
  <threadedComment ref="M24" dT="2022-10-31T11:19:31.67" personId="{6C125938-9960-8A67-C187-C0FFB9AFFD0A}" id="{45DCFF1E-31C8-6F45-83C0-7740F07090D4}">
    <text xml:space="preserve">Konstant zu 2050 angenommen, da Werte sonst bei Extrapolation schon zu niedrig
</text>
  </threadedComment>
  <threadedComment ref="T24" dT="2022-10-31T11:32:25.95" personId="{6C125938-9960-8A67-C187-C0FFB9AFFD0A}" id="{7B29AA36-CA95-644F-A956-297AD4EC8F1B}">
    <text xml:space="preserve">Konstant zu 2050 angenommen, da Werte sonst bei Extrapolation schon zu niedrig
</text>
  </threadedComment>
  <threadedComment ref="M25" dT="2022-10-31T11:19:39.58" personId="{6C125938-9960-8A67-C187-C0FFB9AFFD0A}" id="{31307EC4-CE45-464C-B519-BC72A28424D1}">
    <text xml:space="preserve">Konstant zu 2050 angenommen, da Werte sonst bei Extrapolation schon zu niedrig
</text>
  </threadedComment>
  <threadedComment ref="T25" dT="2022-10-31T11:32:31.69" personId="{6C125938-9960-8A67-C187-C0FFB9AFFD0A}" id="{737A558D-BA7D-EA47-BA7B-0CF1F642C0D6}">
    <text xml:space="preserve">Konstant zu 2050 angenommen, da Werte sonst bei Extrapolation schon zu niedrig
</text>
  </threadedComment>
  <threadedComment ref="M30" dT="2022-10-31T11:21:01.06" personId="{6C125938-9960-8A67-C187-C0FFB9AFFD0A}" id="{D683477A-5070-2C46-BFF5-4921E735509F}">
    <text xml:space="preserve">Konstant zu 2050 angenommen, da Werte sonst bei Extrapolation schon zu niedrig
</text>
  </threadedComment>
  <threadedComment ref="T30" dT="2022-10-31T11:35:00.88" personId="{6C125938-9960-8A67-C187-C0FFB9AFFD0A}" id="{A38E280C-71B8-9D47-AD80-B7CCE5FF9CE9}">
    <text xml:space="preserve">Konstant zu 2050 angenommen, da Werte sonst bei Extrapolation schon zu niedrig
</text>
  </threadedComment>
  <threadedComment ref="M31" dT="2022-10-31T11:21:07.30" personId="{6C125938-9960-8A67-C187-C0FFB9AFFD0A}" id="{C6F8867A-0387-E743-9024-61F4DD6786EA}">
    <text xml:space="preserve">Konstant zu 2050 angenommen, da Werte sonst bei Extrapolation schon zu niedrig
</text>
  </threadedComment>
  <threadedComment ref="T31" dT="2022-10-31T11:35:06.23" personId="{6C125938-9960-8A67-C187-C0FFB9AFFD0A}" id="{F9E09E87-2F3A-4549-B87D-92BC1462242E}">
    <text xml:space="preserve">Konstant zu 2050 angenommen, da Werte sonst bei Extrapolation schon zu niedrig
</text>
  </threadedComment>
  <threadedComment ref="T32" dT="2022-10-31T11:35:12.13" personId="{6C125938-9960-8A67-C187-C0FFB9AFFD0A}" id="{576EA5CB-8306-5442-837D-4A4E00E7FAEA}">
    <text xml:space="preserve">Konstant zu 2050 angenommen, da Werte sonst bei Extrapolation schon zu niedrig
</text>
  </threadedComment>
  <threadedComment ref="G36" dT="2022-08-05T09:17:26.64" personId="{21D7BAEC-D017-5906-7CAA-A8633FF115EF}" id="{1CE551D3-3A6B-4044-A6FC-0310103A15A6}">
    <text xml:space="preserve">Tol: 11kWh/kg -&gt; 1tTol/a=(1000kg*11kWh/kg)/8760h=1,256kW
</text>
  </threadedComment>
  <threadedComment ref="G36" dT="2022-09-29T12:57:05.52" personId="{6C125938-9960-8A67-C187-C0FFB9AFFD0A}" id="{F53133C3-73DF-084A-9782-612B34F5DC5E}" parentId="{1CE551D3-3A6B-4044-A6FC-0310103A15A6}">
    <text xml:space="preserve">Sehr große Unterschiede zu den beiden unteren Werten -&gt; Fehler?
</text>
  </threadedComment>
  <threadedComment ref="G37" dT="2022-09-27T11:55:29.88" personId="{6C125938-9960-8A67-C187-C0FFB9AFFD0A}" id="{7FB9D4E7-6794-4A45-9B5A-A0284EBDE1CB}">
    <text xml:space="preserve">Sehr große Unterschiede zu den beiden unteren Werten
</text>
  </threadedComment>
  <threadedComment ref="G37" dT="2022-09-29T12:57:19.92" personId="{6C125938-9960-8A67-C187-C0FFB9AFFD0A}" id="{03213D6A-BFE1-014E-A338-2CE67FD9A809}" parentId="{7FB9D4E7-6794-4A45-9B5A-A0284EBDE1CB}">
    <text xml:space="preserve">-&gt; Fehler?
</text>
  </threadedComment>
  <threadedComment ref="M38" dT="2022-10-31T11:21:19.51" personId="{6C125938-9960-8A67-C187-C0FFB9AFFD0A}" id="{EEB6AF6B-41BB-D340-A71F-56BEF770B5DB}">
    <text xml:space="preserve">Konstant zu 2050 angenommen, da Werte sonst bei Extrapolation schon zu niedrig
</text>
  </threadedComment>
  <threadedComment ref="T38" dT="2022-10-31T11:35:35.89" personId="{6C125938-9960-8A67-C187-C0FFB9AFFD0A}" id="{655B53F1-F0F2-F54E-BD3E-A78C2CC55FB9}">
    <text xml:space="preserve">Konstant zu 2050 angenommen, da Werte sonst bei Extrapolation schon zu niedrig
</text>
  </threadedComment>
  <threadedComment ref="AO38" dT="2022-10-31T11:53:15.74" personId="{6C125938-9960-8A67-C187-C0FFB9AFFD0A}" id="{906A6151-ADB5-BA45-8614-493380216FEF}">
    <text xml:space="preserve">Konstant zu 2050 angenommen, weil Extrapolation hätte Wert über 100 ergeben
</text>
  </threadedComment>
  <threadedComment ref="M39" dT="2022-10-31T11:21:26.33" personId="{6C125938-9960-8A67-C187-C0FFB9AFFD0A}" id="{A9828AA4-1A6A-4249-9FD7-55250FEDF75F}">
    <text xml:space="preserve">Konstant zu 2050 angenommen, da Werte sonst bei Extrapolation schon zu niedrig
</text>
  </threadedComment>
  <threadedComment ref="T39" dT="2022-10-31T11:35:42.52" personId="{6C125938-9960-8A67-C187-C0FFB9AFFD0A}" id="{10BAEEFC-91A7-0F46-85F1-BCA7E608C8A1}">
    <text xml:space="preserve">Konstant zu 2050 angenommen, da Werte sonst bei Extrapolation schon zu niedrig
</text>
  </threadedComment>
  <threadedComment ref="G43" dT="2022-09-27T11:55:47.57" personId="{6C125938-9960-8A67-C187-C0FFB9AFFD0A}" id="{F061016E-3AB3-6D41-9A0F-14BA669BB653}">
    <text xml:space="preserve">Sehr große Unterschiede zu den beiden unteren Werten
</text>
  </threadedComment>
  <threadedComment ref="M44" dT="2022-10-31T11:21:39.45" personId="{6C125938-9960-8A67-C187-C0FFB9AFFD0A}" id="{915C509F-1097-2041-BEBA-C81AEFE2BD10}">
    <text xml:space="preserve">Konstant zu 2050 angenommen, da Werte sonst bei Extrapolation schon zu niedrig
</text>
  </threadedComment>
  <threadedComment ref="T44" dT="2022-10-31T11:35:56.21" personId="{6C125938-9960-8A67-C187-C0FFB9AFFD0A}" id="{49D5B93D-1C4C-0E44-80A6-205A51B6EF83}">
    <text xml:space="preserve">Konstant zu 2050 angenommen, da Werte sonst bei Extrapolation schon zu niedrig
</text>
  </threadedComment>
  <threadedComment ref="M45" dT="2022-10-31T11:21:47.28" personId="{6C125938-9960-8A67-C187-C0FFB9AFFD0A}" id="{B4D8C24F-DBFA-6F4E-89B6-E512701186EF}">
    <text xml:space="preserve">Konstant zu 2050 angenommen, da Werte sonst bei Extrapolation schon zu niedrig
</text>
  </threadedComment>
  <threadedComment ref="T45" dT="2022-10-31T11:36:01.62" personId="{6C125938-9960-8A67-C187-C0FFB9AFFD0A}" id="{8632063D-3E7C-AD46-97C3-B4AC6A785DB9}">
    <text xml:space="preserve">Konstant zu 2050 angenommen, da Werte sonst bei Extrapolation schon zu niedrig
</text>
  </threadedComment>
  <threadedComment ref="G53" dT="2022-09-29T13:04:48.64" personId="{6C125938-9960-8A67-C187-C0FFB9AFFD0A}" id="{77AA069A-C8C4-0849-816A-C792E8CA6F6B}">
    <text xml:space="preserve">Formel in Abhängigkeit der Leistung
15000*Pel[kW]^0,6089*2,5
</text>
  </threadedComment>
  <threadedComment ref="G58" dT="2022-08-05T06:38:55.08" personId="{21D7BAEC-D017-5906-7CAA-A8633FF115EF}" id="{03B8009D-F7C6-8C44-82FB-58D2F50E8E67}">
    <text xml:space="preserve">keine Anlagengröße angegeben
</text>
  </threadedComment>
  <threadedComment ref="G58" dT="2022-08-05T07:47:37.15" personId="{21D7BAEC-D017-5906-7CAA-A8633FF115EF}" id="{D769F02D-AE05-AC47-8353-08625BF7B302}" parentId="{03B8009D-F7C6-8C44-82FB-58D2F50E8E67}">
    <text xml:space="preserve">Umrechnung von tH2/a in kWH2 -&gt; (1000kg*33,33kWh/kg/(8760h)) = 3,805 kW
</text>
  </threadedComment>
  <threadedComment ref="G59" dT="2022-08-05T07:49:33.19" personId="{21D7BAEC-D017-5906-7CAA-A8633FF115EF}" id="{E769693D-39B4-9442-AF29-0AF0A1259B3E}">
    <text xml:space="preserve">Anlagengröße: 260ktH2/a=712,33t/d
</text>
  </threadedComment>
  <threadedComment ref="G60" dT="2022-08-05T07:28:00.89" personId="{21D7BAEC-D017-5906-7CAA-A8633FF115EF}" id="{90908DE4-9890-9D49-B865-D8EF552E9F39}">
    <text xml:space="preserve">Formel in Abhängigkeit der Anlagengröße -&gt; x [t/d]
</text>
  </threadedComment>
  <threadedComment ref="G60" dT="2022-09-29T13:05:08.58" personId="{6C125938-9960-8A67-C187-C0FFB9AFFD0A}" id="{1D5A5B83-EE50-A047-925F-DC3CD94A1702}" parentId="{90908DE4-9890-9D49-B865-D8EF552E9F39}">
    <text xml:space="preserve">=((105*10^6)*(x/50)^0,66)/(x*365)/3,805
</text>
  </threadedComment>
  <threadedComment ref="I60" dT="2022-09-29T13:05:37.01" personId="{6C125938-9960-8A67-C187-C0FFB9AFFD0A}" id="{BA0C84F8-00C2-2146-A3C1-3A15B5FFC758}">
    <text xml:space="preserve">=((105*10^6)*(x/50)^0,66)/(x*365)/3,805
</text>
  </threadedComment>
  <threadedComment ref="L60" dT="2022-09-29T13:05:52.47" personId="{6C125938-9960-8A67-C187-C0FFB9AFFD0A}" id="{AD4F8A19-3F8E-264C-BE0F-ECABEBD88F46}">
    <text xml:space="preserve">=((105*10^6)*(x/50)^0,66)/(x*365)/3,805
</text>
  </threadedComment>
  <threadedComment ref="M61" dT="2022-10-31T11:02:55.69" personId="{6C125938-9960-8A67-C187-C0FFB9AFFD0A}" id="{FE47CB7A-93C1-C540-8063-5972DC4DB978}">
    <text xml:space="preserve">Konstant zu 2050 angenommen, da Werte sonst bei Extrapolation schon zu niedrig
</text>
  </threadedComment>
  <threadedComment ref="T61" dT="2022-10-31T11:27:33.36" personId="{6C125938-9960-8A67-C187-C0FFB9AFFD0A}" id="{770AEBBD-86C5-3348-BA14-605478791B4F}">
    <text xml:space="preserve">Konstant zu 2050 angenommen, da Werte sonst bei Extrapolation schon zu niedrig
</text>
  </threadedComment>
  <threadedComment ref="M62" dT="2022-10-31T11:03:01.59" personId="{6C125938-9960-8A67-C187-C0FFB9AFFD0A}" id="{68652E0E-A95F-2244-AC9B-0F03EECD841B}">
    <text xml:space="preserve">Konstant zu 2050 angenommen, da Werte sonst bei Extrapolation schon zu niedrig
</text>
  </threadedComment>
  <threadedComment ref="T62" dT="2022-10-31T11:27:39.50" personId="{6C125938-9960-8A67-C187-C0FFB9AFFD0A}" id="{929A4763-0A4A-114A-A855-C5C448A4D9BD}">
    <text xml:space="preserve">Konstant zu 2050 angenommen, da Werte sonst bei Extrapolation schon zu niedrig
</text>
  </threadedComment>
  <threadedComment ref="M63" dT="2022-10-31T11:03:12.59" personId="{6C125938-9960-8A67-C187-C0FFB9AFFD0A}" id="{D26DCF1D-4B3E-C042-96B8-91647FBEF7BD}">
    <text xml:space="preserve">Konstant zu 2050 angenommen, da Werte sonst bei Extrapolation schon zu niedrig
</text>
  </threadedComment>
  <threadedComment ref="T63" dT="2022-10-31T11:27:45.56" personId="{6C125938-9960-8A67-C187-C0FFB9AFFD0A}" id="{B7420450-F6C9-174C-9EEE-47DF564FC662}">
    <text xml:space="preserve">Konstant zu 2050 angenommen, da Werte sonst bei Extrapolation schon zu niedrig
</text>
  </threadedComment>
  <threadedComment ref="M67" dT="2022-10-31T11:05:00.68" personId="{6C125938-9960-8A67-C187-C0FFB9AFFD0A}" id="{EAECBFA5-79F0-9343-A5AC-E93F0ACD9E8D}">
    <text xml:space="preserve">Konstant zu 2050 angenommen, da Werte sonst bei Extrapolation schon zu niedrig
</text>
  </threadedComment>
  <threadedComment ref="T67" dT="2022-10-31T11:29:13.35" personId="{6C125938-9960-8A67-C187-C0FFB9AFFD0A}" id="{C37C9D04-2C82-9144-9E3F-C60FAE8A66DB}">
    <text xml:space="preserve">Konstant zu 2050 angenommen, da Werte sonst bei Extrapolation schon zu niedrig
</text>
  </threadedComment>
  <threadedComment ref="M68" dT="2022-10-31T11:05:07.30" personId="{6C125938-9960-8A67-C187-C0FFB9AFFD0A}" id="{6DC11D14-79B8-FA4B-823B-7C6EFD48E372}">
    <text xml:space="preserve">Konstant zu 2050 angenommen, da Werte sonst bei Extrapolation schon zu niedrig
</text>
  </threadedComment>
  <threadedComment ref="T68" dT="2022-10-31T11:29:20.23" personId="{6C125938-9960-8A67-C187-C0FFB9AFFD0A}" id="{30E0B383-870E-C24E-9383-2BA12EA0769F}">
    <text xml:space="preserve">Konstant zu 2050 angenommen, da Werte sonst bei Extrapolation schon zu niedrig
</text>
  </threadedComment>
  <threadedComment ref="M73" dT="2022-10-31T11:07:06.07" personId="{6C125938-9960-8A67-C187-C0FFB9AFFD0A}" id="{DDBBA9A0-2E77-A546-935D-0D824153C83F}">
    <text xml:space="preserve">Konstant zu 2050 angenommen, da Werte sonst bei Extrapolation schon zu niedrig
</text>
  </threadedComment>
  <threadedComment ref="T73" dT="2022-10-31T11:31:04.01" personId="{6C125938-9960-8A67-C187-C0FFB9AFFD0A}" id="{ACBB906E-3C0A-F045-99AE-0C68523044EE}">
    <text xml:space="preserve">Konstant zu 2050 angenommen, da Werte sonst bei Extrapolation schon zu niedrig
</text>
  </threadedComment>
  <threadedComment ref="G78" dT="2022-08-05T08:39:57.14" personId="{21D7BAEC-D017-5906-7CAA-A8633FF115EF}" id="{2FE3EFC7-2FCF-D94F-9DF5-27AE3EE976B8}">
    <text xml:space="preserve">945 $2017/tNH3 (Einheiten! -&gt; hier nicht pro Leistung)
</text>
  </threadedComment>
  <threadedComment ref="I78" dT="2022-08-05T08:41:13.37" personId="{21D7BAEC-D017-5906-7CAA-A8633FF115EF}" id="{06A8AE6C-84BF-2B4E-BF62-BCEA4660157C}">
    <text xml:space="preserve">855 $2017/tNH3 (Einheiten! -&gt; hier nicht pro Leistung)
</text>
  </threadedComment>
  <threadedComment ref="L78" dT="2022-08-05T08:41:20.78" personId="{21D7BAEC-D017-5906-7CAA-A8633FF115EF}" id="{24A5E4CD-D0C9-3B41-93A4-1CA746AB7DD3}">
    <text xml:space="preserve">760 $2017/tNH3 (Einheiten! -&gt; hier nicht pro Leistung)
</text>
  </threadedComment>
  <threadedComment ref="N78" dT="2022-09-29T13:12:22.26" personId="{6C125938-9960-8A67-C187-C0FFB9AFFD0A}" id="{A602B690-5F5C-BC4D-9962-6CE2390E282C}">
    <text xml:space="preserve">Verändert sich noch, sobald etwas in F24 eingetragen wird
</text>
  </threadedComment>
  <threadedComment ref="M79" dT="2022-10-31T11:19:31.67" personId="{6C125938-9960-8A67-C187-C0FFB9AFFD0A}" id="{345562FB-0AE6-6C4B-8399-43F3C54D936F}">
    <text xml:space="preserve">Konstant zu 2050 angenommen, da Werte sonst bei Extrapolation schon zu niedrig
</text>
  </threadedComment>
  <threadedComment ref="T79" dT="2022-10-31T11:32:25.95" personId="{6C125938-9960-8A67-C187-C0FFB9AFFD0A}" id="{F5483CCD-92E1-0D4A-AE83-DD5A802B324E}">
    <text xml:space="preserve">Konstant zu 2050 angenommen, da Werte sonst bei Extrapolation schon zu niedrig
</text>
  </threadedComment>
  <threadedComment ref="M80" dT="2022-10-31T11:19:39.58" personId="{6C125938-9960-8A67-C187-C0FFB9AFFD0A}" id="{517A6E6A-3A1C-E742-8387-028F0E0D800F}">
    <text xml:space="preserve">Konstant zu 2050 angenommen, da Werte sonst bei Extrapolation schon zu niedrig
</text>
  </threadedComment>
  <threadedComment ref="T80" dT="2022-10-31T11:32:31.69" personId="{6C125938-9960-8A67-C187-C0FFB9AFFD0A}" id="{FD4BFC71-DA73-5C4D-B1E4-9F7F04FAEC56}">
    <text xml:space="preserve">Konstant zu 2050 angenommen, da Werte sonst bei Extrapolation schon zu niedrig
</text>
  </threadedComment>
  <threadedComment ref="M85" dT="2022-10-31T11:21:01.06" personId="{6C125938-9960-8A67-C187-C0FFB9AFFD0A}" id="{DF760125-A477-8548-9F71-1DE2B3B2B5B5}">
    <text xml:space="preserve">Konstant zu 2050 angenommen, da Werte sonst bei Extrapolation schon zu niedrig
</text>
  </threadedComment>
  <threadedComment ref="T85" dT="2022-10-31T11:35:00.88" personId="{6C125938-9960-8A67-C187-C0FFB9AFFD0A}" id="{4C371DFE-0D57-564E-A77F-B650DE1C7E2F}">
    <text xml:space="preserve">Konstant zu 2050 angenommen, da Werte sonst bei Extrapolation schon zu niedrig
</text>
  </threadedComment>
  <threadedComment ref="M86" dT="2022-10-31T11:21:07.30" personId="{6C125938-9960-8A67-C187-C0FFB9AFFD0A}" id="{670130F8-A9C6-C941-94BB-50EC17CF28FE}">
    <text xml:space="preserve">Konstant zu 2050 angenommen, da Werte sonst bei Extrapolation schon zu niedrig
</text>
  </threadedComment>
  <threadedComment ref="T86" dT="2022-10-31T11:35:06.23" personId="{6C125938-9960-8A67-C187-C0FFB9AFFD0A}" id="{B40B629B-FEE2-4848-AF21-4547EC46C99D}">
    <text xml:space="preserve">Konstant zu 2050 angenommen, da Werte sonst bei Extrapolation schon zu niedrig
</text>
  </threadedComment>
  <threadedComment ref="T87" dT="2022-10-31T11:35:12.13" personId="{6C125938-9960-8A67-C187-C0FFB9AFFD0A}" id="{EC4E3B58-9EA6-4444-A89E-16FF61C4785E}">
    <text xml:space="preserve">Konstant zu 2050 angenommen, da Werte sonst bei Extrapolation schon zu niedrig
</text>
  </threadedComment>
  <threadedComment ref="G91" dT="2022-08-05T09:17:26.64" personId="{21D7BAEC-D017-5906-7CAA-A8633FF115EF}" id="{5173DDBC-3F77-7747-9C26-A55DA9777D88}">
    <text xml:space="preserve">Tol: 11kWh/kg -&gt; 1tTol/a=(1000kg*11kWh/kg)/8760h=1,256kW
</text>
  </threadedComment>
  <threadedComment ref="G91" dT="2022-09-29T12:57:05.52" personId="{6C125938-9960-8A67-C187-C0FFB9AFFD0A}" id="{25A7FE29-75B1-8D4F-A8D3-1E312666B0BC}" parentId="{5173DDBC-3F77-7747-9C26-A55DA9777D88}">
    <text xml:space="preserve">Sehr große Unterschiede zu den beiden unteren Werten -&gt; Fehler?
</text>
  </threadedComment>
  <threadedComment ref="G92" dT="2022-09-27T11:55:29.88" personId="{6C125938-9960-8A67-C187-C0FFB9AFFD0A}" id="{5AB363FB-49C2-D042-BB71-CDE53FA548D8}">
    <text xml:space="preserve">Sehr große Unterschiede zu den beiden unteren Werten
</text>
  </threadedComment>
  <threadedComment ref="G92" dT="2022-09-29T12:57:19.92" personId="{6C125938-9960-8A67-C187-C0FFB9AFFD0A}" id="{4959DAEF-1EAF-4042-BE8C-75157101C684}" parentId="{5AB363FB-49C2-D042-BB71-CDE53FA548D8}">
    <text xml:space="preserve">-&gt; Fehler?
</text>
  </threadedComment>
  <threadedComment ref="M93" dT="2022-10-31T11:21:19.51" personId="{6C125938-9960-8A67-C187-C0FFB9AFFD0A}" id="{0F1A4AEE-FD20-0E4C-A85F-EB620296EC2D}">
    <text xml:space="preserve">Konstant zu 2050 angenommen, da Werte sonst bei Extrapolation schon zu niedrig
</text>
  </threadedComment>
  <threadedComment ref="T93" dT="2022-10-31T11:35:35.89" personId="{6C125938-9960-8A67-C187-C0FFB9AFFD0A}" id="{2FA6D1D2-C082-7B4E-9A59-7296C139482A}">
    <text xml:space="preserve">Konstant zu 2050 angenommen, da Werte sonst bei Extrapolation schon zu niedrig
</text>
  </threadedComment>
  <threadedComment ref="AO93" dT="2022-10-31T11:53:15.74" personId="{6C125938-9960-8A67-C187-C0FFB9AFFD0A}" id="{56466D17-5272-B645-9CEE-88FF128E5ADE}">
    <text xml:space="preserve">Konstant zu 2050 angenommen, weil Extrapolation hätte Wert über 100 ergeben
</text>
  </threadedComment>
  <threadedComment ref="M94" dT="2022-10-31T11:21:26.33" personId="{6C125938-9960-8A67-C187-C0FFB9AFFD0A}" id="{B52C1679-F81C-2346-B00E-EE6353453527}">
    <text xml:space="preserve">Konstant zu 2050 angenommen, da Werte sonst bei Extrapolation schon zu niedrig
</text>
  </threadedComment>
  <threadedComment ref="T94" dT="2022-10-31T11:35:42.52" personId="{6C125938-9960-8A67-C187-C0FFB9AFFD0A}" id="{1AB813E6-59CF-1549-939D-98A93C607CEC}">
    <text xml:space="preserve">Konstant zu 2050 angenommen, da Werte sonst bei Extrapolation schon zu niedrig
</text>
  </threadedComment>
  <threadedComment ref="G98" dT="2022-09-27T11:55:47.57" personId="{6C125938-9960-8A67-C187-C0FFB9AFFD0A}" id="{1763F9D3-2AB3-7D45-A190-A24820F7DC0C}">
    <text xml:space="preserve">Sehr große Unterschiede zu den beiden unteren Werten
</text>
  </threadedComment>
  <threadedComment ref="M99" dT="2022-10-31T11:21:39.45" personId="{6C125938-9960-8A67-C187-C0FFB9AFFD0A}" id="{A3E7BE38-9DC1-D640-A388-319FB5817776}">
    <text xml:space="preserve">Konstant zu 2050 angenommen, da Werte sonst bei Extrapolation schon zu niedrig
</text>
  </threadedComment>
  <threadedComment ref="T99" dT="2022-10-31T11:35:56.21" personId="{6C125938-9960-8A67-C187-C0FFB9AFFD0A}" id="{F59E8E43-2713-204B-969D-DDD0156B317C}">
    <text xml:space="preserve">Konstant zu 2050 angenommen, da Werte sonst bei Extrapolation schon zu niedrig
</text>
  </threadedComment>
  <threadedComment ref="M100" dT="2022-10-31T11:21:47.28" personId="{6C125938-9960-8A67-C187-C0FFB9AFFD0A}" id="{1B1118F0-576C-F146-809E-13C50F4A3CAB}">
    <text xml:space="preserve">Konstant zu 2050 angenommen, da Werte sonst bei Extrapolation schon zu niedrig
</text>
  </threadedComment>
  <threadedComment ref="T100" dT="2022-10-31T11:36:01.62" personId="{6C125938-9960-8A67-C187-C0FFB9AFFD0A}" id="{91AECD63-6231-864B-9585-399103D7507F}">
    <text xml:space="preserve">Konstant zu 2050 angenommen, da Werte sonst bei Extrapolation schon zu niedrig
</text>
  </threadedComment>
  <threadedComment ref="G108" dT="2022-09-29T13:04:48.64" personId="{6C125938-9960-8A67-C187-C0FFB9AFFD0A}" id="{56CD1E7A-2B25-6F45-9C96-3101E9AE0342}">
    <text xml:space="preserve">Formel in Abhängigkeit der Leistung
15000*Pel[kW]^0,6089*2,5
</text>
  </threadedComment>
  <threadedComment ref="G113" dT="2022-08-05T06:38:55.08" personId="{21D7BAEC-D017-5906-7CAA-A8633FF115EF}" id="{D8C0F6A4-6DB6-1A4D-8C39-AD1AA36FD103}">
    <text xml:space="preserve">keine Anlagengröße angegeben
</text>
  </threadedComment>
  <threadedComment ref="G113" dT="2022-08-05T07:47:37.15" personId="{21D7BAEC-D017-5906-7CAA-A8633FF115EF}" id="{F13B0BC1-247F-7844-9A97-F81D7B018C79}" parentId="{D8C0F6A4-6DB6-1A4D-8C39-AD1AA36FD103}">
    <text xml:space="preserve">Umrechnung von tH2/a in kWH2 -&gt; (1000kg*33,33kWh/kg/(8760h)) = 3,805 kW
</text>
  </threadedComment>
  <threadedComment ref="G114" dT="2022-08-05T07:49:33.19" personId="{21D7BAEC-D017-5906-7CAA-A8633FF115EF}" id="{979E6E1B-FA84-5143-8CBB-3448488C2A49}">
    <text xml:space="preserve">Anlagengröße: 260ktH2/a=712,33t/d
</text>
  </threadedComment>
  <threadedComment ref="G115" dT="2022-08-05T07:28:00.89" personId="{21D7BAEC-D017-5906-7CAA-A8633FF115EF}" id="{4C5508E9-F495-D94C-8E71-115DCA6B7900}">
    <text xml:space="preserve">Formel in Abhängigkeit der Anlagengröße -&gt; x [t/d]
</text>
  </threadedComment>
  <threadedComment ref="G115" dT="2022-09-29T13:05:08.58" personId="{6C125938-9960-8A67-C187-C0FFB9AFFD0A}" id="{CE6BAF84-0071-A349-80E6-23B6389FCF67}" parentId="{4C5508E9-F495-D94C-8E71-115DCA6B7900}">
    <text xml:space="preserve">=((105*10^6)*(x/50)^0,66)/(x*365)/3,805
</text>
  </threadedComment>
  <threadedComment ref="I115" dT="2022-09-29T13:05:37.01" personId="{6C125938-9960-8A67-C187-C0FFB9AFFD0A}" id="{997BE85F-905D-5345-8351-AC26DC459819}">
    <text xml:space="preserve">=((105*10^6)*(x/50)^0,66)/(x*365)/3,805
</text>
  </threadedComment>
  <threadedComment ref="L115" dT="2022-09-29T13:05:52.47" personId="{6C125938-9960-8A67-C187-C0FFB9AFFD0A}" id="{711C9DEB-B226-8A4D-9A45-DFDC03F1BE77}">
    <text xml:space="preserve">=((105*10^6)*(x/50)^0,66)/(x*365)/3,805
</text>
  </threadedComment>
  <threadedComment ref="M116" dT="2022-10-31T11:02:55.69" personId="{6C125938-9960-8A67-C187-C0FFB9AFFD0A}" id="{E0E36033-4D57-644C-B682-DCF3F401C184}">
    <text xml:space="preserve">Konstant zu 2050 angenommen, da Werte sonst bei Extrapolation schon zu niedrig
</text>
  </threadedComment>
  <threadedComment ref="T116" dT="2022-10-31T11:27:33.36" personId="{6C125938-9960-8A67-C187-C0FFB9AFFD0A}" id="{F2251FE6-929A-594D-986E-D9695AA5303B}">
    <text xml:space="preserve">Konstant zu 2050 angenommen, da Werte sonst bei Extrapolation schon zu niedrig
</text>
  </threadedComment>
  <threadedComment ref="M117" dT="2022-10-31T11:03:01.59" personId="{6C125938-9960-8A67-C187-C0FFB9AFFD0A}" id="{B9EF4808-02DC-A24E-9C46-ACFE97E79DD3}">
    <text xml:space="preserve">Konstant zu 2050 angenommen, da Werte sonst bei Extrapolation schon zu niedrig
</text>
  </threadedComment>
  <threadedComment ref="T117" dT="2022-10-31T11:27:39.50" personId="{6C125938-9960-8A67-C187-C0FFB9AFFD0A}" id="{97039D38-14FF-EC43-B986-8A05A759FDEE}">
    <text xml:space="preserve">Konstant zu 2050 angenommen, da Werte sonst bei Extrapolation schon zu niedrig
</text>
  </threadedComment>
  <threadedComment ref="M118" dT="2022-10-31T11:03:12.59" personId="{6C125938-9960-8A67-C187-C0FFB9AFFD0A}" id="{BAA6D250-B977-0746-9F6C-F4D93A0AF781}">
    <text xml:space="preserve">Konstant zu 2050 angenommen, da Werte sonst bei Extrapolation schon zu niedrig
</text>
  </threadedComment>
  <threadedComment ref="T118" dT="2022-10-31T11:27:45.56" personId="{6C125938-9960-8A67-C187-C0FFB9AFFD0A}" id="{3636DAA4-0D1E-DB43-BB6E-42469F3FC2BC}">
    <text xml:space="preserve">Konstant zu 2050 angenommen, da Werte sonst bei Extrapolation schon zu niedrig
</text>
  </threadedComment>
  <threadedComment ref="M122" dT="2022-10-31T11:05:00.68" personId="{6C125938-9960-8A67-C187-C0FFB9AFFD0A}" id="{C92EE616-4982-2842-938D-96F33AFA57EF}">
    <text xml:space="preserve">Konstant zu 2050 angenommen, da Werte sonst bei Extrapolation schon zu niedrig
</text>
  </threadedComment>
  <threadedComment ref="T122" dT="2022-10-31T11:29:13.35" personId="{6C125938-9960-8A67-C187-C0FFB9AFFD0A}" id="{DFF43358-2E43-BD47-9AAD-FD4FAD363FAD}">
    <text xml:space="preserve">Konstant zu 2050 angenommen, da Werte sonst bei Extrapolation schon zu niedrig
</text>
  </threadedComment>
  <threadedComment ref="M123" dT="2022-10-31T11:05:07.30" personId="{6C125938-9960-8A67-C187-C0FFB9AFFD0A}" id="{E483DF9E-8D64-F54E-A39E-98AE625B4D0E}">
    <text xml:space="preserve">Konstant zu 2050 angenommen, da Werte sonst bei Extrapolation schon zu niedrig
</text>
  </threadedComment>
  <threadedComment ref="T123" dT="2022-10-31T11:29:20.23" personId="{6C125938-9960-8A67-C187-C0FFB9AFFD0A}" id="{2E1C1A2C-8426-AF43-844B-A54DD614A4F0}">
    <text xml:space="preserve">Konstant zu 2050 angenommen, da Werte sonst bei Extrapolation schon zu niedrig
</text>
  </threadedComment>
  <threadedComment ref="M128" dT="2022-10-31T11:07:06.07" personId="{6C125938-9960-8A67-C187-C0FFB9AFFD0A}" id="{6097AC75-C1C2-6741-ADD5-2A7626E85D53}">
    <text xml:space="preserve">Konstant zu 2050 angenommen, da Werte sonst bei Extrapolation schon zu niedrig
</text>
  </threadedComment>
  <threadedComment ref="T128" dT="2022-10-31T11:31:04.01" personId="{6C125938-9960-8A67-C187-C0FFB9AFFD0A}" id="{568BB090-7602-0346-A4CE-AD4A9D371457}">
    <text xml:space="preserve">Konstant zu 2050 angenommen, da Werte sonst bei Extrapolation schon zu niedrig
</text>
  </threadedComment>
  <threadedComment ref="G133" dT="2022-08-05T08:39:57.14" personId="{21D7BAEC-D017-5906-7CAA-A8633FF115EF}" id="{4DA177AA-2034-E94E-A816-751FDC135CE5}">
    <text xml:space="preserve">945 $2017/tNH3 (Einheiten! -&gt; hier nicht pro Leistung)
</text>
  </threadedComment>
  <threadedComment ref="I133" dT="2022-08-05T08:41:13.37" personId="{21D7BAEC-D017-5906-7CAA-A8633FF115EF}" id="{AC6F8B7C-A53D-FE43-88CF-88AC32C733E2}">
    <text xml:space="preserve">855 $2017/tNH3 (Einheiten! -&gt; hier nicht pro Leistung)
</text>
  </threadedComment>
  <threadedComment ref="L133" dT="2022-08-05T08:41:20.78" personId="{21D7BAEC-D017-5906-7CAA-A8633FF115EF}" id="{75AE8919-A63C-8E49-876E-7F0DA4DA39B6}">
    <text xml:space="preserve">760 $2017/tNH3 (Einheiten! -&gt; hier nicht pro Leistung)
</text>
  </threadedComment>
  <threadedComment ref="N133" dT="2022-09-29T13:12:22.26" personId="{6C125938-9960-8A67-C187-C0FFB9AFFD0A}" id="{54503B82-C740-5E41-9F53-4405FC2B01A7}">
    <text xml:space="preserve">Verändert sich noch, sobald etwas in F24 eingetragen wird
</text>
  </threadedComment>
  <threadedComment ref="M134" dT="2022-10-31T11:19:31.67" personId="{6C125938-9960-8A67-C187-C0FFB9AFFD0A}" id="{401FCDEE-92E9-7A4F-86CD-4115572C64E7}">
    <text xml:space="preserve">Konstant zu 2050 angenommen, da Werte sonst bei Extrapolation schon zu niedrig
</text>
  </threadedComment>
  <threadedComment ref="T134" dT="2022-10-31T11:32:25.95" personId="{6C125938-9960-8A67-C187-C0FFB9AFFD0A}" id="{192759A8-7BA9-DA4A-9B80-B62E23F1365C}">
    <text xml:space="preserve">Konstant zu 2050 angenommen, da Werte sonst bei Extrapolation schon zu niedrig
</text>
  </threadedComment>
  <threadedComment ref="M135" dT="2022-10-31T11:19:39.58" personId="{6C125938-9960-8A67-C187-C0FFB9AFFD0A}" id="{3D85E109-AD95-1E40-BF42-2A91724DF4CC}">
    <text xml:space="preserve">Konstant zu 2050 angenommen, da Werte sonst bei Extrapolation schon zu niedrig
</text>
  </threadedComment>
  <threadedComment ref="T135" dT="2022-10-31T11:32:31.69" personId="{6C125938-9960-8A67-C187-C0FFB9AFFD0A}" id="{8FFAEA68-2EA4-C445-90C9-EC22D468FAD6}">
    <text xml:space="preserve">Konstant zu 2050 angenommen, da Werte sonst bei Extrapolation schon zu niedrig
</text>
  </threadedComment>
  <threadedComment ref="M140" dT="2022-10-31T11:21:01.06" personId="{6C125938-9960-8A67-C187-C0FFB9AFFD0A}" id="{6BF198EC-25C4-6B4D-84DD-664EDDD53356}">
    <text xml:space="preserve">Konstant zu 2050 angenommen, da Werte sonst bei Extrapolation schon zu niedrig
</text>
  </threadedComment>
  <threadedComment ref="T140" dT="2022-10-31T11:35:00.88" personId="{6C125938-9960-8A67-C187-C0FFB9AFFD0A}" id="{3679B352-15BF-0041-BF74-451BA9A7A36C}">
    <text xml:space="preserve">Konstant zu 2050 angenommen, da Werte sonst bei Extrapolation schon zu niedrig
</text>
  </threadedComment>
  <threadedComment ref="M141" dT="2022-10-31T11:21:07.30" personId="{6C125938-9960-8A67-C187-C0FFB9AFFD0A}" id="{83B2E9E0-8F25-BB41-AE22-4C211DE9FC5B}">
    <text xml:space="preserve">Konstant zu 2050 angenommen, da Werte sonst bei Extrapolation schon zu niedrig
</text>
  </threadedComment>
  <threadedComment ref="T141" dT="2022-10-31T11:35:06.23" personId="{6C125938-9960-8A67-C187-C0FFB9AFFD0A}" id="{9F500D63-6E9F-7A47-B660-7C9284969F5D}">
    <text xml:space="preserve">Konstant zu 2050 angenommen, da Werte sonst bei Extrapolation schon zu niedrig
</text>
  </threadedComment>
  <threadedComment ref="T142" dT="2022-10-31T11:35:12.13" personId="{6C125938-9960-8A67-C187-C0FFB9AFFD0A}" id="{E9A700C3-E2F5-954A-9278-5FE07CCC5907}">
    <text xml:space="preserve">Konstant zu 2050 angenommen, da Werte sonst bei Extrapolation schon zu niedrig
</text>
  </threadedComment>
  <threadedComment ref="G146" dT="2022-08-05T09:17:26.64" personId="{21D7BAEC-D017-5906-7CAA-A8633FF115EF}" id="{997898F1-730F-C043-A726-89E8D1AFC19A}">
    <text xml:space="preserve">Tol: 11kWh/kg -&gt; 1tTol/a=(1000kg*11kWh/kg)/8760h=1,256kW
</text>
  </threadedComment>
  <threadedComment ref="G146" dT="2022-09-29T12:57:05.52" personId="{6C125938-9960-8A67-C187-C0FFB9AFFD0A}" id="{02A1403C-230E-144C-A606-B8CA76716E31}" parentId="{997898F1-730F-C043-A726-89E8D1AFC19A}">
    <text xml:space="preserve">Sehr große Unterschiede zu den beiden unteren Werten -&gt; Fehler?
</text>
  </threadedComment>
  <threadedComment ref="G147" dT="2022-09-27T11:55:29.88" personId="{6C125938-9960-8A67-C187-C0FFB9AFFD0A}" id="{37292871-D5F7-D248-94EE-5A2F7138C058}">
    <text xml:space="preserve">Sehr große Unterschiede zu den beiden unteren Werten
</text>
  </threadedComment>
  <threadedComment ref="G147" dT="2022-09-29T12:57:19.92" personId="{6C125938-9960-8A67-C187-C0FFB9AFFD0A}" id="{11DE72A2-E49F-C245-AE0D-47F1010899D9}" parentId="{37292871-D5F7-D248-94EE-5A2F7138C058}">
    <text xml:space="preserve">-&gt; Fehler?
</text>
  </threadedComment>
  <threadedComment ref="M148" dT="2022-10-31T11:21:19.51" personId="{6C125938-9960-8A67-C187-C0FFB9AFFD0A}" id="{FAC0BDCB-F0A6-1748-B71E-44A1731DF7BA}">
    <text xml:space="preserve">Konstant zu 2050 angenommen, da Werte sonst bei Extrapolation schon zu niedrig
</text>
  </threadedComment>
  <threadedComment ref="T148" dT="2022-10-31T11:35:35.89" personId="{6C125938-9960-8A67-C187-C0FFB9AFFD0A}" id="{E96CFA05-0B9A-6646-8ACD-5F10961FBDAC}">
    <text xml:space="preserve">Konstant zu 2050 angenommen, da Werte sonst bei Extrapolation schon zu niedrig
</text>
  </threadedComment>
  <threadedComment ref="AO148" dT="2022-10-31T11:53:15.74" personId="{6C125938-9960-8A67-C187-C0FFB9AFFD0A}" id="{470E5CB8-66A3-EB48-9C2E-2AFC11419006}">
    <text xml:space="preserve">Konstant zu 2050 angenommen, weil Extrapolation hätte Wert über 100 ergeben
</text>
  </threadedComment>
  <threadedComment ref="M149" dT="2022-10-31T11:21:26.33" personId="{6C125938-9960-8A67-C187-C0FFB9AFFD0A}" id="{11A7B044-2877-4E49-89E1-D3FC25676842}">
    <text xml:space="preserve">Konstant zu 2050 angenommen, da Werte sonst bei Extrapolation schon zu niedrig
</text>
  </threadedComment>
  <threadedComment ref="T149" dT="2022-10-31T11:35:42.52" personId="{6C125938-9960-8A67-C187-C0FFB9AFFD0A}" id="{7B231529-4CA8-3C4F-A6E1-5AC27EC277DF}">
    <text xml:space="preserve">Konstant zu 2050 angenommen, da Werte sonst bei Extrapolation schon zu niedrig
</text>
  </threadedComment>
  <threadedComment ref="G153" dT="2022-09-27T11:55:47.57" personId="{6C125938-9960-8A67-C187-C0FFB9AFFD0A}" id="{2EC5F6E6-B63E-8547-B795-6E88872F6892}">
    <text xml:space="preserve">Sehr große Unterschiede zu den beiden unteren Werten
</text>
  </threadedComment>
  <threadedComment ref="M154" dT="2022-10-31T11:21:39.45" personId="{6C125938-9960-8A67-C187-C0FFB9AFFD0A}" id="{D46DA047-251B-7545-A556-A485B44386DB}">
    <text xml:space="preserve">Konstant zu 2050 angenommen, da Werte sonst bei Extrapolation schon zu niedrig
</text>
  </threadedComment>
  <threadedComment ref="T154" dT="2022-10-31T11:35:56.21" personId="{6C125938-9960-8A67-C187-C0FFB9AFFD0A}" id="{A8A2096B-9DDA-C946-8FB9-BDCDF3D3A604}">
    <text xml:space="preserve">Konstant zu 2050 angenommen, da Werte sonst bei Extrapolation schon zu niedrig
</text>
  </threadedComment>
  <threadedComment ref="M155" dT="2022-10-31T11:21:47.28" personId="{6C125938-9960-8A67-C187-C0FFB9AFFD0A}" id="{D33735AA-7766-1446-B5F4-E02C4B3E66C4}">
    <text xml:space="preserve">Konstant zu 2050 angenommen, da Werte sonst bei Extrapolation schon zu niedrig
</text>
  </threadedComment>
  <threadedComment ref="T155" dT="2022-10-31T11:36:01.62" personId="{6C125938-9960-8A67-C187-C0FFB9AFFD0A}" id="{C6838838-3C4C-7344-85C2-885A0A422F0F}">
    <text xml:space="preserve">Konstant zu 2050 angenommen, da Werte sonst bei Extrapolation schon zu niedrig
</text>
  </threadedComment>
  <threadedComment ref="G163" dT="2022-09-29T13:04:48.64" personId="{6C125938-9960-8A67-C187-C0FFB9AFFD0A}" id="{C0849C34-778F-4245-B02C-19145FC84868}">
    <text xml:space="preserve">Formel in Abhängigkeit der Leistung
15000*Pel[kW]^0,6089*2,5
</text>
  </threadedComment>
  <threadedComment ref="G168" dT="2022-08-05T06:38:55.08" personId="{21D7BAEC-D017-5906-7CAA-A8633FF115EF}" id="{BB7CCF7A-1849-6D4E-962E-7F574A5B43BF}">
    <text xml:space="preserve">keine Anlagengröße angegeben
</text>
  </threadedComment>
  <threadedComment ref="G168" dT="2022-08-05T07:47:37.15" personId="{21D7BAEC-D017-5906-7CAA-A8633FF115EF}" id="{3BA61DD4-9691-0A45-A99B-23C33F71A0CF}" parentId="{BB7CCF7A-1849-6D4E-962E-7F574A5B43BF}">
    <text xml:space="preserve">Umrechnung von tH2/a in kWH2 -&gt; (1000kg*33,33kWh/kg/(8760h)) = 3,805 kW
</text>
  </threadedComment>
  <threadedComment ref="G169" dT="2022-08-05T07:49:33.19" personId="{21D7BAEC-D017-5906-7CAA-A8633FF115EF}" id="{54F19FD6-EDD8-924B-8185-987BBC86B18A}">
    <text xml:space="preserve">Anlagengröße: 260ktH2/a=712,33t/d
</text>
  </threadedComment>
  <threadedComment ref="G170" dT="2022-08-05T07:28:00.89" personId="{21D7BAEC-D017-5906-7CAA-A8633FF115EF}" id="{DDE5E225-DD97-714C-A8F2-944CAC70B817}">
    <text xml:space="preserve">Formel in Abhängigkeit der Anlagengröße -&gt; x [t/d]
</text>
  </threadedComment>
  <threadedComment ref="G170" dT="2022-09-29T13:05:08.58" personId="{6C125938-9960-8A67-C187-C0FFB9AFFD0A}" id="{4820BB1B-E313-264F-8B4D-CBD280587180}" parentId="{DDE5E225-DD97-714C-A8F2-944CAC70B817}">
    <text xml:space="preserve">=((105*10^6)*(x/50)^0,66)/(x*365)/3,805
</text>
  </threadedComment>
  <threadedComment ref="I170" dT="2022-09-29T13:05:37.01" personId="{6C125938-9960-8A67-C187-C0FFB9AFFD0A}" id="{1AE164A5-8882-4C46-9597-4113C7C308EC}">
    <text xml:space="preserve">=((105*10^6)*(x/50)^0,66)/(x*365)/3,805
</text>
  </threadedComment>
  <threadedComment ref="L170" dT="2022-09-29T13:05:52.47" personId="{6C125938-9960-8A67-C187-C0FFB9AFFD0A}" id="{A84A3754-ED66-EB4C-BB93-0EABD9FBB7A4}">
    <text xml:space="preserve">=((105*10^6)*(x/50)^0,66)/(x*365)/3,805
</text>
  </threadedComment>
  <threadedComment ref="M171" dT="2022-10-31T11:02:55.69" personId="{6C125938-9960-8A67-C187-C0FFB9AFFD0A}" id="{16971806-BABD-FA43-B3D4-E50697E3905C}">
    <text xml:space="preserve">Konstant zu 2050 angenommen, da Werte sonst bei Extrapolation schon zu niedrig
</text>
  </threadedComment>
  <threadedComment ref="T171" dT="2022-10-31T11:27:33.36" personId="{6C125938-9960-8A67-C187-C0FFB9AFFD0A}" id="{997BCEAA-F62E-9845-98E0-51E3114EC430}">
    <text xml:space="preserve">Konstant zu 2050 angenommen, da Werte sonst bei Extrapolation schon zu niedrig
</text>
  </threadedComment>
  <threadedComment ref="M172" dT="2022-10-31T11:03:01.59" personId="{6C125938-9960-8A67-C187-C0FFB9AFFD0A}" id="{8551CD8D-96E1-F045-9931-F35958DC47ED}">
    <text xml:space="preserve">Konstant zu 2050 angenommen, da Werte sonst bei Extrapolation schon zu niedrig
</text>
  </threadedComment>
  <threadedComment ref="T172" dT="2022-10-31T11:27:39.50" personId="{6C125938-9960-8A67-C187-C0FFB9AFFD0A}" id="{9E74153F-FD36-4D48-9BB4-CAF0AC87F649}">
    <text xml:space="preserve">Konstant zu 2050 angenommen, da Werte sonst bei Extrapolation schon zu niedrig
</text>
  </threadedComment>
  <threadedComment ref="M173" dT="2022-10-31T11:03:12.59" personId="{6C125938-9960-8A67-C187-C0FFB9AFFD0A}" id="{845ED60C-8BE5-8B4F-8A23-E1E9729E2682}">
    <text xml:space="preserve">Konstant zu 2050 angenommen, da Werte sonst bei Extrapolation schon zu niedrig
</text>
  </threadedComment>
  <threadedComment ref="T173" dT="2022-10-31T11:27:45.56" personId="{6C125938-9960-8A67-C187-C0FFB9AFFD0A}" id="{D049AB3F-C713-194B-8691-0C6EEF215EF4}">
    <text xml:space="preserve">Konstant zu 2050 angenommen, da Werte sonst bei Extrapolation schon zu niedrig
</text>
  </threadedComment>
  <threadedComment ref="M177" dT="2022-10-31T11:05:00.68" personId="{6C125938-9960-8A67-C187-C0FFB9AFFD0A}" id="{041FE3C0-3F92-1E4F-8DA9-CD019C2B1EA6}">
    <text xml:space="preserve">Konstant zu 2050 angenommen, da Werte sonst bei Extrapolation schon zu niedrig
</text>
  </threadedComment>
  <threadedComment ref="T177" dT="2022-10-31T11:29:13.35" personId="{6C125938-9960-8A67-C187-C0FFB9AFFD0A}" id="{CE5CEF2A-2C16-5543-9D87-116B3173CC2D}">
    <text xml:space="preserve">Konstant zu 2050 angenommen, da Werte sonst bei Extrapolation schon zu niedrig
</text>
  </threadedComment>
  <threadedComment ref="M178" dT="2022-10-31T11:05:07.30" personId="{6C125938-9960-8A67-C187-C0FFB9AFFD0A}" id="{69D6C04D-13D9-CB45-9BBF-EB277D66ECA0}">
    <text xml:space="preserve">Konstant zu 2050 angenommen, da Werte sonst bei Extrapolation schon zu niedrig
</text>
  </threadedComment>
  <threadedComment ref="T178" dT="2022-10-31T11:29:20.23" personId="{6C125938-9960-8A67-C187-C0FFB9AFFD0A}" id="{4A17C279-D4FB-D845-8BB4-B5D00C21C880}">
    <text xml:space="preserve">Konstant zu 2050 angenommen, da Werte sonst bei Extrapolation schon zu niedrig
</text>
  </threadedComment>
  <threadedComment ref="M183" dT="2022-10-31T11:07:06.07" personId="{6C125938-9960-8A67-C187-C0FFB9AFFD0A}" id="{325F2E30-4438-D947-B85B-0F8087234FF5}">
    <text xml:space="preserve">Konstant zu 2050 angenommen, da Werte sonst bei Extrapolation schon zu niedrig
</text>
  </threadedComment>
  <threadedComment ref="T183" dT="2022-10-31T11:31:04.01" personId="{6C125938-9960-8A67-C187-C0FFB9AFFD0A}" id="{8A920346-3C20-9042-998D-953C47CF89B2}">
    <text xml:space="preserve">Konstant zu 2050 angenommen, da Werte sonst bei Extrapolation schon zu niedrig
</text>
  </threadedComment>
  <threadedComment ref="G188" dT="2022-08-05T08:39:57.14" personId="{21D7BAEC-D017-5906-7CAA-A8633FF115EF}" id="{F678DA7A-42FC-DF4E-BF2E-9883EA970421}">
    <text xml:space="preserve">945 $2017/tNH3 (Einheiten! -&gt; hier nicht pro Leistung)
</text>
  </threadedComment>
  <threadedComment ref="I188" dT="2022-08-05T08:41:13.37" personId="{21D7BAEC-D017-5906-7CAA-A8633FF115EF}" id="{141B2356-B6A4-7E49-AA58-3E64DE8864BF}">
    <text xml:space="preserve">855 $2017/tNH3 (Einheiten! -&gt; hier nicht pro Leistung)
</text>
  </threadedComment>
  <threadedComment ref="L188" dT="2022-08-05T08:41:20.78" personId="{21D7BAEC-D017-5906-7CAA-A8633FF115EF}" id="{ABB97456-D50C-D045-AEF1-6A0F3C7DC7C0}">
    <text xml:space="preserve">760 $2017/tNH3 (Einheiten! -&gt; hier nicht pro Leistung)
</text>
  </threadedComment>
  <threadedComment ref="N188" dT="2022-09-29T13:12:22.26" personId="{6C125938-9960-8A67-C187-C0FFB9AFFD0A}" id="{E8B55229-6C63-9445-A18A-5C2F2578D1B5}">
    <text xml:space="preserve">Verändert sich noch, sobald etwas in F24 eingetragen wird
</text>
  </threadedComment>
  <threadedComment ref="M189" dT="2022-10-31T11:19:31.67" personId="{6C125938-9960-8A67-C187-C0FFB9AFFD0A}" id="{59E1249D-A15D-A04B-944F-639E32900EBB}">
    <text xml:space="preserve">Konstant zu 2050 angenommen, da Werte sonst bei Extrapolation schon zu niedrig
</text>
  </threadedComment>
  <threadedComment ref="T189" dT="2022-10-31T11:32:25.95" personId="{6C125938-9960-8A67-C187-C0FFB9AFFD0A}" id="{23A1E3B6-08F1-BE43-86D5-AD48E5BF99EE}">
    <text xml:space="preserve">Konstant zu 2050 angenommen, da Werte sonst bei Extrapolation schon zu niedrig
</text>
  </threadedComment>
  <threadedComment ref="M190" dT="2022-10-31T11:19:39.58" personId="{6C125938-9960-8A67-C187-C0FFB9AFFD0A}" id="{A331ACC6-84C2-984C-90C6-1B3C6B22D98D}">
    <text xml:space="preserve">Konstant zu 2050 angenommen, da Werte sonst bei Extrapolation schon zu niedrig
</text>
  </threadedComment>
  <threadedComment ref="T190" dT="2022-10-31T11:32:31.69" personId="{6C125938-9960-8A67-C187-C0FFB9AFFD0A}" id="{7D68AFD8-FC66-1942-9527-E9C935A3B585}">
    <text xml:space="preserve">Konstant zu 2050 angenommen, da Werte sonst bei Extrapolation schon zu niedrig
</text>
  </threadedComment>
  <threadedComment ref="M195" dT="2022-10-31T11:21:01.06" personId="{6C125938-9960-8A67-C187-C0FFB9AFFD0A}" id="{DCADDA61-1DE6-2240-BA65-587C714C4C11}">
    <text xml:space="preserve">Konstant zu 2050 angenommen, da Werte sonst bei Extrapolation schon zu niedrig
</text>
  </threadedComment>
  <threadedComment ref="T195" dT="2022-10-31T11:35:00.88" personId="{6C125938-9960-8A67-C187-C0FFB9AFFD0A}" id="{BA260CAC-BB09-5740-8311-6756C2378086}">
    <text xml:space="preserve">Konstant zu 2050 angenommen, da Werte sonst bei Extrapolation schon zu niedrig
</text>
  </threadedComment>
  <threadedComment ref="M196" dT="2022-10-31T11:21:07.30" personId="{6C125938-9960-8A67-C187-C0FFB9AFFD0A}" id="{56075B3E-3BCE-0D4B-8EC3-D8CA11D4431D}">
    <text xml:space="preserve">Konstant zu 2050 angenommen, da Werte sonst bei Extrapolation schon zu niedrig
</text>
  </threadedComment>
  <threadedComment ref="T196" dT="2022-10-31T11:35:06.23" personId="{6C125938-9960-8A67-C187-C0FFB9AFFD0A}" id="{8CAF7D23-9A24-6948-8DF8-026AC0C0C6BC}">
    <text xml:space="preserve">Konstant zu 2050 angenommen, da Werte sonst bei Extrapolation schon zu niedrig
</text>
  </threadedComment>
  <threadedComment ref="T197" dT="2022-10-31T11:35:12.13" personId="{6C125938-9960-8A67-C187-C0FFB9AFFD0A}" id="{7FF7A91C-6E68-FA4B-B505-C1402E813543}">
    <text xml:space="preserve">Konstant zu 2050 angenommen, da Werte sonst bei Extrapolation schon zu niedrig
</text>
  </threadedComment>
  <threadedComment ref="G201" dT="2022-08-05T09:17:26.64" personId="{21D7BAEC-D017-5906-7CAA-A8633FF115EF}" id="{95355B7F-A588-2A41-82B1-02A169A3B4D6}">
    <text xml:space="preserve">Tol: 11kWh/kg -&gt; 1tTol/a=(1000kg*11kWh/kg)/8760h=1,256kW
</text>
  </threadedComment>
  <threadedComment ref="G201" dT="2022-09-29T12:57:05.52" personId="{6C125938-9960-8A67-C187-C0FFB9AFFD0A}" id="{92089C37-3F2A-6747-AF3B-38764A531C9F}" parentId="{95355B7F-A588-2A41-82B1-02A169A3B4D6}">
    <text xml:space="preserve">Sehr große Unterschiede zu den beiden unteren Werten -&gt; Fehler?
</text>
  </threadedComment>
  <threadedComment ref="G202" dT="2022-09-27T11:55:29.88" personId="{6C125938-9960-8A67-C187-C0FFB9AFFD0A}" id="{7359CFCF-4EDC-294B-99E3-D12E50211E4C}">
    <text xml:space="preserve">Sehr große Unterschiede zu den beiden unteren Werten
</text>
  </threadedComment>
  <threadedComment ref="G202" dT="2022-09-29T12:57:19.92" personId="{6C125938-9960-8A67-C187-C0FFB9AFFD0A}" id="{FB7BC4B9-AEBD-F345-83AB-C64552B57698}" parentId="{7359CFCF-4EDC-294B-99E3-D12E50211E4C}">
    <text xml:space="preserve">-&gt; Fehler?
</text>
  </threadedComment>
  <threadedComment ref="M203" dT="2022-10-31T11:21:19.51" personId="{6C125938-9960-8A67-C187-C0FFB9AFFD0A}" id="{0D7BCA49-3EBF-CA46-9F6B-5C5C308F8157}">
    <text xml:space="preserve">Konstant zu 2050 angenommen, da Werte sonst bei Extrapolation schon zu niedrig
</text>
  </threadedComment>
  <threadedComment ref="T203" dT="2022-10-31T11:35:35.89" personId="{6C125938-9960-8A67-C187-C0FFB9AFFD0A}" id="{D3824DB1-6E70-FD40-A652-7717A5BACD46}">
    <text xml:space="preserve">Konstant zu 2050 angenommen, da Werte sonst bei Extrapolation schon zu niedrig
</text>
  </threadedComment>
  <threadedComment ref="AO203" dT="2022-10-31T11:53:15.74" personId="{6C125938-9960-8A67-C187-C0FFB9AFFD0A}" id="{4E420A7F-CF38-9147-8C31-A3230BEACE53}">
    <text xml:space="preserve">Konstant zu 2050 angenommen, weil Extrapolation hätte Wert über 100 ergeben
</text>
  </threadedComment>
  <threadedComment ref="M204" dT="2022-10-31T11:21:26.33" personId="{6C125938-9960-8A67-C187-C0FFB9AFFD0A}" id="{44360A87-2D29-7E47-9A20-71E199755A56}">
    <text xml:space="preserve">Konstant zu 2050 angenommen, da Werte sonst bei Extrapolation schon zu niedrig
</text>
  </threadedComment>
  <threadedComment ref="T204" dT="2022-10-31T11:35:42.52" personId="{6C125938-9960-8A67-C187-C0FFB9AFFD0A}" id="{E7980448-E0FC-8D44-9065-4CAED46888EE}">
    <text xml:space="preserve">Konstant zu 2050 angenommen, da Werte sonst bei Extrapolation schon zu niedrig
</text>
  </threadedComment>
  <threadedComment ref="G208" dT="2022-09-27T11:55:47.57" personId="{6C125938-9960-8A67-C187-C0FFB9AFFD0A}" id="{CBD00FF1-D0DA-294F-AADB-371F7122A5B0}">
    <text xml:space="preserve">Sehr große Unterschiede zu den beiden unteren Werten
</text>
  </threadedComment>
  <threadedComment ref="M209" dT="2022-10-31T11:21:39.45" personId="{6C125938-9960-8A67-C187-C0FFB9AFFD0A}" id="{15D212BA-C0D5-B94D-B536-7DFFD83804F7}">
    <text xml:space="preserve">Konstant zu 2050 angenommen, da Werte sonst bei Extrapolation schon zu niedrig
</text>
  </threadedComment>
  <threadedComment ref="T209" dT="2022-10-31T11:35:56.21" personId="{6C125938-9960-8A67-C187-C0FFB9AFFD0A}" id="{4B75669D-69C7-1A40-8A19-071D1AD0DCF6}">
    <text xml:space="preserve">Konstant zu 2050 angenommen, da Werte sonst bei Extrapolation schon zu niedrig
</text>
  </threadedComment>
  <threadedComment ref="M210" dT="2022-10-31T11:21:47.28" personId="{6C125938-9960-8A67-C187-C0FFB9AFFD0A}" id="{CAF93B95-8AB3-B341-A5EB-5729801B5862}">
    <text xml:space="preserve">Konstant zu 2050 angenommen, da Werte sonst bei Extrapolation schon zu niedrig
</text>
  </threadedComment>
  <threadedComment ref="T210" dT="2022-10-31T11:36:01.62" personId="{6C125938-9960-8A67-C187-C0FFB9AFFD0A}" id="{D162DED5-649B-244B-AB29-EABADF661307}">
    <text xml:space="preserve">Konstant zu 2050 angenommen, da Werte sonst bei Extrapolation schon zu niedrig
</text>
  </threadedComment>
  <threadedComment ref="G218" dT="2022-09-29T13:04:48.64" personId="{6C125938-9960-8A67-C187-C0FFB9AFFD0A}" id="{BD46B9E6-8946-8C4B-B2B7-10096C8288E6}">
    <text xml:space="preserve">Formel in Abhängigkeit der Leistung
15000*Pel[kW]^0,6089*2,5
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I1" dT="2022-08-30T11:22:56.22" personId="{6C125938-9960-8A67-C187-C0FFB9AFFD0A}" id="{6C240BB2-D7E4-084A-8A3A-293812EDF272}">
    <text xml:space="preserve">Boil-off: 0,2%/d 
Manchmal auch Auslastung (utilization) angegeben
</text>
  </threadedComment>
  <threadedComment ref="B3" dT="2022-09-29T15:39:04.67" personId="{6C125938-9960-8A67-C187-C0FFB9AFFD0A}" id="{3A54026C-90A7-1F4B-9A87-4A13D4A1428F}">
    <text xml:space="preserve">Daten ohne wichtige Angaben wie bspw. Durchmesser oder Fließgeschwindigkeit -&gt; daher eher unbrauchbar
</text>
  </threadedComment>
  <threadedComment ref="G4" dT="2022-08-18T11:46:07.96" personId="{21D7BAEC-D017-5906-7CAA-A8633FF115EF}" id="{30E5F5A9-8B2E-44E9-97D6-92DD5350BEAB}">
    <text xml:space="preserve">haben IEA Daten verwendet
</text>
  </threadedComment>
  <threadedComment ref="H4" dT="2022-08-30T08:25:34.63" personId="{6C125938-9960-8A67-C187-C0FFB9AFFD0A}" id="{44983CED-73D3-9248-996A-D966251A5721}">
    <text xml:space="preserve">Gleichbleibende Kosten werden in EWI für die IEA-Daten angenommen
</text>
  </threadedComment>
  <threadedComment ref="G39" dT="2022-08-30T10:59:13.43" personId="{6C125938-9960-8A67-C187-C0FFB9AFFD0A}" id="{E1A9E895-C924-B640-A78F-7CE1E02C8752}">
    <text xml:space="preserve">IEA-Quelle wurde für 2020 als Datengrundlage verwendet
</text>
  </threadedComment>
  <threadedComment ref="M39" dT="2022-10-31T12:47:37.92" personId="{6C125938-9960-8A67-C187-C0FFB9AFFD0A}" id="{8F0B821A-B2DB-9F49-A598-E40414F9F939}">
    <text xml:space="preserve">Konstant zu 2050 angenommen, da Wert sonst sehr klein geworden wäre
</text>
  </threadedComment>
  <threadedComment ref="T39" dT="2022-10-31T12:52:33.76" personId="{6C125938-9960-8A67-C187-C0FFB9AFFD0A}" id="{71742B07-D672-F148-84B5-BF0F3DBE6929}">
    <text xml:space="preserve">Konstant angenommen
</text>
  </threadedComment>
  <threadedComment ref="G45" dT="2022-09-27T12:31:15.32" personId="{6C125938-9960-8A67-C187-C0FFB9AFFD0A}" id="{2E8CA544-97B0-0D4E-8CD0-9CE2DCAFD34D}">
    <text xml:space="preserve">Es wurde mit einem Heizwert von 2 kWh/kg_LOHC gerechnet
https://www.bundestag.de/resource/blob/816048/454e182d5956d45a664da9eb85486f76/WD-8-058-20-pdf-data.pdf
</text>
  </threadedComment>
  <threadedComment ref="I52" dT="2022-09-27T11:13:52.10" personId="{6C125938-9960-8A67-C187-C0FFB9AFFD0A}" id="{AAD7E49A-96AD-3A46-B827-44B26721E9A0}">
    <text xml:space="preserve">Heizwert Ammoniak 5,2 kWh/kg
</text>
  </threadedComment>
  <threadedComment ref="AI58" dT="2022-08-30T11:22:56.22" personId="{6C125938-9960-8A67-C187-C0FFB9AFFD0A}" id="{0AF57AF9-8B03-4244-93FA-0F34171F5E44}">
    <text xml:space="preserve">Boil-off: 0,2%/d 
Manchmal auch Auslastung (utilization) angegeben
</text>
  </threadedComment>
  <threadedComment ref="B60" dT="2022-09-29T15:39:04.67" personId="{6C125938-9960-8A67-C187-C0FFB9AFFD0A}" id="{AE6DDAE7-903B-4988-88B3-9F7596F6D779}">
    <text xml:space="preserve">Daten ohne wichtige Angaben wie bspw. Durchmesser oder Fließgeschwindigkeit -&gt; daher eher unbrauchbar
</text>
  </threadedComment>
  <threadedComment ref="G61" dT="2022-08-18T11:46:07.96" personId="{21D7BAEC-D017-5906-7CAA-A8633FF115EF}" id="{26FE7243-CCE8-884F-8E6A-E747F0F47217}">
    <text xml:space="preserve">haben IEA Daten verwendet
</text>
  </threadedComment>
  <threadedComment ref="H61" dT="2022-08-30T08:25:34.63" personId="{6C125938-9960-8A67-C187-C0FFB9AFFD0A}" id="{A10F4CC7-F9CF-FA4B-9B74-3B9D6D9B55F1}">
    <text xml:space="preserve">Gleichbleibende Kosten werden in EWI für die IEA-Daten angenommen
</text>
  </threadedComment>
  <threadedComment ref="G96" dT="2022-08-30T10:59:13.43" personId="{6C125938-9960-8A67-C187-C0FFB9AFFD0A}" id="{EE74174E-C10C-EB4A-94B2-068770962933}">
    <text xml:space="preserve">IEA-Quelle wurde für 2020 als Datengrundlage verwendet
</text>
  </threadedComment>
  <threadedComment ref="M96" dT="2022-10-31T12:47:37.92" personId="{6C125938-9960-8A67-C187-C0FFB9AFFD0A}" id="{995EE7E1-2BEC-644E-BC7B-B3582E432843}">
    <text xml:space="preserve">Konstant zu 2050 angenommen, da Wert sonst sehr klein geworden wäre
</text>
  </threadedComment>
  <threadedComment ref="T96" dT="2022-10-31T12:52:33.76" personId="{6C125938-9960-8A67-C187-C0FFB9AFFD0A}" id="{7247AA80-F385-6645-89EE-A5806E11FCA0}">
    <text xml:space="preserve">Konstant angenommen
</text>
  </threadedComment>
  <threadedComment ref="G102" dT="2022-09-27T12:31:15.32" personId="{6C125938-9960-8A67-C187-C0FFB9AFFD0A}" id="{97EBFE90-E1CB-EB4E-9122-0D259A0BDD9E}">
    <text xml:space="preserve">Es wurde mit einem Heizwert von 2 kWh/kg_LOHC gerechnet
https://www.bundestag.de/resource/blob/816048/454e182d5956d45a664da9eb85486f76/WD-8-058-20-pdf-data.pdf
</text>
  </threadedComment>
  <threadedComment ref="I109" dT="2022-09-27T11:13:52.10" personId="{6C125938-9960-8A67-C187-C0FFB9AFFD0A}" id="{3CB54883-FCC6-F54B-823F-3FA508D0C529}">
    <text xml:space="preserve">Heizwert Ammoniak 5,2 kWh/kg
</text>
  </threadedComment>
  <threadedComment ref="AI115" dT="2022-08-30T11:22:56.22" personId="{6C125938-9960-8A67-C187-C0FFB9AFFD0A}" id="{5F1E8FAA-A7F7-3741-8937-4F5A82532687}">
    <text xml:space="preserve">Boil-off: 0,2%/d 
Manchmal auch Auslastung (utilization) angegeben
</text>
  </threadedComment>
  <threadedComment ref="B117" dT="2022-09-29T15:39:04.67" personId="{6C125938-9960-8A67-C187-C0FFB9AFFD0A}" id="{EFD9043C-78DF-42F1-9566-F7AA7C4F4BCF}">
    <text xml:space="preserve">Daten ohne wichtige Angaben wie bspw. Durchmesser oder Fließgeschwindigkeit -&gt; daher eher unbrauchbar
</text>
  </threadedComment>
  <threadedComment ref="G118" dT="2022-08-18T11:46:07.96" personId="{21D7BAEC-D017-5906-7CAA-A8633FF115EF}" id="{177BBF51-47FD-2A4A-B968-16A1A6C10B5C}">
    <text xml:space="preserve">haben IEA Daten verwendet
</text>
  </threadedComment>
  <threadedComment ref="H118" dT="2022-08-30T08:25:34.63" personId="{6C125938-9960-8A67-C187-C0FFB9AFFD0A}" id="{9D3FFE9C-5EE6-764B-AB71-D5E2C6E833EF}">
    <text xml:space="preserve">Gleichbleibende Kosten werden in EWI für die IEA-Daten angenommen
</text>
  </threadedComment>
  <threadedComment ref="G153" dT="2022-08-30T10:59:13.43" personId="{6C125938-9960-8A67-C187-C0FFB9AFFD0A}" id="{6F1A0E3B-5A05-174B-93FF-2561B6C1C4BA}">
    <text xml:space="preserve">IEA-Quelle wurde für 2020 als Datengrundlage verwendet
</text>
  </threadedComment>
  <threadedComment ref="M153" dT="2022-10-31T12:47:37.92" personId="{6C125938-9960-8A67-C187-C0FFB9AFFD0A}" id="{7BE101B7-5367-1E48-A0F7-D5BAEAE52B50}">
    <text xml:space="preserve">Konstant zu 2050 angenommen, da Wert sonst sehr klein geworden wäre
</text>
  </threadedComment>
  <threadedComment ref="T153" dT="2023-02-07T12:08:25.62" personId="{6C125938-9960-8A67-C187-C0FFB9AFFD0A}" id="{9C859470-8FC1-B94E-B08C-A36D2686CEF1}">
    <text xml:space="preserve">Konstant angenommen
</text>
  </threadedComment>
  <threadedComment ref="G159" dT="2022-09-27T12:31:15.32" personId="{6C125938-9960-8A67-C187-C0FFB9AFFD0A}" id="{A42658E5-75F0-CB4D-A9D4-17FEDBDA553E}">
    <text xml:space="preserve">Es wurde mit einem Heizwert von 2 kWh/kg_LOHC gerechnet
https://www.bundestag.de/resource/blob/816048/454e182d5956d45a664da9eb85486f76/WD-8-058-20-pdf-data.pdf
</text>
  </threadedComment>
  <threadedComment ref="I166" dT="2022-09-27T11:13:52.10" personId="{6C125938-9960-8A67-C187-C0FFB9AFFD0A}" id="{8934A3C5-D52F-CB4B-81D1-2EFB5C462E89}">
    <text xml:space="preserve">Heizwert Ammoniak 5,2 kWh/kg
</text>
  </threadedComment>
  <threadedComment ref="AI172" dT="2022-08-30T11:22:56.22" personId="{6C125938-9960-8A67-C187-C0FFB9AFFD0A}" id="{41B32769-AD70-1843-8A72-DAA6653592BE}">
    <text xml:space="preserve">Boil-off: 0,2%/d 
Manchmal auch Auslastung (utilization) angegeben
</text>
  </threadedComment>
  <threadedComment ref="B174" dT="2022-09-29T15:39:04.67" personId="{6C125938-9960-8A67-C187-C0FFB9AFFD0A}" id="{1664239C-ABC6-4766-A29C-18F60F0A9740}">
    <text xml:space="preserve">Daten ohne wichtige Angaben wie bspw. Durchmesser oder Fließgeschwindigkeit -&gt; daher eher unbrauchbar
</text>
  </threadedComment>
  <threadedComment ref="G175" dT="2022-08-18T11:46:07.96" personId="{21D7BAEC-D017-5906-7CAA-A8633FF115EF}" id="{D9D00D29-1ADE-0B46-93A7-E9A8D5AAEE07}">
    <text xml:space="preserve">haben IEA Daten verwendet
</text>
  </threadedComment>
  <threadedComment ref="H175" dT="2022-08-30T08:25:34.63" personId="{6C125938-9960-8A67-C187-C0FFB9AFFD0A}" id="{338E2BB3-DF83-3047-A9FD-822B6C6C939D}">
    <text xml:space="preserve">Gleichbleibende Kosten werden in EWI für die IEA-Daten angenommen
</text>
  </threadedComment>
  <threadedComment ref="G210" dT="2022-08-30T10:59:13.43" personId="{6C125938-9960-8A67-C187-C0FFB9AFFD0A}" id="{65EF0FCB-44C3-D242-B619-074304402038}">
    <text xml:space="preserve">IEA-Quelle wurde für 2020 als Datengrundlage verwendet
</text>
  </threadedComment>
  <threadedComment ref="M210" dT="2022-10-31T12:47:37.92" personId="{6C125938-9960-8A67-C187-C0FFB9AFFD0A}" id="{6DA28BA7-A979-874C-8B09-F0DED22C797E}">
    <text xml:space="preserve">Konstant zu 2050 angenommen, da Wert sonst sehr klein geworden wäre
</text>
  </threadedComment>
  <threadedComment ref="T210" dT="2022-10-31T12:52:33.76" personId="{6C125938-9960-8A67-C187-C0FFB9AFFD0A}" id="{D5B43D44-C241-4A42-839B-7392E6CC3EAD}">
    <text xml:space="preserve">Konstant angenommen
</text>
  </threadedComment>
  <threadedComment ref="G216" dT="2022-09-27T12:31:15.32" personId="{6C125938-9960-8A67-C187-C0FFB9AFFD0A}" id="{C1229CBD-9CCA-8142-9AF1-9533DF6D5B0B}">
    <text xml:space="preserve">Es wurde mit einem Heizwert von 2 kWh/kg_LOHC gerechnet
https://www.bundestag.de/resource/blob/816048/454e182d5956d45a664da9eb85486f76/WD-8-058-20-pdf-data.pdf
</text>
  </threadedComment>
  <threadedComment ref="I223" dT="2022-09-27T11:13:52.10" personId="{6C125938-9960-8A67-C187-C0FFB9AFFD0A}" id="{2DA4657B-01A1-E147-8399-840757D5A3D5}">
    <text xml:space="preserve">Heizwert Ammoniak 5,2 kWh/kg
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R16" dT="2022-10-31T13:04:45.99" personId="{6C125938-9960-8A67-C187-C0FFB9AFFD0A}" id="{CC34EDD5-8673-BD43-AB65-AC188559FF44}">
    <text xml:space="preserve">Extrapolation des 2030er und 2040er Wertes
</text>
  </threadedComment>
  <threadedComment ref="S16" dT="2022-10-31T13:05:13.29" personId="{6C125938-9960-8A67-C187-C0FFB9AFFD0A}" id="{08E57DCB-2D87-5347-AF4C-01CB121EDAE7}">
    <text xml:space="preserve">Konstanta angenommen, da sonst zu niedrig
</text>
  </threadedComment>
  <threadedComment ref="T16" dT="2022-10-31T13:05:13.29" personId="{6C125938-9960-8A67-C187-C0FFB9AFFD0A}" id="{10D8A390-B5EA-D347-9ED7-3FD09F097593}">
    <text xml:space="preserve">Konstanta angenommen, da sonst zu niedrig
</text>
  </threadedComment>
  <threadedComment ref="T23" dT="2022-10-31T13:06:30.57" personId="{6C125938-9960-8A67-C187-C0FFB9AFFD0A}" id="{49F13EAD-FBF7-E54E-9284-3399F3A129E9}">
    <text xml:space="preserve">Konstant angenommen, da sonst zu niedrig
</text>
  </threadedComment>
  <threadedComment ref="R47" dT="2022-10-31T13:04:45.99" personId="{6C125938-9960-8A67-C187-C0FFB9AFFD0A}" id="{75F289FD-3D86-AC44-ADA3-E19C16AE4318}">
    <text xml:space="preserve">Extrapolation des 2030er und 2040er Wertes
</text>
  </threadedComment>
  <threadedComment ref="S47" dT="2022-10-31T13:05:13.29" personId="{6C125938-9960-8A67-C187-C0FFB9AFFD0A}" id="{6A2B5BF9-B451-5F4A-9FE3-534C24CE8D62}">
    <text xml:space="preserve">Konstanta angenommen, da sonst zu niedrig
</text>
  </threadedComment>
  <threadedComment ref="T47" dT="2022-10-31T13:05:13.29" personId="{6C125938-9960-8A67-C187-C0FFB9AFFD0A}" id="{69A992E2-C111-A349-A5FD-237A88BF6DCF}">
    <text xml:space="preserve">Konstanta angenommen, da sonst zu niedrig
</text>
  </threadedComment>
  <threadedComment ref="T54" dT="2022-10-31T13:06:30.57" personId="{6C125938-9960-8A67-C187-C0FFB9AFFD0A}" id="{20C74F26-1876-7A4B-B3B9-E389FB67DA1D}">
    <text xml:space="preserve">Konstant angenommen, da sonst zu niedrig
</text>
  </threadedComment>
  <threadedComment ref="R78" dT="2022-10-31T13:04:45.99" personId="{6C125938-9960-8A67-C187-C0FFB9AFFD0A}" id="{1F8335D7-5510-6742-9A37-48AAEF911066}">
    <text xml:space="preserve">Extrapolation des 2030er und 2040er Wertes
</text>
  </threadedComment>
  <threadedComment ref="S78" dT="2022-10-31T13:05:13.29" personId="{6C125938-9960-8A67-C187-C0FFB9AFFD0A}" id="{D9A63BE1-F009-2844-912D-5F0416F1CF32}">
    <text xml:space="preserve">Konstanta angenommen, da sonst zu niedrig
</text>
  </threadedComment>
  <threadedComment ref="T78" dT="2022-10-31T13:05:13.29" personId="{6C125938-9960-8A67-C187-C0FFB9AFFD0A}" id="{AD15E4C8-C4B2-124D-B461-25B551AD5BAD}">
    <text xml:space="preserve">Konstanta angenommen, da sonst zu niedrig
</text>
  </threadedComment>
  <threadedComment ref="T85" dT="2022-10-31T13:06:30.57" personId="{6C125938-9960-8A67-C187-C0FFB9AFFD0A}" id="{D25A67C4-D851-264E-8BAC-10A487A86F90}">
    <text xml:space="preserve">Konstant angenommen, da sonst zu niedrig
</text>
  </threadedComment>
  <threadedComment ref="R109" dT="2022-10-31T13:04:45.99" personId="{6C125938-9960-8A67-C187-C0FFB9AFFD0A}" id="{85D9CD0A-95F4-BC49-8D43-81299959C86B}">
    <text xml:space="preserve">Extrapolation des 2030er und 2040er Wertes
</text>
  </threadedComment>
  <threadedComment ref="S109" dT="2022-10-31T13:05:13.29" personId="{6C125938-9960-8A67-C187-C0FFB9AFFD0A}" id="{FA2495B0-1BC8-5B4D-982E-F7D7695C163A}">
    <text xml:space="preserve">Konstanta angenommen, da sonst zu niedrig
</text>
  </threadedComment>
  <threadedComment ref="T109" dT="2022-10-31T13:05:13.29" personId="{6C125938-9960-8A67-C187-C0FFB9AFFD0A}" id="{193573DF-5859-C348-A54E-80305CBC2BBE}">
    <text xml:space="preserve">Konstanta angenommen, da sonst zu niedrig
</text>
  </threadedComment>
  <threadedComment ref="T116" dT="2022-10-31T13:06:30.57" personId="{6C125938-9960-8A67-C187-C0FFB9AFFD0A}" id="{DA0719D3-1B59-DC4A-B88E-49256BF727E8}">
    <text xml:space="preserve">Konstant angenommen, da sonst zu niedrig
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H4" dT="2023-11-03T15:42:19.91" personId="{CC51EA43-EC95-4FEA-AB75-B8264388D968}" id="{3E475C8F-E799-485A-90ED-7B759D14040F}">
    <text>Kostensenkung wie bei Pypsa angenommen</text>
  </threadedComment>
  <threadedComment ref="J5" dT="2023-11-03T15:42:38.43" personId="{CC51EA43-EC95-4FEA-AB75-B8264388D968}" id="{F1017FD1-ED3D-4524-A09D-EF1200BDABFB}">
    <text>Kostensenkung wie bei Pypsa angenommen</text>
  </threadedComment>
  <threadedComment ref="H17" dT="2023-11-03T15:42:19.91" personId="{CC51EA43-EC95-4FEA-AB75-B8264388D968}" id="{EE8B616F-0DE2-493C-928A-155CACF7B49F}">
    <text>Kostensenkung wie bei Pypsa angenommen</text>
  </threadedComment>
  <threadedComment ref="J18" dT="2023-11-03T15:42:38.43" personId="{CC51EA43-EC95-4FEA-AB75-B8264388D968}" id="{E08CD642-2EE6-4C9A-A3BC-5D9F9A34F0C9}">
    <text>Kostensenkung wie bei Pypsa angenommen</text>
  </threadedComment>
  <threadedComment ref="H30" dT="2023-11-03T15:42:19.91" personId="{CC51EA43-EC95-4FEA-AB75-B8264388D968}" id="{644F1EBF-24D3-4976-A1FB-8579240E20E4}">
    <text>Kostensenkung wie bei Pypsa angenommen</text>
  </threadedComment>
  <threadedComment ref="J31" dT="2023-11-03T15:42:38.43" personId="{CC51EA43-EC95-4FEA-AB75-B8264388D968}" id="{C05A20F4-47FA-4553-BE99-C2155C939A2B}">
    <text>Kostensenkung wie bei Pypsa angenommen</text>
  </threadedComment>
  <threadedComment ref="H43" dT="2023-11-03T15:42:19.91" personId="{CC51EA43-EC95-4FEA-AB75-B8264388D968}" id="{10CDED3E-E511-41E1-BA6C-4A25CC048AC6}">
    <text>Kostensenkung wie bei Pypsa angenommen</text>
  </threadedComment>
  <threadedComment ref="J44" dT="2023-11-03T15:42:38.43" personId="{CC51EA43-EC95-4FEA-AB75-B8264388D968}" id="{BF60AE1E-22E8-4079-9825-08AD2DD9741C}">
    <text>Kostensenkung wie bei Pypsa angenommen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13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18" Type="http://schemas.openxmlformats.org/officeDocument/2006/relationships/hyperlink" Target="https://www.sciencedirect.com/science/article/pii/S0360319921005838?via%3Dihub" TargetMode="External"/><Relationship Id="rId26" Type="http://schemas.microsoft.com/office/2017/10/relationships/threadedComment" Target="../threadedComments/threadedComment1.xml"/><Relationship Id="rId3" Type="http://schemas.openxmlformats.org/officeDocument/2006/relationships/hyperlink" Target="https://hydrogencouncil.com/wp-content/uploads/2021/02/Hydrogen-Insights-2021.pdf" TargetMode="External"/><Relationship Id="rId21" Type="http://schemas.openxmlformats.org/officeDocument/2006/relationships/hyperlink" Target="https://mdpi-res.com/d_attachment/energies/energies-12-04651/article_deploy/energies-12-04651.pdf?version=1575710880" TargetMode="External"/><Relationship Id="rId7" Type="http://schemas.openxmlformats.org/officeDocument/2006/relationships/hyperlink" Target="https://www.bmwk.de/Redaktion/DE/Downloads/Studien/transformationspfade-fuer-strombasierte-energietraeger.pdf?__blob=publicationFile" TargetMode="External"/><Relationship Id="rId12" Type="http://schemas.openxmlformats.org/officeDocument/2006/relationships/hyperlink" Target="https://gasforclimate2050.eu/wp-content/uploads/2022/04/EHB-A-European-hydrogen-infrastructure-vision-covering-28-countries.pdf" TargetMode="External"/><Relationship Id="rId17" Type="http://schemas.openxmlformats.org/officeDocument/2006/relationships/hyperlink" Target="https://hss-opus.ub.ruhr-uni-bochum.de/opus4/frontdoor/deliver/index/docId/8718/file/diss.pdf" TargetMode="External"/><Relationship Id="rId25" Type="http://schemas.openxmlformats.org/officeDocument/2006/relationships/comments" Target="../comments1.xml"/><Relationship Id="rId2" Type="http://schemas.openxmlformats.org/officeDocument/2006/relationships/hyperlink" Target="https://iea.blob.core.windows.net/assets/a02a0c80-77b2-462e-a9d5-1099e0e572ce/IEA-The-Future-of-Hydrogen-Assumptions-Annex.pdf" TargetMode="External"/><Relationship Id="rId16" Type="http://schemas.openxmlformats.org/officeDocument/2006/relationships/hyperlink" Target="https://stiftung-umweltenergierecht.de/projekte/roadmap-speicher/" TargetMode="External"/><Relationship Id="rId20" Type="http://schemas.openxmlformats.org/officeDocument/2006/relationships/hyperlink" Target="https://www.e3s-conferences.org/articles/e3sconf/pdf/2020/18/e3sconf_icepp2020_06001.pdf" TargetMode="External"/><Relationship Id="rId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6" Type="http://schemas.openxmlformats.org/officeDocument/2006/relationships/hyperlink" Target="https://www.iea.org/reports/world-energy-model/techno-economic-inputs" TargetMode="External"/><Relationship Id="rId11" Type="http://schemas.openxmlformats.org/officeDocument/2006/relationships/hyperlink" Target="https://www.irena.org/-/media/Files/IRENA/Agency/Publication/2022/Apr/IRENA_Global_Trade_Hydrogen_2022.pdf" TargetMode="External"/><Relationship Id="rId24" Type="http://schemas.openxmlformats.org/officeDocument/2006/relationships/vmlDrawing" Target="../drawings/vmlDrawing1.vml"/><Relationship Id="rId5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15" Type="http://schemas.openxmlformats.org/officeDocument/2006/relationships/hyperlink" Target="https://www.sciencedirect.com/science/article/pii/S0360544217301238" TargetMode="External"/><Relationship Id="rId23" Type="http://schemas.openxmlformats.org/officeDocument/2006/relationships/hyperlink" Target="https://www.sciencedirect.com/science/article/pii/S0306261921003962" TargetMode="External"/><Relationship Id="rId10" Type="http://schemas.openxmlformats.org/officeDocument/2006/relationships/hyperlink" Target="https://www.agora-energiewende.de/fileadmin/Projekte/2017/SynKost_2050/Agora_SynCost-Studie_WEB.pdf" TargetMode="External"/><Relationship Id="rId19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4" Type="http://schemas.openxmlformats.org/officeDocument/2006/relationships/hyperlink" Target="https://github.com/PyPSA/technology-data/tree/master/outputs" TargetMode="External"/><Relationship Id="rId9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14" Type="http://schemas.openxmlformats.org/officeDocument/2006/relationships/hyperlink" Target="https://www.planet-energie.de/de/media/Abschlussbericht_Integration_von_Wind_Wasserstoff_Systemen_in_das_Energiesystem.pdf" TargetMode="External"/><Relationship Id="rId22" Type="http://schemas.openxmlformats.org/officeDocument/2006/relationships/hyperlink" Target="https://www.researchgate.net/publication/289377295_2050_LCOE_improvement_using_new_molten_salts_for_thermal_energy_storage_in_CSP_plan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lo.org/ilostat-files/Documents/Excel/INDICATOR/LAC_4HRL_ECO_CUR_NB_A_EN.xlsx" TargetMode="External"/><Relationship Id="rId7" Type="http://schemas.microsoft.com/office/2017/10/relationships/threadedComment" Target="../threadedComments/threadedComment2.xml"/><Relationship Id="rId2" Type="http://schemas.openxmlformats.org/officeDocument/2006/relationships/hyperlink" Target="https://www.iwkoeln.de/fileadmin/user_upload/Studien/IW-Trends/PDF/2019/IW-Trends_2019-02-05_Industrielle_Arbeitskosten.pdf" TargetMode="External"/><Relationship Id="rId1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github.com/PyPSA/technology-data/tree/master/outputs" TargetMode="External"/><Relationship Id="rId21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42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47" Type="http://schemas.openxmlformats.org/officeDocument/2006/relationships/hyperlink" Target="https://www.iea.org/reports/world-energy-model/techno-economic-inputs" TargetMode="External"/><Relationship Id="rId63" Type="http://schemas.openxmlformats.org/officeDocument/2006/relationships/hyperlink" Target="https://www.sciencedirect.com/science/article/pii/S0306261921003962" TargetMode="External"/><Relationship Id="rId68" Type="http://schemas.openxmlformats.org/officeDocument/2006/relationships/hyperlink" Target="https://www.iea.org/reports/world-energy-model/techno-economic-inputs" TargetMode="External"/><Relationship Id="rId84" Type="http://schemas.openxmlformats.org/officeDocument/2006/relationships/hyperlink" Target="https://www.iea.org/reports/world-energy-model/techno-economic-inputs" TargetMode="External"/><Relationship Id="rId89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112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16" Type="http://schemas.openxmlformats.org/officeDocument/2006/relationships/hyperlink" Target="https://www.bmwk.de/Redaktion/DE/Downloads/Studien/transformationspfade-fuer-strombasierte-energietraeger.pdf?__blob=publicationFile" TargetMode="External"/><Relationship Id="rId107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1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32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37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53" Type="http://schemas.openxmlformats.org/officeDocument/2006/relationships/hyperlink" Target="https://www.iea.org/reports/world-energy-model/techno-economic-inputs" TargetMode="External"/><Relationship Id="rId58" Type="http://schemas.openxmlformats.org/officeDocument/2006/relationships/hyperlink" Target="https://www.sciencedirect.com/science/article/pii/S0306261921003962" TargetMode="External"/><Relationship Id="rId74" Type="http://schemas.openxmlformats.org/officeDocument/2006/relationships/hyperlink" Target="https://www.iea.org/reports/world-energy-model/techno-economic-inputs" TargetMode="External"/><Relationship Id="rId79" Type="http://schemas.openxmlformats.org/officeDocument/2006/relationships/hyperlink" Target="https://www.iea.org/reports/world-energy-model/techno-economic-inputs" TargetMode="External"/><Relationship Id="rId102" Type="http://schemas.openxmlformats.org/officeDocument/2006/relationships/hyperlink" Target="https://www.iea.org/reports/world-energy-model/techno-economic-inputs" TargetMode="External"/><Relationship Id="rId123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128" Type="http://schemas.openxmlformats.org/officeDocument/2006/relationships/vmlDrawing" Target="../drawings/vmlDrawing3.vml"/><Relationship Id="rId5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90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95" Type="http://schemas.openxmlformats.org/officeDocument/2006/relationships/hyperlink" Target="https://www.iea.org/reports/world-energy-model/techno-economic-inputs" TargetMode="External"/><Relationship Id="rId22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27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43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48" Type="http://schemas.openxmlformats.org/officeDocument/2006/relationships/hyperlink" Target="https://www.iea.org/reports/world-energy-model/techno-economic-inputs" TargetMode="External"/><Relationship Id="rId64" Type="http://schemas.openxmlformats.org/officeDocument/2006/relationships/hyperlink" Target="https://www.iea.org/reports/world-energy-model/techno-economic-inputs" TargetMode="External"/><Relationship Id="rId69" Type="http://schemas.openxmlformats.org/officeDocument/2006/relationships/hyperlink" Target="https://www.iea.org/reports/world-energy-model/techno-economic-inputs" TargetMode="External"/><Relationship Id="rId113" Type="http://schemas.openxmlformats.org/officeDocument/2006/relationships/hyperlink" Target="https://www.iea.org/reports/world-energy-model/techno-economic-inputs" TargetMode="External"/><Relationship Id="rId118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80" Type="http://schemas.openxmlformats.org/officeDocument/2006/relationships/hyperlink" Target="https://www.iea.org/reports/world-energy-model/techno-economic-inputs" TargetMode="External"/><Relationship Id="rId85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12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17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33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38" Type="http://schemas.openxmlformats.org/officeDocument/2006/relationships/hyperlink" Target="https://github.com/PyPSA/technology-data/tree/master/outputs" TargetMode="External"/><Relationship Id="rId59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103" Type="http://schemas.openxmlformats.org/officeDocument/2006/relationships/hyperlink" Target="https://www.iea.org/reports/world-energy-model/techno-economic-inputs" TargetMode="External"/><Relationship Id="rId108" Type="http://schemas.openxmlformats.org/officeDocument/2006/relationships/hyperlink" Target="https://www.iea.org/reports/world-energy-model/techno-economic-inputs" TargetMode="External"/><Relationship Id="rId124" Type="http://schemas.openxmlformats.org/officeDocument/2006/relationships/hyperlink" Target="https://www.iea.org/reports/world-energy-model/techno-economic-inputs" TargetMode="External"/><Relationship Id="rId129" Type="http://schemas.openxmlformats.org/officeDocument/2006/relationships/comments" Target="../comments3.xml"/><Relationship Id="rId54" Type="http://schemas.openxmlformats.org/officeDocument/2006/relationships/hyperlink" Target="https://www.iea.org/reports/world-energy-model/techno-economic-inputs" TargetMode="External"/><Relationship Id="rId70" Type="http://schemas.openxmlformats.org/officeDocument/2006/relationships/hyperlink" Target="https://www.sciencedirect.com/science/article/pii/S0306261921003962" TargetMode="External"/><Relationship Id="rId75" Type="http://schemas.openxmlformats.org/officeDocument/2006/relationships/hyperlink" Target="https://www.sciencedirect.com/science/article/pii/S0306261921003962" TargetMode="External"/><Relationship Id="rId91" Type="http://schemas.openxmlformats.org/officeDocument/2006/relationships/hyperlink" Target="https://www.iea.org/reports/world-energy-model/techno-economic-inputs" TargetMode="External"/><Relationship Id="rId96" Type="http://schemas.openxmlformats.org/officeDocument/2006/relationships/hyperlink" Target="https://www.iea.org/reports/world-energy-model/techno-economic-inputs" TargetMode="External"/><Relationship Id="rId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6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23" Type="http://schemas.openxmlformats.org/officeDocument/2006/relationships/hyperlink" Target="https://github.com/PyPSA/technology-data/tree/master/outputs" TargetMode="External"/><Relationship Id="rId28" Type="http://schemas.openxmlformats.org/officeDocument/2006/relationships/hyperlink" Target="https://github.com/PyPSA/technology-data/tree/master/outputs" TargetMode="External"/><Relationship Id="rId49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114" Type="http://schemas.openxmlformats.org/officeDocument/2006/relationships/hyperlink" Target="https://www.iea.org/reports/world-energy-model/techno-economic-inputs" TargetMode="External"/><Relationship Id="rId119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44" Type="http://schemas.openxmlformats.org/officeDocument/2006/relationships/hyperlink" Target="https://www.sciencedirect.com/science/article/pii/S0306261921003962" TargetMode="External"/><Relationship Id="rId60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65" Type="http://schemas.openxmlformats.org/officeDocument/2006/relationships/hyperlink" Target="https://www.iea.org/reports/world-energy-model/techno-economic-inputs" TargetMode="External"/><Relationship Id="rId81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86" Type="http://schemas.openxmlformats.org/officeDocument/2006/relationships/hyperlink" Target="https://www.iea.org/reports/world-energy-model/techno-economic-inputs" TargetMode="External"/><Relationship Id="rId130" Type="http://schemas.microsoft.com/office/2017/10/relationships/threadedComment" Target="../threadedComments/threadedComment3.xml"/><Relationship Id="rId13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18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39" Type="http://schemas.openxmlformats.org/officeDocument/2006/relationships/hyperlink" Target="https://www.iea.org/reports/world-energy-model/techno-economic-inputs" TargetMode="External"/><Relationship Id="rId109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34" Type="http://schemas.openxmlformats.org/officeDocument/2006/relationships/hyperlink" Target="https://github.com/PyPSA/technology-data/tree/master/outputs" TargetMode="External"/><Relationship Id="rId50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55" Type="http://schemas.openxmlformats.org/officeDocument/2006/relationships/hyperlink" Target="https://www.iea.org/reports/world-energy-model/techno-economic-inputs" TargetMode="External"/><Relationship Id="rId76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97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104" Type="http://schemas.openxmlformats.org/officeDocument/2006/relationships/hyperlink" Target="https://www.iea.org/reports/world-energy-model/techno-economic-inputs" TargetMode="External"/><Relationship Id="rId120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125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7" Type="http://schemas.openxmlformats.org/officeDocument/2006/relationships/hyperlink" Target="https://github.com/PyPSA/technology-data/tree/master/outputs" TargetMode="External"/><Relationship Id="rId71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92" Type="http://schemas.openxmlformats.org/officeDocument/2006/relationships/hyperlink" Target="https://www.iea.org/reports/world-energy-model/techno-economic-inputs" TargetMode="External"/><Relationship Id="rId2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29" Type="http://schemas.openxmlformats.org/officeDocument/2006/relationships/hyperlink" Target="https://github.com/PyPSA/technology-data/tree/master/outputs" TargetMode="External"/><Relationship Id="rId24" Type="http://schemas.openxmlformats.org/officeDocument/2006/relationships/hyperlink" Target="https://www.bmwk.de/Redaktion/DE/Downloads/Studien/transformationspfade-fuer-strombasierte-energietraeger.pdf?__blob=publicationFile" TargetMode="External"/><Relationship Id="rId40" Type="http://schemas.openxmlformats.org/officeDocument/2006/relationships/hyperlink" Target="https://www.iea.org/reports/world-energy-model/techno-economic-inputs" TargetMode="External"/><Relationship Id="rId45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66" Type="http://schemas.openxmlformats.org/officeDocument/2006/relationships/hyperlink" Target="https://www.iea.org/reports/world-energy-model/techno-economic-inputs" TargetMode="External"/><Relationship Id="rId87" Type="http://schemas.openxmlformats.org/officeDocument/2006/relationships/hyperlink" Target="https://www.iea.org/reports/world-energy-model/techno-economic-inputs" TargetMode="External"/><Relationship Id="rId110" Type="http://schemas.openxmlformats.org/officeDocument/2006/relationships/hyperlink" Target="https://www.iea.org/reports/world-energy-model/techno-economic-inputs" TargetMode="External"/><Relationship Id="rId115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61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82" Type="http://schemas.openxmlformats.org/officeDocument/2006/relationships/hyperlink" Target="https://www.iea.org/reports/world-energy-model/techno-economic-inputs" TargetMode="External"/><Relationship Id="rId19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14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30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35" Type="http://schemas.openxmlformats.org/officeDocument/2006/relationships/hyperlink" Target="https://github.com/PyPSA/technology-data/tree/master/outputs" TargetMode="External"/><Relationship Id="rId56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77" Type="http://schemas.openxmlformats.org/officeDocument/2006/relationships/hyperlink" Target="https://github.com/PyPSA/technology-data/tree/master/outputs" TargetMode="External"/><Relationship Id="rId100" Type="http://schemas.openxmlformats.org/officeDocument/2006/relationships/hyperlink" Target="https://www.iea.org/reports/world-energy-model/techno-economic-inputs" TargetMode="External"/><Relationship Id="rId105" Type="http://schemas.openxmlformats.org/officeDocument/2006/relationships/hyperlink" Target="https://www.iea.org/reports/world-energy-model/techno-economic-inputs" TargetMode="External"/><Relationship Id="rId126" Type="http://schemas.openxmlformats.org/officeDocument/2006/relationships/hyperlink" Target="https://www.sciencedirect.com/science/article/pii/S0306261921003962" TargetMode="External"/><Relationship Id="rId8" Type="http://schemas.openxmlformats.org/officeDocument/2006/relationships/hyperlink" Target="https://www.bmwk.de/Redaktion/DE/Downloads/Studien/transformationspfade-fuer-strombasierte-energietraeger.pdf?__blob=publicationFile" TargetMode="External"/><Relationship Id="rId51" Type="http://schemas.openxmlformats.org/officeDocument/2006/relationships/hyperlink" Target="https://www.sciencedirect.com/science/article/pii/S0306261921003962" TargetMode="External"/><Relationship Id="rId72" Type="http://schemas.openxmlformats.org/officeDocument/2006/relationships/hyperlink" Target="https://www.iea.org/reports/world-energy-model/techno-economic-inputs" TargetMode="External"/><Relationship Id="rId93" Type="http://schemas.openxmlformats.org/officeDocument/2006/relationships/hyperlink" Target="https://www.iea.org/reports/world-energy-model/techno-economic-inputs" TargetMode="External"/><Relationship Id="rId98" Type="http://schemas.openxmlformats.org/officeDocument/2006/relationships/hyperlink" Target="https://www.iea.org/reports/world-energy-model/techno-economic-inputs" TargetMode="External"/><Relationship Id="rId121" Type="http://schemas.openxmlformats.org/officeDocument/2006/relationships/hyperlink" Target="https://github.com/PyPSA/technology-data/tree/master/outputs" TargetMode="External"/><Relationship Id="rId3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25" Type="http://schemas.openxmlformats.org/officeDocument/2006/relationships/hyperlink" Target="https://github.com/PyPSA/technology-data/tree/master/outputs" TargetMode="External"/><Relationship Id="rId46" Type="http://schemas.openxmlformats.org/officeDocument/2006/relationships/hyperlink" Target="https://www.iea.org/reports/world-energy-model/techno-economic-inputs" TargetMode="External"/><Relationship Id="rId67" Type="http://schemas.openxmlformats.org/officeDocument/2006/relationships/hyperlink" Target="https://www.iea.org/reports/world-energy-model/techno-economic-inputs" TargetMode="External"/><Relationship Id="rId116" Type="http://schemas.openxmlformats.org/officeDocument/2006/relationships/hyperlink" Target="https://www.iea.org/reports/world-energy-model/techno-economic-inputs" TargetMode="External"/><Relationship Id="rId20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41" Type="http://schemas.openxmlformats.org/officeDocument/2006/relationships/hyperlink" Target="https://www.iea.org/reports/world-energy-model/techno-economic-inputs" TargetMode="External"/><Relationship Id="rId62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83" Type="http://schemas.openxmlformats.org/officeDocument/2006/relationships/hyperlink" Target="https://www.iea.org/reports/world-energy-model/techno-economic-inputs" TargetMode="External"/><Relationship Id="rId88" Type="http://schemas.openxmlformats.org/officeDocument/2006/relationships/hyperlink" Target="https://www.iea.org/reports/world-energy-model/techno-economic-inputs" TargetMode="External"/><Relationship Id="rId111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15" Type="http://schemas.openxmlformats.org/officeDocument/2006/relationships/hyperlink" Target="https://github.com/PyPSA/technology-data/tree/master/outputs" TargetMode="External"/><Relationship Id="rId36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57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106" Type="http://schemas.openxmlformats.org/officeDocument/2006/relationships/hyperlink" Target="https://www.iea.org/reports/world-energy-model/techno-economic-inputs" TargetMode="External"/><Relationship Id="rId127" Type="http://schemas.openxmlformats.org/officeDocument/2006/relationships/drawing" Target="../drawings/drawing2.xml"/><Relationship Id="rId10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31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52" Type="http://schemas.openxmlformats.org/officeDocument/2006/relationships/hyperlink" Target="https://iea.blob.core.windows.net/assets/2df33f6b-eba0-4639-926a-bc1c3d3e3268/IEA-NEAProjectedCostsofGeneratingElectricity2020-Datafile.xlsx" TargetMode="External"/><Relationship Id="rId73" Type="http://schemas.openxmlformats.org/officeDocument/2006/relationships/hyperlink" Target="https://www.iea.org/reports/world-energy-model/techno-economic-inputs" TargetMode="External"/><Relationship Id="rId78" Type="http://schemas.openxmlformats.org/officeDocument/2006/relationships/hyperlink" Target="https://www.iea.org/reports/world-energy-model/techno-economic-inputs" TargetMode="External"/><Relationship Id="rId94" Type="http://schemas.openxmlformats.org/officeDocument/2006/relationships/hyperlink" Target="https://www.iea.org/reports/world-energy-model/techno-economic-inputs" TargetMode="External"/><Relationship Id="rId99" Type="http://schemas.openxmlformats.org/officeDocument/2006/relationships/hyperlink" Target="https://www.iea.org/reports/world-energy-model/techno-economic-inputs" TargetMode="External"/><Relationship Id="rId101" Type="http://schemas.openxmlformats.org/officeDocument/2006/relationships/hyperlink" Target="https://github.com/PyPSA/technology-data/tree/master/outputs" TargetMode="External"/><Relationship Id="rId122" Type="http://schemas.openxmlformats.org/officeDocument/2006/relationships/hyperlink" Target="https://www.bmwk.de/Redaktion/DE/Downloads/Studien/transformationspfade-fuer-strombasierte-energietraeger.pdf?__blob=publicationFile" TargetMode="External"/><Relationship Id="rId4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9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26" Type="http://schemas.openxmlformats.org/officeDocument/2006/relationships/hyperlink" Target="https://www.ise.fraunhofer.de/content/dam/ise/de/documents/publications/studies/DE2021_ISE_Studie_Stromgestehungskosten_Erneuerbare_Energien.pdf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github.com/PyPSA/technology-data/tree/master/outputs" TargetMode="External"/><Relationship Id="rId18" Type="http://schemas.openxmlformats.org/officeDocument/2006/relationships/hyperlink" Target="https://mdpi-res.com/d_attachment/energies/energies-12-04651/article_deploy/energies-12-04651.pdf?version=1575710880" TargetMode="External"/><Relationship Id="rId26" Type="http://schemas.openxmlformats.org/officeDocument/2006/relationships/hyperlink" Target="https://www.e3s-conferences.org/articles/e3sconf/pdf/2020/18/e3sconf_icepp2020_06001.pdf" TargetMode="External"/><Relationship Id="rId3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21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34" Type="http://schemas.openxmlformats.org/officeDocument/2006/relationships/comments" Target="../comments4.xml"/><Relationship Id="rId7" Type="http://schemas.openxmlformats.org/officeDocument/2006/relationships/hyperlink" Target="https://github.com/PyPSA/technology-data/tree/master/outputs" TargetMode="External"/><Relationship Id="rId12" Type="http://schemas.openxmlformats.org/officeDocument/2006/relationships/hyperlink" Target="https://mdpi-res.com/d_attachment/energies/energies-12-04651/article_deploy/energies-12-04651.pdf?version=1575710880" TargetMode="External"/><Relationship Id="rId17" Type="http://schemas.openxmlformats.org/officeDocument/2006/relationships/hyperlink" Target="https://www.e3s-conferences.org/articles/e3sconf/pdf/2020/18/e3sconf_icepp2020_06001.pdf" TargetMode="External"/><Relationship Id="rId25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33" Type="http://schemas.openxmlformats.org/officeDocument/2006/relationships/vmlDrawing" Target="../drawings/vmlDrawing4.vml"/><Relationship Id="rId2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16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20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29" Type="http://schemas.openxmlformats.org/officeDocument/2006/relationships/hyperlink" Target="https://doi.org/10.1016/j.scitotenv.2018.12.076" TargetMode="External"/><Relationship Id="rId1" Type="http://schemas.openxmlformats.org/officeDocument/2006/relationships/hyperlink" Target="https://github.com/PyPSA/technology-data/tree/master/outputs" TargetMode="External"/><Relationship Id="rId6" Type="http://schemas.openxmlformats.org/officeDocument/2006/relationships/hyperlink" Target="https://mdpi-res.com/d_attachment/energies/energies-12-04651/article_deploy/energies-12-04651.pdf?version=1575710880" TargetMode="External"/><Relationship Id="rId11" Type="http://schemas.openxmlformats.org/officeDocument/2006/relationships/hyperlink" Target="https://www.e3s-conferences.org/articles/e3sconf/pdf/2020/18/e3sconf_icepp2020_06001.pdf" TargetMode="External"/><Relationship Id="rId24" Type="http://schemas.openxmlformats.org/officeDocument/2006/relationships/hyperlink" Target="https://mdpi-res.com/d_attachment/energies/energies-12-04651/article_deploy/energies-12-04651.pdf?version=1575710880" TargetMode="External"/><Relationship Id="rId32" Type="http://schemas.openxmlformats.org/officeDocument/2006/relationships/drawing" Target="../drawings/drawing3.xml"/><Relationship Id="rId5" Type="http://schemas.openxmlformats.org/officeDocument/2006/relationships/hyperlink" Target="https://www.e3s-conferences.org/articles/e3sconf/pdf/2020/18/e3sconf_icepp2020_06001.pdf" TargetMode="External"/><Relationship Id="rId15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23" Type="http://schemas.openxmlformats.org/officeDocument/2006/relationships/hyperlink" Target="https://www.e3s-conferences.org/articles/e3sconf/pdf/2020/18/e3sconf_icepp2020_06001.pdf" TargetMode="External"/><Relationship Id="rId28" Type="http://schemas.openxmlformats.org/officeDocument/2006/relationships/hyperlink" Target="https://mdpi-res.com/d_attachment/energies/energies-12-04651/article_deploy/energies-12-04651.pdf?version=1575710880" TargetMode="External"/><Relationship Id="rId10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19" Type="http://schemas.openxmlformats.org/officeDocument/2006/relationships/hyperlink" Target="https://github.com/PyPSA/technology-data/tree/master/outputs" TargetMode="External"/><Relationship Id="rId31" Type="http://schemas.openxmlformats.org/officeDocument/2006/relationships/hyperlink" Target="https://www.sciencedirect.com/science/article/pii/S0263876220301209" TargetMode="External"/><Relationship Id="rId4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9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14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22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Relationship Id="rId27" Type="http://schemas.openxmlformats.org/officeDocument/2006/relationships/hyperlink" Target="https://github.com/PyPSA/technology-data/tree/master/outputs" TargetMode="External"/><Relationship Id="rId30" Type="http://schemas.openxmlformats.org/officeDocument/2006/relationships/hyperlink" Target="https://www.sciencedirect.com/science/article/pii/S0043135409001547" TargetMode="External"/><Relationship Id="rId35" Type="http://schemas.microsoft.com/office/2017/10/relationships/threadedComment" Target="../threadedComments/threadedComment4.xml"/><Relationship Id="rId8" Type="http://schemas.openxmlformats.org/officeDocument/2006/relationships/hyperlink" Target="https://www.cmimarseille.org/sites/default/files/newsite/library/files/en/1.6.%20C.%20Cosin_%20Desalination%20technologies%20and%20economics_%20capex,%20opex%20and%20technological%20game%20changers%20to%20come%20-ilovepdf-compressed.pdf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21" Type="http://schemas.openxmlformats.org/officeDocument/2006/relationships/hyperlink" Target="https://hydrogencouncil.com/wp-content/uploads/2021/02/Hydrogen-Insights-2021.pdf" TargetMode="External"/><Relationship Id="rId42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47" Type="http://schemas.openxmlformats.org/officeDocument/2006/relationships/hyperlink" Target="https://www.iea.org/reports/world-energy-model/techno-economic-inputs" TargetMode="External"/><Relationship Id="rId63" Type="http://schemas.openxmlformats.org/officeDocument/2006/relationships/hyperlink" Target="https://www.agora-energiewende.de/fileadmin/Projekte/2017/SynKost_2050/Agora_SynCost-Studie_WEB.pdf" TargetMode="External"/><Relationship Id="rId68" Type="http://schemas.openxmlformats.org/officeDocument/2006/relationships/hyperlink" Target="https://hydrogencouncil.com/wp-content/uploads/2021/02/Hydrogen-Insights-2021.pdf" TargetMode="External"/><Relationship Id="rId84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89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16" Type="http://schemas.openxmlformats.org/officeDocument/2006/relationships/hyperlink" Target="https://www.agora-energiewende.de/fileadmin/Projekte/2017/SynKost_2050/Agora_SynCost-Studie_WEB.pdf" TargetMode="External"/><Relationship Id="rId107" Type="http://schemas.openxmlformats.org/officeDocument/2006/relationships/vmlDrawing" Target="../drawings/vmlDrawing5.vml"/><Relationship Id="rId11" Type="http://schemas.openxmlformats.org/officeDocument/2006/relationships/hyperlink" Target="https://www.bmwk.de/Redaktion/DE/Downloads/Studien/transformationspfade-fuer-strombasierte-energietraeger.pdf?__blob=publicationFile" TargetMode="External"/><Relationship Id="rId32" Type="http://schemas.openxmlformats.org/officeDocument/2006/relationships/hyperlink" Target="https://www.agora-energiewende.de/fileadmin/Projekte/2017/SynKost_2050/Agora_SynCost-Studie_WEB.pdf" TargetMode="External"/><Relationship Id="rId37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53" Type="http://schemas.openxmlformats.org/officeDocument/2006/relationships/hyperlink" Target="https://www.agora-energiewende.de/fileadmin/Projekte/2017/SynKost_2050/Agora_SynCost-Studie_WEB.pdf" TargetMode="External"/><Relationship Id="rId58" Type="http://schemas.openxmlformats.org/officeDocument/2006/relationships/hyperlink" Target="https://www.agora-energiewende.de/fileadmin/Projekte/2017/SynKost_2050/Agora_SynCost-Studie_WEB.pdf" TargetMode="External"/><Relationship Id="rId74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79" Type="http://schemas.openxmlformats.org/officeDocument/2006/relationships/hyperlink" Target="https://github.com/PyPSA/technology-data/tree/master/outputs" TargetMode="External"/><Relationship Id="rId102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5" Type="http://schemas.openxmlformats.org/officeDocument/2006/relationships/hyperlink" Target="https://www.agora-energiewende.de/fileadmin/Projekte/2017/SynKost_2050/Agora_SynCost-Studie_WEB.pdf" TargetMode="External"/><Relationship Id="rId90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95" Type="http://schemas.openxmlformats.org/officeDocument/2006/relationships/hyperlink" Target="https://www.iea.org/reports/world-energy-model/techno-economic-inputs" TargetMode="External"/><Relationship Id="rId22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27" Type="http://schemas.openxmlformats.org/officeDocument/2006/relationships/hyperlink" Target="https://www.agora-energiewende.de/fileadmin/Projekte/2017/SynKost_2050/Agora_SynCost-Studie_WEB.pdf" TargetMode="External"/><Relationship Id="rId43" Type="http://schemas.openxmlformats.org/officeDocument/2006/relationships/hyperlink" Target="https://iea.blob.core.windows.net/assets/a02a0c80-77b2-462e-a9d5-1099e0e572ce/IEA-The-Future-of-Hydrogen-Assumptions-Annex.pdf" TargetMode="External"/><Relationship Id="rId48" Type="http://schemas.openxmlformats.org/officeDocument/2006/relationships/hyperlink" Target="https://www.iea.org/reports/world-energy-model/techno-economic-inputs" TargetMode="External"/><Relationship Id="rId64" Type="http://schemas.openxmlformats.org/officeDocument/2006/relationships/hyperlink" Target="https://www.agora-energiewende.de/fileadmin/Projekte/2017/SynKost_2050/Agora_SynCost-Studie_WEB.pdf" TargetMode="External"/><Relationship Id="rId69" Type="http://schemas.openxmlformats.org/officeDocument/2006/relationships/hyperlink" Target="https://hydrogencouncil.com/wp-content/uploads/2021/02/Hydrogen-Insights-2021.pdf" TargetMode="External"/><Relationship Id="rId80" Type="http://schemas.openxmlformats.org/officeDocument/2006/relationships/hyperlink" Target="https://www.agora-energiewende.de/fileadmin/Projekte/2017/SynKost_2050/Agora_SynCost-Studie_WEB.pdf" TargetMode="External"/><Relationship Id="rId85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12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17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33" Type="http://schemas.openxmlformats.org/officeDocument/2006/relationships/hyperlink" Target="https://www.agora-energiewende.de/fileadmin/Projekte/2017/SynKost_2050/Agora_SynCost-Studie_WEB.pdf" TargetMode="External"/><Relationship Id="rId38" Type="http://schemas.openxmlformats.org/officeDocument/2006/relationships/hyperlink" Target="https://www.agora-energiewende.de/fileadmin/Projekte/2017/SynKost_2050/Agora_SynCost-Studie_WEB.pdf" TargetMode="External"/><Relationship Id="rId59" Type="http://schemas.openxmlformats.org/officeDocument/2006/relationships/hyperlink" Target="https://www.bmwk.de/Redaktion/DE/Downloads/Studien/transformationspfade-fuer-strombasierte-energietraeger.pdf?__blob=publicationFile" TargetMode="External"/><Relationship Id="rId103" Type="http://schemas.openxmlformats.org/officeDocument/2006/relationships/hyperlink" Target="https://www.iea.org/reports/world-energy-model/techno-economic-inputs" TargetMode="External"/><Relationship Id="rId108" Type="http://schemas.openxmlformats.org/officeDocument/2006/relationships/comments" Target="../comments5.xml"/><Relationship Id="rId54" Type="http://schemas.openxmlformats.org/officeDocument/2006/relationships/hyperlink" Target="https://www.bmwk.de/Redaktion/DE/Downloads/Studien/transformationspfade-fuer-strombasierte-energietraeger.pdf?__blob=publicationFile" TargetMode="External"/><Relationship Id="rId70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75" Type="http://schemas.openxmlformats.org/officeDocument/2006/relationships/hyperlink" Target="https://www.agora-energiewende.de/fileadmin/Projekte/2017/SynKost_2050/Agora_SynCost-Studie_WEB.pdf" TargetMode="External"/><Relationship Id="rId91" Type="http://schemas.openxmlformats.org/officeDocument/2006/relationships/hyperlink" Target="https://iea.blob.core.windows.net/assets/a02a0c80-77b2-462e-a9d5-1099e0e572ce/IEA-The-Future-of-Hydrogen-Assumptions-Annex.pdf" TargetMode="External"/><Relationship Id="rId96" Type="http://schemas.openxmlformats.org/officeDocument/2006/relationships/hyperlink" Target="https://www.iea.org/reports/world-energy-model/techno-economic-inputs" TargetMode="External"/><Relationship Id="rId1" Type="http://schemas.openxmlformats.org/officeDocument/2006/relationships/hyperlink" Target="https://www.bmwk.de/Redaktion/DE/Downloads/Studien/transformationspfade-fuer-strombasierte-energietraeger.pdf?__blob=publicationFile" TargetMode="External"/><Relationship Id="rId6" Type="http://schemas.openxmlformats.org/officeDocument/2006/relationships/hyperlink" Target="https://www.bmwk.de/Redaktion/DE/Downloads/Studien/transformationspfade-fuer-strombasierte-energietraeger.pdf?__blob=publicationFile" TargetMode="External"/><Relationship Id="rId15" Type="http://schemas.openxmlformats.org/officeDocument/2006/relationships/hyperlink" Target="https://www.agora-energiewende.de/fileadmin/Projekte/2017/SynKost_2050/Agora_SynCost-Studie_WEB.pdf" TargetMode="External"/><Relationship Id="rId23" Type="http://schemas.openxmlformats.org/officeDocument/2006/relationships/hyperlink" Target="https://www.iea.org/reports/world-energy-model/techno-economic-inputs" TargetMode="External"/><Relationship Id="rId28" Type="http://schemas.openxmlformats.org/officeDocument/2006/relationships/hyperlink" Target="https://www.agora-energiewende.de/fileadmin/Projekte/2017/SynKost_2050/Agora_SynCost-Studie_WEB.pdf" TargetMode="External"/><Relationship Id="rId36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49" Type="http://schemas.openxmlformats.org/officeDocument/2006/relationships/hyperlink" Target="https://www.bmwk.de/Redaktion/DE/Downloads/Studien/transformationspfade-fuer-strombasierte-energietraeger.pdf?__blob=publicationFile" TargetMode="External"/><Relationship Id="rId57" Type="http://schemas.openxmlformats.org/officeDocument/2006/relationships/hyperlink" Target="https://www.agora-energiewende.de/fileadmin/Projekte/2017/SynKost_2050/Agora_SynCost-Studie_WEB.pdf" TargetMode="External"/><Relationship Id="rId106" Type="http://schemas.openxmlformats.org/officeDocument/2006/relationships/drawing" Target="../drawings/drawing4.xml"/><Relationship Id="rId10" Type="http://schemas.openxmlformats.org/officeDocument/2006/relationships/hyperlink" Target="https://www.agora-energiewende.de/fileadmin/Projekte/2017/SynKost_2050/Agora_SynCost-Studie_WEB.pdf" TargetMode="External"/><Relationship Id="rId31" Type="http://schemas.openxmlformats.org/officeDocument/2006/relationships/hyperlink" Target="https://github.com/PyPSA/technology-data/tree/master/outputs" TargetMode="External"/><Relationship Id="rId44" Type="http://schemas.openxmlformats.org/officeDocument/2006/relationships/hyperlink" Target="https://hydrogencouncil.com/wp-content/uploads/2021/02/Hydrogen-Insights-2021.pdf" TargetMode="External"/><Relationship Id="rId52" Type="http://schemas.openxmlformats.org/officeDocument/2006/relationships/hyperlink" Target="https://www.agora-energiewende.de/fileadmin/Projekte/2017/SynKost_2050/Agora_SynCost-Studie_WEB.pdf" TargetMode="External"/><Relationship Id="rId60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65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73" Type="http://schemas.openxmlformats.org/officeDocument/2006/relationships/hyperlink" Target="https://www.bmwk.de/Redaktion/DE/Downloads/Studien/transformationspfade-fuer-strombasierte-energietraeger.pdf?__blob=publicationFile" TargetMode="External"/><Relationship Id="rId78" Type="http://schemas.openxmlformats.org/officeDocument/2006/relationships/hyperlink" Target="https://www.bmwk.de/Redaktion/DE/Downloads/Studien/transformationspfade-fuer-strombasierte-energietraeger.pdf?__blob=publicationFile" TargetMode="External"/><Relationship Id="rId81" Type="http://schemas.openxmlformats.org/officeDocument/2006/relationships/hyperlink" Target="https://www.agora-energiewende.de/fileadmin/Projekte/2017/SynKost_2050/Agora_SynCost-Studie_WEB.pdf" TargetMode="External"/><Relationship Id="rId86" Type="http://schemas.openxmlformats.org/officeDocument/2006/relationships/hyperlink" Target="https://www.agora-energiewende.de/fileadmin/Projekte/2017/SynKost_2050/Agora_SynCost-Studie_WEB.pdf" TargetMode="External"/><Relationship Id="rId94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99" Type="http://schemas.openxmlformats.org/officeDocument/2006/relationships/hyperlink" Target="https://iea.blob.core.windows.net/assets/a02a0c80-77b2-462e-a9d5-1099e0e572ce/IEA-The-Future-of-Hydrogen-Assumptions-Annex.pdf" TargetMode="External"/><Relationship Id="rId101" Type="http://schemas.openxmlformats.org/officeDocument/2006/relationships/hyperlink" Target="https://github.com/PyPSA/technology-data/tree/master/outputs" TargetMode="External"/><Relationship Id="rId4" Type="http://schemas.openxmlformats.org/officeDocument/2006/relationships/hyperlink" Target="https://www.agora-energiewende.de/fileadmin/Projekte/2017/SynKost_2050/Agora_SynCost-Studie_WEB.pdf" TargetMode="External"/><Relationship Id="rId9" Type="http://schemas.openxmlformats.org/officeDocument/2006/relationships/hyperlink" Target="https://www.agora-energiewende.de/fileadmin/Projekte/2017/SynKost_2050/Agora_SynCost-Studie_WEB.pdf" TargetMode="External"/><Relationship Id="rId13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18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39" Type="http://schemas.openxmlformats.org/officeDocument/2006/relationships/hyperlink" Target="https://www.agora-energiewende.de/fileadmin/Projekte/2017/SynKost_2050/Agora_SynCost-Studie_WEB.pdf" TargetMode="External"/><Relationship Id="rId109" Type="http://schemas.microsoft.com/office/2017/10/relationships/threadedComment" Target="../threadedComments/threadedComment5.xml"/><Relationship Id="rId34" Type="http://schemas.openxmlformats.org/officeDocument/2006/relationships/hyperlink" Target="https://www.agora-energiewende.de/fileadmin/Projekte/2017/SynKost_2050/Agora_SynCost-Studie_WEB.pdf" TargetMode="External"/><Relationship Id="rId50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55" Type="http://schemas.openxmlformats.org/officeDocument/2006/relationships/hyperlink" Target="https://github.com/PyPSA/technology-data/tree/master/outputs" TargetMode="External"/><Relationship Id="rId76" Type="http://schemas.openxmlformats.org/officeDocument/2006/relationships/hyperlink" Target="https://www.agora-energiewende.de/fileadmin/Projekte/2017/SynKost_2050/Agora_SynCost-Studie_WEB.pdf" TargetMode="External"/><Relationship Id="rId97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104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7" Type="http://schemas.openxmlformats.org/officeDocument/2006/relationships/hyperlink" Target="https://github.com/PyPSA/technology-data/tree/master/outputs" TargetMode="External"/><Relationship Id="rId71" Type="http://schemas.openxmlformats.org/officeDocument/2006/relationships/hyperlink" Target="https://www.iea.org/reports/world-energy-model/techno-economic-inputs" TargetMode="External"/><Relationship Id="rId92" Type="http://schemas.openxmlformats.org/officeDocument/2006/relationships/hyperlink" Target="https://hydrogencouncil.com/wp-content/uploads/2021/02/Hydrogen-Insights-2021.pdf" TargetMode="External"/><Relationship Id="rId2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29" Type="http://schemas.openxmlformats.org/officeDocument/2006/relationships/hyperlink" Target="https://www.agora-energiewende.de/fileadmin/Projekte/2017/SynKost_2050/Agora_SynCost-Studie_WEB.pdf" TargetMode="External"/><Relationship Id="rId24" Type="http://schemas.openxmlformats.org/officeDocument/2006/relationships/hyperlink" Target="https://www.iea.org/reports/world-energy-model/techno-economic-inputs" TargetMode="External"/><Relationship Id="rId40" Type="http://schemas.openxmlformats.org/officeDocument/2006/relationships/hyperlink" Target="https://www.agora-energiewende.de/fileadmin/Projekte/2017/SynKost_2050/Agora_SynCost-Studie_WEB.pdf" TargetMode="External"/><Relationship Id="rId45" Type="http://schemas.openxmlformats.org/officeDocument/2006/relationships/hyperlink" Target="https://hydrogencouncil.com/wp-content/uploads/2021/02/Hydrogen-Insights-2021.pdf" TargetMode="External"/><Relationship Id="rId66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87" Type="http://schemas.openxmlformats.org/officeDocument/2006/relationships/hyperlink" Target="https://www.agora-energiewende.de/fileadmin/Projekte/2017/SynKost_2050/Agora_SynCost-Studie_WEB.pdf" TargetMode="External"/><Relationship Id="rId6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82" Type="http://schemas.openxmlformats.org/officeDocument/2006/relationships/hyperlink" Target="https://www.agora-energiewende.de/fileadmin/Projekte/2017/SynKost_2050/Agora_SynCost-Studie_WEB.pdf" TargetMode="External"/><Relationship Id="rId19" Type="http://schemas.openxmlformats.org/officeDocument/2006/relationships/hyperlink" Target="https://iea.blob.core.windows.net/assets/a02a0c80-77b2-462e-a9d5-1099e0e572ce/IEA-The-Future-of-Hydrogen-Assumptions-Annex.pdf" TargetMode="External"/><Relationship Id="rId14" Type="http://schemas.openxmlformats.org/officeDocument/2006/relationships/hyperlink" Target="https://www.agora-energiewende.de/fileadmin/Projekte/2017/SynKost_2050/Agora_SynCost-Studie_WEB.pdf" TargetMode="External"/><Relationship Id="rId30" Type="http://schemas.openxmlformats.org/officeDocument/2006/relationships/hyperlink" Target="https://www.bmwk.de/Redaktion/DE/Downloads/Studien/transformationspfade-fuer-strombasierte-energietraeger.pdf?__blob=publicationFile" TargetMode="External"/><Relationship Id="rId35" Type="http://schemas.openxmlformats.org/officeDocument/2006/relationships/hyperlink" Target="https://www.bmwk.de/Redaktion/DE/Downloads/Studien/transformationspfade-fuer-strombasierte-energietraeger.pdf?__blob=publicationFile" TargetMode="External"/><Relationship Id="rId56" Type="http://schemas.openxmlformats.org/officeDocument/2006/relationships/hyperlink" Target="https://www.agora-energiewende.de/fileadmin/Projekte/2017/SynKost_2050/Agora_SynCost-Studie_WEB.pdf" TargetMode="External"/><Relationship Id="rId77" Type="http://schemas.openxmlformats.org/officeDocument/2006/relationships/hyperlink" Target="https://www.agora-energiewende.de/fileadmin/Projekte/2017/SynKost_2050/Agora_SynCost-Studie_WEB.pdf" TargetMode="External"/><Relationship Id="rId100" Type="http://schemas.openxmlformats.org/officeDocument/2006/relationships/hyperlink" Target="https://hydrogencouncil.com/wp-content/uploads/2021/02/Hydrogen-Insights-2021.pdf" TargetMode="External"/><Relationship Id="rId105" Type="http://schemas.openxmlformats.org/officeDocument/2006/relationships/hyperlink" Target="https://www.agora-energiewende.de/fileadmin/Projekte/2017/SynKost_2050/Agora_SynCost-Studie_WEB.pdf" TargetMode="External"/><Relationship Id="rId8" Type="http://schemas.openxmlformats.org/officeDocument/2006/relationships/hyperlink" Target="https://www.agora-energiewende.de/fileadmin/Projekte/2017/SynKost_2050/Agora_SynCost-Studie_WEB.pdf" TargetMode="External"/><Relationship Id="rId51" Type="http://schemas.openxmlformats.org/officeDocument/2006/relationships/hyperlink" Target="https://www.agora-energiewende.de/fileadmin/Projekte/2017/SynKost_2050/Agora_SynCost-Studie_WEB.pdf" TargetMode="External"/><Relationship Id="rId72" Type="http://schemas.openxmlformats.org/officeDocument/2006/relationships/hyperlink" Target="https://www.iea.org/reports/world-energy-model/techno-economic-inputs" TargetMode="External"/><Relationship Id="rId93" Type="http://schemas.openxmlformats.org/officeDocument/2006/relationships/hyperlink" Target="https://hydrogencouncil.com/wp-content/uploads/2021/02/Hydrogen-Insights-2021.pdf" TargetMode="External"/><Relationship Id="rId98" Type="http://schemas.openxmlformats.org/officeDocument/2006/relationships/hyperlink" Target="https://www.bmwk.de/Redaktion/DE/Downloads/Studien/transformationspfade-fuer-strombasierte-energietraeger.pdf?__blob=publicationFile" TargetMode="External"/><Relationship Id="rId3" Type="http://schemas.openxmlformats.org/officeDocument/2006/relationships/hyperlink" Target="https://www.agora-energiewende.de/fileadmin/Projekte/2017/SynKost_2050/Agora_SynCost-Studie_WEB.pdf" TargetMode="External"/><Relationship Id="rId25" Type="http://schemas.openxmlformats.org/officeDocument/2006/relationships/hyperlink" Target="https://www.bmwk.de/Redaktion/DE/Downloads/Studien/transformationspfade-fuer-strombasierte-energietraeger.pdf?__blob=publicationFile" TargetMode="External"/><Relationship Id="rId46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67" Type="http://schemas.openxmlformats.org/officeDocument/2006/relationships/hyperlink" Target="https://iea.blob.core.windows.net/assets/a02a0c80-77b2-462e-a9d5-1099e0e572ce/IEA-The-Future-of-Hydrogen-Assumptions-Annex.pdf" TargetMode="External"/><Relationship Id="rId20" Type="http://schemas.openxmlformats.org/officeDocument/2006/relationships/hyperlink" Target="https://hydrogencouncil.com/wp-content/uploads/2021/02/Hydrogen-Insights-2021.pdf" TargetMode="External"/><Relationship Id="rId4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62" Type="http://schemas.openxmlformats.org/officeDocument/2006/relationships/hyperlink" Target="https://www.agora-energiewende.de/fileadmin/Projekte/2017/SynKost_2050/Agora_SynCost-Studie_WEB.pdf" TargetMode="External"/><Relationship Id="rId83" Type="http://schemas.openxmlformats.org/officeDocument/2006/relationships/hyperlink" Target="https://www.bmwk.de/Redaktion/DE/Downloads/Studien/transformationspfade-fuer-strombasierte-energietraeger.pdf?__blob=publicationFile" TargetMode="External"/><Relationship Id="rId88" Type="http://schemas.openxmlformats.org/officeDocument/2006/relationships/hyperlink" Target="https://www.agora-energiewende.de/fileadmin/Projekte/2017/SynKost_2050/Agora_SynCost-Studie_WEB.pdf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gasforclimate2050.eu/wp-content/uploads/2022/04/EHB-A-European-hydrogen-infrastructure-vision-covering-28-countries.pdf" TargetMode="External"/><Relationship Id="rId21" Type="http://schemas.openxmlformats.org/officeDocument/2006/relationships/hyperlink" Target="https://www.irena.org/-/media/Files/IRENA/Agency/Publication/2022/Apr/IRENA_Global_Trade_Hydrogen_2022.pdf" TargetMode="External"/><Relationship Id="rId42" Type="http://schemas.openxmlformats.org/officeDocument/2006/relationships/hyperlink" Target="https://iea.blob.core.windows.net/assets/a02a0c80-77b2-462e-a9d5-1099e0e572ce/IEA-The-Future-of-Hydrogen-Assumptions-Annex.pdf" TargetMode="External"/><Relationship Id="rId63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84" Type="http://schemas.openxmlformats.org/officeDocument/2006/relationships/hyperlink" Target="https://www.irena.org/-/media/Files/IRENA/Agency/Publication/2022/Apr/IRENA_Global_Trade_Hydrogen_2022.pdf" TargetMode="External"/><Relationship Id="rId16" Type="http://schemas.openxmlformats.org/officeDocument/2006/relationships/hyperlink" Target="https://www.irena.org/-/media/Files/IRENA/Agency/Publication/2022/Apr/IRENA_Global_Trade_Hydrogen_2022.pdf" TargetMode="External"/><Relationship Id="rId107" Type="http://schemas.openxmlformats.org/officeDocument/2006/relationships/hyperlink" Target="https://www.irena.org/-/media/Files/IRENA/Agency/Publication/2022/Apr/IRENA_Global_Trade_Hydrogen_2022.pdf" TargetMode="External"/><Relationship Id="rId11" Type="http://schemas.openxmlformats.org/officeDocument/2006/relationships/hyperlink" Target="https://iea.blob.core.windows.net/assets/a02a0c80-77b2-462e-a9d5-1099e0e572ce/IEA-The-Future-of-Hydrogen-Assumptions-Annex.pdf" TargetMode="External"/><Relationship Id="rId32" Type="http://schemas.openxmlformats.org/officeDocument/2006/relationships/hyperlink" Target="https://iea.blob.core.windows.net/assets/a02a0c80-77b2-462e-a9d5-1099e0e572ce/IEA-The-Future-of-Hydrogen-Assumptions-Annex.pdf" TargetMode="External"/><Relationship Id="rId37" Type="http://schemas.openxmlformats.org/officeDocument/2006/relationships/hyperlink" Target="https://www.irena.org/-/media/Files/IRENA/Agency/Publication/2022/Apr/IRENA_Global_Trade_Hydrogen_2022.pdf" TargetMode="External"/><Relationship Id="rId53" Type="http://schemas.openxmlformats.org/officeDocument/2006/relationships/hyperlink" Target="https://github.com/PyPSA/technology-data/tree/master/outputs" TargetMode="External"/><Relationship Id="rId58" Type="http://schemas.openxmlformats.org/officeDocument/2006/relationships/hyperlink" Target="https://gasforclimate2050.eu/wp-content/uploads/2022/04/EHB-A-European-hydrogen-infrastructure-vision-covering-28-countries.pdf" TargetMode="External"/><Relationship Id="rId74" Type="http://schemas.openxmlformats.org/officeDocument/2006/relationships/hyperlink" Target="https://www.irena.org/-/media/Files/IRENA/Agency/Publication/2022/Apr/IRENA_Global_Trade_Hydrogen_2022.pdf" TargetMode="External"/><Relationship Id="rId79" Type="http://schemas.openxmlformats.org/officeDocument/2006/relationships/hyperlink" Target="https://iea.blob.core.windows.net/assets/a02a0c80-77b2-462e-a9d5-1099e0e572ce/IEA-The-Future-of-Hydrogen-Assumptions-Annex.pdf" TargetMode="External"/><Relationship Id="rId102" Type="http://schemas.openxmlformats.org/officeDocument/2006/relationships/hyperlink" Target="https://iea.blob.core.windows.net/assets/a02a0c80-77b2-462e-a9d5-1099e0e572ce/IEA-The-Future-of-Hydrogen-Assumptions-Annex.pdf" TargetMode="External"/><Relationship Id="rId123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128" Type="http://schemas.openxmlformats.org/officeDocument/2006/relationships/hyperlink" Target="https://www.sciencedirect.com/science/article/pii/S0306261917305457" TargetMode="External"/><Relationship Id="rId5" Type="http://schemas.openxmlformats.org/officeDocument/2006/relationships/hyperlink" Target="https://www.irena.org/-/media/Files/IRENA/Agency/Publication/2022/Apr/IRENA_Global_Trade_Hydrogen_2022.pdf" TargetMode="External"/><Relationship Id="rId90" Type="http://schemas.openxmlformats.org/officeDocument/2006/relationships/hyperlink" Target="https://hss-opus.ub.ruhr-uni-bochum.de/opus4/frontdoor/deliver/index/docId/8718/file/diss.pdf" TargetMode="External"/><Relationship Id="rId95" Type="http://schemas.openxmlformats.org/officeDocument/2006/relationships/hyperlink" Target="https://www.irena.org/-/media/Files/IRENA/Agency/Publication/2022/Apr/IRENA_Global_Trade_Hydrogen_2022.pdf" TargetMode="External"/><Relationship Id="rId22" Type="http://schemas.openxmlformats.org/officeDocument/2006/relationships/hyperlink" Target="https://www.irena.org/-/media/Files/IRENA/Agency/Publication/2022/Apr/IRENA_Global_Trade_Hydrogen_2022.pdf" TargetMode="External"/><Relationship Id="rId27" Type="http://schemas.openxmlformats.org/officeDocument/2006/relationships/hyperlink" Target="https://gasforclimate2050.eu/wp-content/uploads/2022/04/EHB-A-European-hydrogen-infrastructure-vision-covering-28-countries.pdf" TargetMode="External"/><Relationship Id="rId43" Type="http://schemas.openxmlformats.org/officeDocument/2006/relationships/hyperlink" Target="https://www.irena.org/-/media/Files/IRENA/Agency/Publication/2022/Apr/IRENA_Global_Trade_Hydrogen_2022.pdf" TargetMode="External"/><Relationship Id="rId48" Type="http://schemas.openxmlformats.org/officeDocument/2006/relationships/hyperlink" Target="https://github.com/PyPSA/technology-data/tree/master/outputs" TargetMode="External"/><Relationship Id="rId64" Type="http://schemas.openxmlformats.org/officeDocument/2006/relationships/hyperlink" Target="https://www.irena.org/-/media/Files/IRENA/Agency/Publication/2022/Apr/IRENA_Global_Trade_Hydrogen_2022.pdf" TargetMode="External"/><Relationship Id="rId69" Type="http://schemas.openxmlformats.org/officeDocument/2006/relationships/hyperlink" Target="https://github.com/PyPSA/technology-data/tree/master/outputs" TargetMode="External"/><Relationship Id="rId113" Type="http://schemas.openxmlformats.org/officeDocument/2006/relationships/hyperlink" Target="https://github.com/PyPSA/technology-data/tree/master/outputs" TargetMode="External"/><Relationship Id="rId118" Type="http://schemas.openxmlformats.org/officeDocument/2006/relationships/hyperlink" Target="https://gasforclimate2050.eu/wp-content/uploads/2022/04/EHB-A-European-hydrogen-infrastructure-vision-covering-28-countries.pdf" TargetMode="External"/><Relationship Id="rId134" Type="http://schemas.openxmlformats.org/officeDocument/2006/relationships/comments" Target="../comments6.xml"/><Relationship Id="rId80" Type="http://schemas.openxmlformats.org/officeDocument/2006/relationships/hyperlink" Target="https://github.com/PyPSA/technology-data/tree/master/outputs" TargetMode="External"/><Relationship Id="rId85" Type="http://schemas.openxmlformats.org/officeDocument/2006/relationships/hyperlink" Target="https://www.irena.org/-/media/Files/IRENA/Agency/Publication/2022/Apr/IRENA_Global_Trade_Hydrogen_2022.pdf" TargetMode="External"/><Relationship Id="rId12" Type="http://schemas.openxmlformats.org/officeDocument/2006/relationships/hyperlink" Target="https://iea.blob.core.windows.net/assets/a02a0c80-77b2-462e-a9d5-1099e0e572ce/IEA-The-Future-of-Hydrogen-Assumptions-Annex.pdf" TargetMode="External"/><Relationship Id="rId17" Type="http://schemas.openxmlformats.org/officeDocument/2006/relationships/hyperlink" Target="https://www.irena.org/-/media/Files/IRENA/Agency/Publication/2022/Apr/IRENA_Global_Trade_Hydrogen_2022.pdf" TargetMode="External"/><Relationship Id="rId33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38" Type="http://schemas.openxmlformats.org/officeDocument/2006/relationships/hyperlink" Target="https://www.irena.org/-/media/Files/IRENA/Agency/Publication/2022/Apr/IRENA_Global_Trade_Hydrogen_2022.pdf" TargetMode="External"/><Relationship Id="rId59" Type="http://schemas.openxmlformats.org/officeDocument/2006/relationships/hyperlink" Target="https://hss-opus.ub.ruhr-uni-bochum.de/opus4/frontdoor/deliver/index/docId/8718/file/diss.pdf" TargetMode="External"/><Relationship Id="rId103" Type="http://schemas.openxmlformats.org/officeDocument/2006/relationships/hyperlink" Target="https://www.irena.org/-/media/Files/IRENA/Agency/Publication/2022/Apr/IRENA_Global_Trade_Hydrogen_2022.pdf" TargetMode="External"/><Relationship Id="rId108" Type="http://schemas.openxmlformats.org/officeDocument/2006/relationships/hyperlink" Target="https://github.com/PyPSA/technology-data/tree/master/outputs" TargetMode="External"/><Relationship Id="rId124" Type="http://schemas.openxmlformats.org/officeDocument/2006/relationships/hyperlink" Target="https://github.com/PyPSA/technology-data/tree/master/outputs" TargetMode="External"/><Relationship Id="rId129" Type="http://schemas.openxmlformats.org/officeDocument/2006/relationships/hyperlink" Target="https://www.sciencedirect.com/science/article/abs/pii/S0360319914012804" TargetMode="External"/><Relationship Id="rId54" Type="http://schemas.openxmlformats.org/officeDocument/2006/relationships/hyperlink" Target="https://www.irena.org/-/media/Files/IRENA/Agency/Publication/2022/Apr/IRENA_Global_Trade_Hydrogen_2022.pdf" TargetMode="External"/><Relationship Id="rId70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75" Type="http://schemas.openxmlformats.org/officeDocument/2006/relationships/hyperlink" Target="https://github.com/PyPSA/technology-data/tree/master/outputs" TargetMode="External"/><Relationship Id="rId9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96" Type="http://schemas.openxmlformats.org/officeDocument/2006/relationships/hyperlink" Target="https://github.com/PyPSA/technology-data/tree/master/outputs" TargetMode="External"/><Relationship Id="rId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6" Type="http://schemas.openxmlformats.org/officeDocument/2006/relationships/hyperlink" Target="https://github.com/PyPSA/technology-data/tree/master/outputs" TargetMode="External"/><Relationship Id="rId23" Type="http://schemas.openxmlformats.org/officeDocument/2006/relationships/hyperlink" Target="https://github.com/PyPSA/technology-data/tree/master/outputs" TargetMode="External"/><Relationship Id="rId28" Type="http://schemas.openxmlformats.org/officeDocument/2006/relationships/hyperlink" Target="https://gasforclimate2050.eu/wp-content/uploads/2022/04/EHB-A-European-hydrogen-infrastructure-vision-covering-28-countries.pdf" TargetMode="External"/><Relationship Id="rId49" Type="http://schemas.openxmlformats.org/officeDocument/2006/relationships/hyperlink" Target="https://iea.blob.core.windows.net/assets/a02a0c80-77b2-462e-a9d5-1099e0e572ce/IEA-The-Future-of-Hydrogen-Assumptions-Annex.pdf" TargetMode="External"/><Relationship Id="rId114" Type="http://schemas.openxmlformats.org/officeDocument/2006/relationships/hyperlink" Target="https://www.irena.org/-/media/Files/IRENA/Agency/Publication/2022/Apr/IRENA_Global_Trade_Hydrogen_2022.pdf" TargetMode="External"/><Relationship Id="rId119" Type="http://schemas.openxmlformats.org/officeDocument/2006/relationships/hyperlink" Target="https://hss-opus.ub.ruhr-uni-bochum.de/opus4/frontdoor/deliver/index/docId/8718/file/diss.pdf" TargetMode="External"/><Relationship Id="rId44" Type="http://schemas.openxmlformats.org/officeDocument/2006/relationships/hyperlink" Target="https://www.irena.org/-/media/Files/IRENA/Agency/Publication/2022/Apr/IRENA_Global_Trade_Hydrogen_2022.pdf" TargetMode="External"/><Relationship Id="rId60" Type="http://schemas.openxmlformats.org/officeDocument/2006/relationships/hyperlink" Target="https://hss-opus.ub.ruhr-uni-bochum.de/opus4/frontdoor/deliver/index/docId/8718/file/diss.pdf" TargetMode="External"/><Relationship Id="rId65" Type="http://schemas.openxmlformats.org/officeDocument/2006/relationships/hyperlink" Target="https://www.irena.org/-/media/Files/IRENA/Agency/Publication/2022/Apr/IRENA_Global_Trade_Hydrogen_2022.pdf" TargetMode="External"/><Relationship Id="rId81" Type="http://schemas.openxmlformats.org/officeDocument/2006/relationships/hyperlink" Target="https://www.irena.org/-/media/Files/IRENA/Agency/Publication/2022/Apr/IRENA_Global_Trade_Hydrogen_2022.pdf" TargetMode="External"/><Relationship Id="rId86" Type="http://schemas.openxmlformats.org/officeDocument/2006/relationships/hyperlink" Target="https://gasforclimate2050.eu/wp-content/uploads/2022/04/EHB-A-European-hydrogen-infrastructure-vision-covering-28-countries.pdf" TargetMode="External"/><Relationship Id="rId130" Type="http://schemas.openxmlformats.org/officeDocument/2006/relationships/hyperlink" Target="https://www.bsh.de/DE/THEMEN/Offshore/Meeresfachplanung/Fortschreibung/_Anlagen/Downloads/Kurzstudie_Wasserstofferzeugung.pdf?__blob=publicationFile&amp;v=1" TargetMode="External"/><Relationship Id="rId135" Type="http://schemas.microsoft.com/office/2017/10/relationships/threadedComment" Target="../threadedComments/threadedComment6.xml"/><Relationship Id="rId13" Type="http://schemas.openxmlformats.org/officeDocument/2006/relationships/hyperlink" Target="https://www.irena.org/-/media/Files/IRENA/Agency/Publication/2022/Apr/IRENA_Global_Trade_Hydrogen_2022.pdf" TargetMode="External"/><Relationship Id="rId18" Type="http://schemas.openxmlformats.org/officeDocument/2006/relationships/hyperlink" Target="https://github.com/PyPSA/technology-data/tree/master/outputs" TargetMode="External"/><Relationship Id="rId39" Type="http://schemas.openxmlformats.org/officeDocument/2006/relationships/hyperlink" Target="https://github.com/PyPSA/technology-data/tree/master/outputs" TargetMode="External"/><Relationship Id="rId109" Type="http://schemas.openxmlformats.org/officeDocument/2006/relationships/hyperlink" Target="https://iea.blob.core.windows.net/assets/a02a0c80-77b2-462e-a9d5-1099e0e572ce/IEA-The-Future-of-Hydrogen-Assumptions-Annex.pdf" TargetMode="External"/><Relationship Id="rId34" Type="http://schemas.openxmlformats.org/officeDocument/2006/relationships/hyperlink" Target="https://www.irena.org/-/media/Files/IRENA/Agency/Publication/2022/Apr/IRENA_Global_Trade_Hydrogen_2022.pdf" TargetMode="External"/><Relationship Id="rId50" Type="http://schemas.openxmlformats.org/officeDocument/2006/relationships/hyperlink" Target="https://github.com/PyPSA/technology-data/tree/master/outputs" TargetMode="External"/><Relationship Id="rId55" Type="http://schemas.openxmlformats.org/officeDocument/2006/relationships/hyperlink" Target="https://www.irena.org/-/media/Files/IRENA/Agency/Publication/2022/Apr/IRENA_Global_Trade_Hydrogen_2022.pdf" TargetMode="External"/><Relationship Id="rId76" Type="http://schemas.openxmlformats.org/officeDocument/2006/relationships/hyperlink" Target="https://www.irena.org/-/media/Files/IRENA/Agency/Publication/2022/Apr/IRENA_Global_Trade_Hydrogen_2022.pdf" TargetMode="External"/><Relationship Id="rId97" Type="http://schemas.openxmlformats.org/officeDocument/2006/relationships/hyperlink" Target="https://www.irena.org/-/media/Files/IRENA/Agency/Publication/2022/Apr/IRENA_Global_Trade_Hydrogen_2022.pdf" TargetMode="External"/><Relationship Id="rId104" Type="http://schemas.openxmlformats.org/officeDocument/2006/relationships/hyperlink" Target="https://www.irena.org/-/media/Files/IRENA/Agency/Publication/2022/Apr/IRENA_Global_Trade_Hydrogen_2022.pdf" TargetMode="External"/><Relationship Id="rId120" Type="http://schemas.openxmlformats.org/officeDocument/2006/relationships/hyperlink" Target="https://hss-opus.ub.ruhr-uni-bochum.de/opus4/frontdoor/deliver/index/docId/8718/file/diss.pdf" TargetMode="External"/><Relationship Id="rId125" Type="http://schemas.openxmlformats.org/officeDocument/2006/relationships/hyperlink" Target="https://www.irena.org/-/media/Files/IRENA/Agency/Publication/2022/Apr/IRENA_Global_Trade_Hydrogen_2022.pdf" TargetMode="External"/><Relationship Id="rId7" Type="http://schemas.openxmlformats.org/officeDocument/2006/relationships/hyperlink" Target="https://www.irena.org/-/media/Files/IRENA/Agency/Publication/2022/Apr/IRENA_Global_Trade_Hydrogen_2022.pdf" TargetMode="External"/><Relationship Id="rId71" Type="http://schemas.openxmlformats.org/officeDocument/2006/relationships/hyperlink" Target="https://iea.blob.core.windows.net/assets/a02a0c80-77b2-462e-a9d5-1099e0e572ce/IEA-The-Future-of-Hydrogen-Assumptions-Annex.pdf" TargetMode="External"/><Relationship Id="rId92" Type="http://schemas.openxmlformats.org/officeDocument/2006/relationships/hyperlink" Target="https://iea.blob.core.windows.net/assets/a02a0c80-77b2-462e-a9d5-1099e0e572ce/IEA-The-Future-of-Hydrogen-Assumptions-Annex.pdf" TargetMode="External"/><Relationship Id="rId2" Type="http://schemas.openxmlformats.org/officeDocument/2006/relationships/hyperlink" Target="https://iea.blob.core.windows.net/assets/a02a0c80-77b2-462e-a9d5-1099e0e572ce/IEA-The-Future-of-Hydrogen-Assumptions-Annex.pdf" TargetMode="External"/><Relationship Id="rId29" Type="http://schemas.openxmlformats.org/officeDocument/2006/relationships/hyperlink" Target="https://hss-opus.ub.ruhr-uni-bochum.de/opus4/frontdoor/deliver/index/docId/8718/file/diss.pdf" TargetMode="External"/><Relationship Id="rId24" Type="http://schemas.openxmlformats.org/officeDocument/2006/relationships/hyperlink" Target="https://www.irena.org/-/media/Files/IRENA/Agency/Publication/2022/Apr/IRENA_Global_Trade_Hydrogen_2022.pdf" TargetMode="External"/><Relationship Id="rId40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45" Type="http://schemas.openxmlformats.org/officeDocument/2006/relationships/hyperlink" Target="https://github.com/PyPSA/technology-data/tree/master/outputs" TargetMode="External"/><Relationship Id="rId66" Type="http://schemas.openxmlformats.org/officeDocument/2006/relationships/hyperlink" Target="https://github.com/PyPSA/technology-data/tree/master/outputs" TargetMode="External"/><Relationship Id="rId87" Type="http://schemas.openxmlformats.org/officeDocument/2006/relationships/hyperlink" Target="https://gasforclimate2050.eu/wp-content/uploads/2022/04/EHB-A-European-hydrogen-infrastructure-vision-covering-28-countries.pdf" TargetMode="External"/><Relationship Id="rId110" Type="http://schemas.openxmlformats.org/officeDocument/2006/relationships/hyperlink" Target="https://github.com/PyPSA/technology-data/tree/master/outputs" TargetMode="External"/><Relationship Id="rId115" Type="http://schemas.openxmlformats.org/officeDocument/2006/relationships/hyperlink" Target="https://www.irena.org/-/media/Files/IRENA/Agency/Publication/2022/Apr/IRENA_Global_Trade_Hydrogen_2022.pdf" TargetMode="External"/><Relationship Id="rId131" Type="http://schemas.openxmlformats.org/officeDocument/2006/relationships/hyperlink" Target="https://hss-opus.ub.ruhr-uni-bochum.de/opus4/frontdoor/deliver/index/docId/8718/file/diss.pdf" TargetMode="External"/><Relationship Id="rId6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82" Type="http://schemas.openxmlformats.org/officeDocument/2006/relationships/hyperlink" Target="https://www.irena.org/-/media/Files/IRENA/Agency/Publication/2022/Apr/IRENA_Global_Trade_Hydrogen_2022.pdf" TargetMode="External"/><Relationship Id="rId19" Type="http://schemas.openxmlformats.org/officeDocument/2006/relationships/hyperlink" Target="https://iea.blob.core.windows.net/assets/a02a0c80-77b2-462e-a9d5-1099e0e572ce/IEA-The-Future-of-Hydrogen-Assumptions-Annex.pdf" TargetMode="External"/><Relationship Id="rId14" Type="http://schemas.openxmlformats.org/officeDocument/2006/relationships/hyperlink" Target="https://www.irena.org/-/media/Files/IRENA/Agency/Publication/2022/Apr/IRENA_Global_Trade_Hydrogen_2022.pdf" TargetMode="External"/><Relationship Id="rId30" Type="http://schemas.openxmlformats.org/officeDocument/2006/relationships/hyperlink" Target="https://hss-opus.ub.ruhr-uni-bochum.de/opus4/frontdoor/deliver/index/docId/8718/file/diss.pdf" TargetMode="External"/><Relationship Id="rId35" Type="http://schemas.openxmlformats.org/officeDocument/2006/relationships/hyperlink" Target="https://www.irena.org/-/media/Files/IRENA/Agency/Publication/2022/Apr/IRENA_Global_Trade_Hydrogen_2022.pdf" TargetMode="External"/><Relationship Id="rId56" Type="http://schemas.openxmlformats.org/officeDocument/2006/relationships/hyperlink" Target="https://gasforclimate2050.eu/wp-content/uploads/2022/04/EHB-A-European-hydrogen-infrastructure-vision-covering-28-countries.pdf" TargetMode="External"/><Relationship Id="rId77" Type="http://schemas.openxmlformats.org/officeDocument/2006/relationships/hyperlink" Target="https://www.irena.org/-/media/Files/IRENA/Agency/Publication/2022/Apr/IRENA_Global_Trade_Hydrogen_2022.pdf" TargetMode="External"/><Relationship Id="rId100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105" Type="http://schemas.openxmlformats.org/officeDocument/2006/relationships/hyperlink" Target="https://github.com/PyPSA/technology-data/tree/master/outputs" TargetMode="External"/><Relationship Id="rId126" Type="http://schemas.openxmlformats.org/officeDocument/2006/relationships/hyperlink" Target="https://gasforclimate2050.eu/wp-content/uploads/2022/04/EHB-A-European-hydrogen-infrastructure-vision-covering-28-countries.pdf" TargetMode="External"/><Relationship Id="rId8" Type="http://schemas.openxmlformats.org/officeDocument/2006/relationships/hyperlink" Target="https://www.irena.org/-/media/Files/IRENA/Agency/Publication/2022/Apr/IRENA_Global_Trade_Hydrogen_2022.pdf" TargetMode="External"/><Relationship Id="rId51" Type="http://schemas.openxmlformats.org/officeDocument/2006/relationships/hyperlink" Target="https://www.irena.org/-/media/Files/IRENA/Agency/Publication/2022/Apr/IRENA_Global_Trade_Hydrogen_2022.pdf" TargetMode="External"/><Relationship Id="rId72" Type="http://schemas.openxmlformats.org/officeDocument/2006/relationships/hyperlink" Target="https://iea.blob.core.windows.net/assets/a02a0c80-77b2-462e-a9d5-1099e0e572ce/IEA-The-Future-of-Hydrogen-Assumptions-Annex.pdf" TargetMode="External"/><Relationship Id="rId93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98" Type="http://schemas.openxmlformats.org/officeDocument/2006/relationships/hyperlink" Target="https://www.irena.org/-/media/Files/IRENA/Agency/Publication/2022/Apr/IRENA_Global_Trade_Hydrogen_2022.pdf" TargetMode="External"/><Relationship Id="rId12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3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25" Type="http://schemas.openxmlformats.org/officeDocument/2006/relationships/hyperlink" Target="https://www.irena.org/-/media/Files/IRENA/Agency/Publication/2022/Apr/IRENA_Global_Trade_Hydrogen_2022.pdf" TargetMode="External"/><Relationship Id="rId46" Type="http://schemas.openxmlformats.org/officeDocument/2006/relationships/hyperlink" Target="https://www.irena.org/-/media/Files/IRENA/Agency/Publication/2022/Apr/IRENA_Global_Trade_Hydrogen_2022.pdf" TargetMode="External"/><Relationship Id="rId67" Type="http://schemas.openxmlformats.org/officeDocument/2006/relationships/hyperlink" Target="https://www.irena.org/-/media/Files/IRENA/Agency/Publication/2022/Apr/IRENA_Global_Trade_Hydrogen_2022.pdf" TargetMode="External"/><Relationship Id="rId116" Type="http://schemas.openxmlformats.org/officeDocument/2006/relationships/hyperlink" Target="https://gasforclimate2050.eu/wp-content/uploads/2022/04/EHB-A-European-hydrogen-infrastructure-vision-covering-28-countries.pdf" TargetMode="External"/><Relationship Id="rId20" Type="http://schemas.openxmlformats.org/officeDocument/2006/relationships/hyperlink" Target="https://github.com/PyPSA/technology-data/tree/master/outputs" TargetMode="External"/><Relationship Id="rId41" Type="http://schemas.openxmlformats.org/officeDocument/2006/relationships/hyperlink" Target="https://iea.blob.core.windows.net/assets/a02a0c80-77b2-462e-a9d5-1099e0e572ce/IEA-The-Future-of-Hydrogen-Assumptions-Annex.pdf" TargetMode="External"/><Relationship Id="rId62" Type="http://schemas.openxmlformats.org/officeDocument/2006/relationships/hyperlink" Target="https://iea.blob.core.windows.net/assets/a02a0c80-77b2-462e-a9d5-1099e0e572ce/IEA-The-Future-of-Hydrogen-Assumptions-Annex.pdf" TargetMode="External"/><Relationship Id="rId83" Type="http://schemas.openxmlformats.org/officeDocument/2006/relationships/hyperlink" Target="https://github.com/PyPSA/technology-data/tree/master/outputs" TargetMode="External"/><Relationship Id="rId88" Type="http://schemas.openxmlformats.org/officeDocument/2006/relationships/hyperlink" Target="https://gasforclimate2050.eu/wp-content/uploads/2022/04/EHB-A-European-hydrogen-infrastructure-vision-covering-28-countries.pdf" TargetMode="External"/><Relationship Id="rId111" Type="http://schemas.openxmlformats.org/officeDocument/2006/relationships/hyperlink" Target="https://www.irena.org/-/media/Files/IRENA/Agency/Publication/2022/Apr/IRENA_Global_Trade_Hydrogen_2022.pdf" TargetMode="External"/><Relationship Id="rId132" Type="http://schemas.openxmlformats.org/officeDocument/2006/relationships/drawing" Target="../drawings/drawing5.xml"/><Relationship Id="rId15" Type="http://schemas.openxmlformats.org/officeDocument/2006/relationships/hyperlink" Target="https://github.com/PyPSA/technology-data/tree/master/outputs" TargetMode="External"/><Relationship Id="rId36" Type="http://schemas.openxmlformats.org/officeDocument/2006/relationships/hyperlink" Target="https://github.com/PyPSA/technology-data/tree/master/outputs" TargetMode="External"/><Relationship Id="rId57" Type="http://schemas.openxmlformats.org/officeDocument/2006/relationships/hyperlink" Target="https://gasforclimate2050.eu/wp-content/uploads/2022/04/EHB-A-European-hydrogen-infrastructure-vision-covering-28-countries.pdf" TargetMode="External"/><Relationship Id="rId106" Type="http://schemas.openxmlformats.org/officeDocument/2006/relationships/hyperlink" Target="https://www.irena.org/-/media/Files/IRENA/Agency/Publication/2022/Apr/IRENA_Global_Trade_Hydrogen_2022.pdf" TargetMode="External"/><Relationship Id="rId127" Type="http://schemas.openxmlformats.org/officeDocument/2006/relationships/hyperlink" Target="https://www.sciencedirect.com/science/article/abs/pii/S0306261919307111" TargetMode="External"/><Relationship Id="rId10" Type="http://schemas.openxmlformats.org/officeDocument/2006/relationships/hyperlink" Target="https://www.kopernikus-projekte.de/lw_resource/datapool/systemfiles/elements/files/D32E444962615928E0537E695E86CF27/live/document/DEC_P2X_IIITechnischerAnhang_web.pdf" TargetMode="External"/><Relationship Id="rId3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52" Type="http://schemas.openxmlformats.org/officeDocument/2006/relationships/hyperlink" Target="https://www.irena.org/-/media/Files/IRENA/Agency/Publication/2022/Apr/IRENA_Global_Trade_Hydrogen_2022.pdf" TargetMode="External"/><Relationship Id="rId73" Type="http://schemas.openxmlformats.org/officeDocument/2006/relationships/hyperlink" Target="https://www.irena.org/-/media/Files/IRENA/Agency/Publication/2022/Apr/IRENA_Global_Trade_Hydrogen_2022.pdf" TargetMode="External"/><Relationship Id="rId78" Type="http://schemas.openxmlformats.org/officeDocument/2006/relationships/hyperlink" Target="https://github.com/PyPSA/technology-data/tree/master/outputs" TargetMode="External"/><Relationship Id="rId94" Type="http://schemas.openxmlformats.org/officeDocument/2006/relationships/hyperlink" Target="https://www.irena.org/-/media/Files/IRENA/Agency/Publication/2022/Apr/IRENA_Global_Trade_Hydrogen_2022.pdf" TargetMode="External"/><Relationship Id="rId99" Type="http://schemas.openxmlformats.org/officeDocument/2006/relationships/hyperlink" Target="https://github.com/PyPSA/technology-data/tree/master/outputs" TargetMode="External"/><Relationship Id="rId101" Type="http://schemas.openxmlformats.org/officeDocument/2006/relationships/hyperlink" Target="https://iea.blob.core.windows.net/assets/a02a0c80-77b2-462e-a9d5-1099e0e572ce/IEA-The-Future-of-Hydrogen-Assumptions-Annex.pdf" TargetMode="External"/><Relationship Id="rId122" Type="http://schemas.openxmlformats.org/officeDocument/2006/relationships/hyperlink" Target="https://iea.blob.core.windows.net/assets/a02a0c80-77b2-462e-a9d5-1099e0e572ce/IEA-The-Future-of-Hydrogen-Assumptions-Annex.pdf" TargetMode="External"/><Relationship Id="rId4" Type="http://schemas.openxmlformats.org/officeDocument/2006/relationships/hyperlink" Target="https://www.irena.org/-/media/Files/IRENA/Agency/Publication/2022/Apr/IRENA_Global_Trade_Hydrogen_2022.pdf" TargetMode="External"/><Relationship Id="rId9" Type="http://schemas.openxmlformats.org/officeDocument/2006/relationships/hyperlink" Target="https://github.com/PyPSA/technology-data/tree/master/outputs" TargetMode="External"/><Relationship Id="rId26" Type="http://schemas.openxmlformats.org/officeDocument/2006/relationships/hyperlink" Target="https://gasforclimate2050.eu/wp-content/uploads/2022/04/EHB-A-European-hydrogen-infrastructure-vision-covering-28-countries.pdf" TargetMode="External"/><Relationship Id="rId47" Type="http://schemas.openxmlformats.org/officeDocument/2006/relationships/hyperlink" Target="https://www.irena.org/-/media/Files/IRENA/Agency/Publication/2022/Apr/IRENA_Global_Trade_Hydrogen_2022.pdf" TargetMode="External"/><Relationship Id="rId68" Type="http://schemas.openxmlformats.org/officeDocument/2006/relationships/hyperlink" Target="https://www.irena.org/-/media/Files/IRENA/Agency/Publication/2022/Apr/IRENA_Global_Trade_Hydrogen_2022.pdf" TargetMode="External"/><Relationship Id="rId89" Type="http://schemas.openxmlformats.org/officeDocument/2006/relationships/hyperlink" Target="https://hss-opus.ub.ruhr-uni-bochum.de/opus4/frontdoor/deliver/index/docId/8718/file/diss.pdf" TargetMode="External"/><Relationship Id="rId112" Type="http://schemas.openxmlformats.org/officeDocument/2006/relationships/hyperlink" Target="https://www.irena.org/-/media/Files/IRENA/Agency/Publication/2022/Apr/IRENA_Global_Trade_Hydrogen_2022.pdf" TargetMode="External"/><Relationship Id="rId133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ehb.eu/files/downloads/European-Hydrogen-Backbone-April-2021-V3.pdf" TargetMode="External"/><Relationship Id="rId21" Type="http://schemas.openxmlformats.org/officeDocument/2006/relationships/hyperlink" Target="https://gasforclimate2050.eu/wp-content/uploads/2022/04/EHB-A-European-hydrogen-infrastructure-vision-covering-28-countries.pdf" TargetMode="External"/><Relationship Id="rId42" Type="http://schemas.openxmlformats.org/officeDocument/2006/relationships/hyperlink" Target="https://gasforclimate2050.eu/wp-content/uploads/2022/04/EHB-A-European-hydrogen-infrastructure-vision-covering-28-countries.pdf" TargetMode="External"/><Relationship Id="rId63" Type="http://schemas.openxmlformats.org/officeDocument/2006/relationships/hyperlink" Target="https://gasforclimate2050.eu/wp-content/uploads/2022/04/EHB-A-European-hydrogen-infrastructure-vision-covering-28-countries.pdf" TargetMode="External"/><Relationship Id="rId84" Type="http://schemas.openxmlformats.org/officeDocument/2006/relationships/hyperlink" Target="https://ehb.eu/files/downloads/European-Hydrogen-Backbone-April-2021-V3.pdf" TargetMode="External"/><Relationship Id="rId138" Type="http://schemas.openxmlformats.org/officeDocument/2006/relationships/hyperlink" Target="https://gasforclimate2050.eu/wp-content/uploads/2022/04/EHB-A-European-hydrogen-infrastructure-vision-covering-28-countries.pdf" TargetMode="External"/><Relationship Id="rId159" Type="http://schemas.openxmlformats.org/officeDocument/2006/relationships/hyperlink" Target="https://www.irena.org/-/media/Files/IRENA/Agency/Publication/2022/Apr/IRENA_Global_Trade_Hydrogen_2022.pdf" TargetMode="External"/><Relationship Id="rId170" Type="http://schemas.openxmlformats.org/officeDocument/2006/relationships/hyperlink" Target="https://ehb.eu/files/downloads/European-Hydrogen-Backbone-April-2021-V3.pdf" TargetMode="External"/><Relationship Id="rId191" Type="http://schemas.openxmlformats.org/officeDocument/2006/relationships/hyperlink" Target="https://gasforclimate2050.eu/wp-content/uploads/2022/04/EHB-A-European-hydrogen-infrastructure-vision-covering-28-countries.pdf" TargetMode="External"/><Relationship Id="rId205" Type="http://schemas.openxmlformats.org/officeDocument/2006/relationships/hyperlink" Target="https://www.irena.org/-/media/Files/IRENA/Agency/Publication/2022/Apr/IRENA_Global_Trade_Hydrogen_2022.pdf" TargetMode="External"/><Relationship Id="rId107" Type="http://schemas.openxmlformats.org/officeDocument/2006/relationships/hyperlink" Target="https://iea.blob.core.windows.net/assets/a02a0c80-77b2-462e-a9d5-1099e0e572ce/IEA-The-Future-of-Hydrogen-Assumptions-Annex.pdf" TargetMode="External"/><Relationship Id="rId11" Type="http://schemas.openxmlformats.org/officeDocument/2006/relationships/hyperlink" Target="https://ehb.eu/files/downloads/European-Hydrogen-Backbone-April-2021-V3.pdf" TargetMode="External"/><Relationship Id="rId32" Type="http://schemas.openxmlformats.org/officeDocument/2006/relationships/hyperlink" Target="https://gasforclimate2050.eu/wp-content/uploads/2022/04/EHB-A-European-hydrogen-infrastructure-vision-covering-28-countries.pdf" TargetMode="External"/><Relationship Id="rId53" Type="http://schemas.openxmlformats.org/officeDocument/2006/relationships/hyperlink" Target="https://www.irena.org/-/media/Files/IRENA/Agency/Publication/2022/Apr/IRENA_Global_Trade_Hydrogen_2022.pdf" TargetMode="External"/><Relationship Id="rId74" Type="http://schemas.openxmlformats.org/officeDocument/2006/relationships/hyperlink" Target="https://gasforclimate2050.eu/wp-content/uploads/2022/04/EHB-A-European-hydrogen-infrastructure-vision-covering-28-countries.pdf" TargetMode="External"/><Relationship Id="rId128" Type="http://schemas.openxmlformats.org/officeDocument/2006/relationships/hyperlink" Target="https://gasforclimate2050.eu/wp-content/uploads/2022/04/EHB-A-European-hydrogen-infrastructure-vision-covering-28-countries.pdf" TargetMode="External"/><Relationship Id="rId149" Type="http://schemas.openxmlformats.org/officeDocument/2006/relationships/hyperlink" Target="https://iea.blob.core.windows.net/assets/a02a0c80-77b2-462e-a9d5-1099e0e572ce/IEA-The-Future-of-Hydrogen-Assumptions-Annex.pdf" TargetMode="External"/><Relationship Id="rId5" Type="http://schemas.openxmlformats.org/officeDocument/2006/relationships/hyperlink" Target="https://gasforclimate2050.eu/wp-content/uploads/2022/04/EHB-A-European-hydrogen-infrastructure-vision-covering-28-countries.pdf" TargetMode="External"/><Relationship Id="rId95" Type="http://schemas.openxmlformats.org/officeDocument/2006/relationships/hyperlink" Target="https://gasforclimate2050.eu/wp-content/uploads/2022/04/EHB-A-European-hydrogen-infrastructure-vision-covering-28-countries.pdf" TargetMode="External"/><Relationship Id="rId160" Type="http://schemas.openxmlformats.org/officeDocument/2006/relationships/hyperlink" Target="https://iea.blob.core.windows.net/assets/a02a0c80-77b2-462e-a9d5-1099e0e572ce/IEA-The-Future-of-Hydrogen-Assumptions-Annex.pdf" TargetMode="External"/><Relationship Id="rId181" Type="http://schemas.openxmlformats.org/officeDocument/2006/relationships/hyperlink" Target="https://gasforclimate2050.eu/wp-content/uploads/2022/04/EHB-A-European-hydrogen-infrastructure-vision-covering-28-countries.pdf" TargetMode="External"/><Relationship Id="rId216" Type="http://schemas.openxmlformats.org/officeDocument/2006/relationships/hyperlink" Target="https://github.com/PyPSA/technology-data/tree/master/outputs" TargetMode="External"/><Relationship Id="rId22" Type="http://schemas.openxmlformats.org/officeDocument/2006/relationships/hyperlink" Target="https://gasforclimate2050.eu/wp-content/uploads/2022/04/EHB-A-European-hydrogen-infrastructure-vision-covering-28-countries.pdf" TargetMode="External"/><Relationship Id="rId43" Type="http://schemas.openxmlformats.org/officeDocument/2006/relationships/hyperlink" Target="https://iea.blob.core.windows.net/assets/a02a0c80-77b2-462e-a9d5-1099e0e572ce/IEA-The-Future-of-Hydrogen-Assumptions-Annex.pdf" TargetMode="External"/><Relationship Id="rId64" Type="http://schemas.openxmlformats.org/officeDocument/2006/relationships/hyperlink" Target="https://ehb.eu/files/downloads/European-Hydrogen-Backbone-April-2021-V3.pdf" TargetMode="External"/><Relationship Id="rId118" Type="http://schemas.openxmlformats.org/officeDocument/2006/relationships/hyperlink" Target="https://gasforclimate2050.eu/wp-content/uploads/2022/04/EHB-A-European-hydrogen-infrastructure-vision-covering-28-countries.pdf" TargetMode="External"/><Relationship Id="rId139" Type="http://schemas.openxmlformats.org/officeDocument/2006/relationships/hyperlink" Target="https://gasforclimate2050.eu/wp-content/uploads/2022/04/EHB-A-European-hydrogen-infrastructure-vision-covering-28-countries.pdf" TargetMode="External"/><Relationship Id="rId85" Type="http://schemas.openxmlformats.org/officeDocument/2006/relationships/hyperlink" Target="https://gasforclimate2050.eu/wp-content/uploads/2022/04/EHB-A-European-hydrogen-infrastructure-vision-covering-28-countries.pdf" TargetMode="External"/><Relationship Id="rId150" Type="http://schemas.openxmlformats.org/officeDocument/2006/relationships/hyperlink" Target="https://github.com/PyPSA/technology-data/tree/master/outputs" TargetMode="External"/><Relationship Id="rId171" Type="http://schemas.openxmlformats.org/officeDocument/2006/relationships/hyperlink" Target="https://gasforclimate2050.eu/wp-content/uploads/2022/04/EHB-A-European-hydrogen-infrastructure-vision-covering-28-countries.pdf" TargetMode="External"/><Relationship Id="rId192" Type="http://schemas.openxmlformats.org/officeDocument/2006/relationships/hyperlink" Target="https://gasforclimate2050.eu/wp-content/uploads/2022/04/EHB-A-European-hydrogen-infrastructure-vision-covering-28-countries.pdf" TargetMode="External"/><Relationship Id="rId206" Type="http://schemas.openxmlformats.org/officeDocument/2006/relationships/hyperlink" Target="https://www.irena.org/-/media/Files/IRENA/Agency/Publication/2022/Apr/IRENA_Global_Trade_Hydrogen_2022.pdf" TargetMode="External"/><Relationship Id="rId12" Type="http://schemas.openxmlformats.org/officeDocument/2006/relationships/hyperlink" Target="https://gasforclimate2050.eu/wp-content/uploads/2022/04/EHB-A-European-hydrogen-infrastructure-vision-covering-28-countries.pdf" TargetMode="External"/><Relationship Id="rId33" Type="http://schemas.openxmlformats.org/officeDocument/2006/relationships/hyperlink" Target="https://gasforclimate2050.eu/wp-content/uploads/2022/04/EHB-A-European-hydrogen-infrastructure-vision-covering-28-countries.pdf" TargetMode="External"/><Relationship Id="rId108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129" Type="http://schemas.openxmlformats.org/officeDocument/2006/relationships/hyperlink" Target="https://ehb.eu/files/downloads/European-Hydrogen-Backbone-April-2021-V3.pdf" TargetMode="External"/><Relationship Id="rId54" Type="http://schemas.openxmlformats.org/officeDocument/2006/relationships/hyperlink" Target="https://iea.blob.core.windows.net/assets/a02a0c80-77b2-462e-a9d5-1099e0e572ce/IEA-The-Future-of-Hydrogen-Assumptions-Annex.pdf" TargetMode="External"/><Relationship Id="rId75" Type="http://schemas.openxmlformats.org/officeDocument/2006/relationships/hyperlink" Target="https://gasforclimate2050.eu/wp-content/uploads/2022/04/EHB-A-European-hydrogen-infrastructure-vision-covering-28-countries.pdf" TargetMode="External"/><Relationship Id="rId96" Type="http://schemas.openxmlformats.org/officeDocument/2006/relationships/hyperlink" Target="https://iea.blob.core.windows.net/assets/a02a0c80-77b2-462e-a9d5-1099e0e572ce/IEA-The-Future-of-Hydrogen-Assumptions-Annex.pdf" TargetMode="External"/><Relationship Id="rId140" Type="http://schemas.openxmlformats.org/officeDocument/2006/relationships/hyperlink" Target="https://gasforclimate2050.eu/wp-content/uploads/2022/04/EHB-A-European-hydrogen-infrastructure-vision-covering-28-countries.pdf" TargetMode="External"/><Relationship Id="rId16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182" Type="http://schemas.openxmlformats.org/officeDocument/2006/relationships/hyperlink" Target="https://ehb.eu/files/downloads/European-Hydrogen-Backbone-April-2021-V3.pdf" TargetMode="External"/><Relationship Id="rId217" Type="http://schemas.openxmlformats.org/officeDocument/2006/relationships/hyperlink" Target="https://hydrogencouncil.com/wp-content/uploads/2021/02/Hydrogen-Insights-2021.pdf" TargetMode="External"/><Relationship Id="rId6" Type="http://schemas.openxmlformats.org/officeDocument/2006/relationships/hyperlink" Target="https://gasforclimate2050.eu/wp-content/uploads/2022/04/EHB-A-European-hydrogen-infrastructure-vision-covering-28-countries.pdf" TargetMode="External"/><Relationship Id="rId23" Type="http://schemas.openxmlformats.org/officeDocument/2006/relationships/hyperlink" Target="https://ehb.eu/files/downloads/European-Hydrogen-Backbone-April-2021-V3.pdf" TargetMode="External"/><Relationship Id="rId119" Type="http://schemas.openxmlformats.org/officeDocument/2006/relationships/hyperlink" Target="https://gasforclimate2050.eu/wp-content/uploads/2022/04/EHB-A-European-hydrogen-infrastructure-vision-covering-28-countries.pdf" TargetMode="External"/><Relationship Id="rId44" Type="http://schemas.openxmlformats.org/officeDocument/2006/relationships/hyperlink" Target="https://github.com/PyPSA/technology-data/tree/master/outputs" TargetMode="External"/><Relationship Id="rId65" Type="http://schemas.openxmlformats.org/officeDocument/2006/relationships/hyperlink" Target="https://gasforclimate2050.eu/wp-content/uploads/2022/04/EHB-A-European-hydrogen-infrastructure-vision-covering-28-countries.pdf" TargetMode="External"/><Relationship Id="rId86" Type="http://schemas.openxmlformats.org/officeDocument/2006/relationships/hyperlink" Target="https://gasforclimate2050.eu/wp-content/uploads/2022/04/EHB-A-European-hydrogen-infrastructure-vision-covering-28-countries.pdf" TargetMode="External"/><Relationship Id="rId130" Type="http://schemas.openxmlformats.org/officeDocument/2006/relationships/hyperlink" Target="https://gasforclimate2050.eu/wp-content/uploads/2022/04/EHB-A-European-hydrogen-infrastructure-vision-covering-28-countries.pdf" TargetMode="External"/><Relationship Id="rId151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172" Type="http://schemas.openxmlformats.org/officeDocument/2006/relationships/hyperlink" Target="https://gasforclimate2050.eu/wp-content/uploads/2022/04/EHB-A-European-hydrogen-infrastructure-vision-covering-28-countries.pdf" TargetMode="External"/><Relationship Id="rId193" Type="http://schemas.openxmlformats.org/officeDocument/2006/relationships/hyperlink" Target="https://gasforclimate2050.eu/wp-content/uploads/2022/04/EHB-A-European-hydrogen-infrastructure-vision-covering-28-countries.pdf" TargetMode="External"/><Relationship Id="rId207" Type="http://schemas.openxmlformats.org/officeDocument/2006/relationships/hyperlink" Target="https://github.com/PyPSA/technology-data/tree/master/outputs" TargetMode="External"/><Relationship Id="rId13" Type="http://schemas.openxmlformats.org/officeDocument/2006/relationships/hyperlink" Target="https://gasforclimate2050.eu/wp-content/uploads/2022/04/EHB-A-European-hydrogen-infrastructure-vision-covering-28-countries.pdf" TargetMode="External"/><Relationship Id="rId109" Type="http://schemas.openxmlformats.org/officeDocument/2006/relationships/hyperlink" Target="https://ehb.eu/files/downloads/European-Hydrogen-Backbone-April-2021-V3.pdf" TargetMode="External"/><Relationship Id="rId34" Type="http://schemas.openxmlformats.org/officeDocument/2006/relationships/hyperlink" Target="https://gasforclimate2050.eu/wp-content/uploads/2022/04/EHB-A-European-hydrogen-infrastructure-vision-covering-28-countries.pdf" TargetMode="External"/><Relationship Id="rId55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76" Type="http://schemas.openxmlformats.org/officeDocument/2006/relationships/hyperlink" Target="https://ehb.eu/files/downloads/European-Hydrogen-Backbone-April-2021-V3.pdf" TargetMode="External"/><Relationship Id="rId97" Type="http://schemas.openxmlformats.org/officeDocument/2006/relationships/hyperlink" Target="https://github.com/PyPSA/technology-data/tree/master/outputs" TargetMode="External"/><Relationship Id="rId120" Type="http://schemas.openxmlformats.org/officeDocument/2006/relationships/hyperlink" Target="https://gasforclimate2050.eu/wp-content/uploads/2022/04/EHB-A-European-hydrogen-infrastructure-vision-covering-28-countries.pdf" TargetMode="External"/><Relationship Id="rId141" Type="http://schemas.openxmlformats.org/officeDocument/2006/relationships/hyperlink" Target="https://ehb.eu/files/downloads/European-Hydrogen-Backbone-April-2021-V3.pdf" TargetMode="External"/><Relationship Id="rId7" Type="http://schemas.openxmlformats.org/officeDocument/2006/relationships/hyperlink" Target="https://ehb.eu/files/downloads/European-Hydrogen-Backbone-April-2021-V3.pdf" TargetMode="External"/><Relationship Id="rId162" Type="http://schemas.openxmlformats.org/officeDocument/2006/relationships/hyperlink" Target="https://ehb.eu/files/downloads/European-Hydrogen-Backbone-April-2021-V3.pdf" TargetMode="External"/><Relationship Id="rId183" Type="http://schemas.openxmlformats.org/officeDocument/2006/relationships/hyperlink" Target="https://gasforclimate2050.eu/wp-content/uploads/2022/04/EHB-A-European-hydrogen-infrastructure-vision-covering-28-countries.pdf" TargetMode="External"/><Relationship Id="rId218" Type="http://schemas.openxmlformats.org/officeDocument/2006/relationships/hyperlink" Target="https://www.irena.org/-/media/Files/IRENA/Agency/Publication/2022/Apr/IRENA_Global_Trade_Hydrogen_2022.pdf" TargetMode="External"/><Relationship Id="rId24" Type="http://schemas.openxmlformats.org/officeDocument/2006/relationships/hyperlink" Target="https://gasforclimate2050.eu/wp-content/uploads/2022/04/EHB-A-European-hydrogen-infrastructure-vision-covering-28-countries.pdf" TargetMode="External"/><Relationship Id="rId45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66" Type="http://schemas.openxmlformats.org/officeDocument/2006/relationships/hyperlink" Target="https://gasforclimate2050.eu/wp-content/uploads/2022/04/EHB-A-European-hydrogen-infrastructure-vision-covering-28-countries.pdf" TargetMode="External"/><Relationship Id="rId87" Type="http://schemas.openxmlformats.org/officeDocument/2006/relationships/hyperlink" Target="https://gasforclimate2050.eu/wp-content/uploads/2022/04/EHB-A-European-hydrogen-infrastructure-vision-covering-28-countries.pdf" TargetMode="External"/><Relationship Id="rId110" Type="http://schemas.openxmlformats.org/officeDocument/2006/relationships/hyperlink" Target="https://gasforclimate2050.eu/wp-content/uploads/2022/04/EHB-A-European-hydrogen-infrastructure-vision-covering-28-countries.pdf" TargetMode="External"/><Relationship Id="rId131" Type="http://schemas.openxmlformats.org/officeDocument/2006/relationships/hyperlink" Target="https://gasforclimate2050.eu/wp-content/uploads/2022/04/EHB-A-European-hydrogen-infrastructure-vision-covering-28-countries.pdf" TargetMode="External"/><Relationship Id="rId152" Type="http://schemas.openxmlformats.org/officeDocument/2006/relationships/hyperlink" Target="https://www.irena.org/-/media/Files/IRENA/Agency/Publication/2022/Apr/IRENA_Global_Trade_Hydrogen_2022.pdf" TargetMode="External"/><Relationship Id="rId173" Type="http://schemas.openxmlformats.org/officeDocument/2006/relationships/hyperlink" Target="https://gasforclimate2050.eu/wp-content/uploads/2022/04/EHB-A-European-hydrogen-infrastructure-vision-covering-28-countries.pdf" TargetMode="External"/><Relationship Id="rId194" Type="http://schemas.openxmlformats.org/officeDocument/2006/relationships/hyperlink" Target="https://ehb.eu/files/downloads/European-Hydrogen-Backbone-April-2021-V3.pdf" TargetMode="External"/><Relationship Id="rId208" Type="http://schemas.openxmlformats.org/officeDocument/2006/relationships/hyperlink" Target="https://www.irena.org/-/media/Files/IRENA/Agency/Publication/2022/Apr/IRENA_Global_Trade_Hydrogen_2022.pdf" TargetMode="External"/><Relationship Id="rId14" Type="http://schemas.openxmlformats.org/officeDocument/2006/relationships/hyperlink" Target="https://gasforclimate2050.eu/wp-content/uploads/2022/04/EHB-A-European-hydrogen-infrastructure-vision-covering-28-countries.pdf" TargetMode="External"/><Relationship Id="rId35" Type="http://schemas.openxmlformats.org/officeDocument/2006/relationships/hyperlink" Target="https://ehb.eu/files/downloads/European-Hydrogen-Backbone-April-2021-V3.pdf" TargetMode="External"/><Relationship Id="rId56" Type="http://schemas.openxmlformats.org/officeDocument/2006/relationships/hyperlink" Target="https://ehb.eu/files/downloads/European-Hydrogen-Backbone-April-2021-V3.pdf" TargetMode="External"/><Relationship Id="rId77" Type="http://schemas.openxmlformats.org/officeDocument/2006/relationships/hyperlink" Target="https://gasforclimate2050.eu/wp-content/uploads/2022/04/EHB-A-European-hydrogen-infrastructure-vision-covering-28-countries.pdf" TargetMode="External"/><Relationship Id="rId100" Type="http://schemas.openxmlformats.org/officeDocument/2006/relationships/hyperlink" Target="https://www.irena.org/-/media/Files/IRENA/Agency/Publication/2022/Apr/IRENA_Global_Trade_Hydrogen_2022.pdf" TargetMode="External"/><Relationship Id="rId8" Type="http://schemas.openxmlformats.org/officeDocument/2006/relationships/hyperlink" Target="https://gasforclimate2050.eu/wp-content/uploads/2022/04/EHB-A-European-hydrogen-infrastructure-vision-covering-28-countries.pdf" TargetMode="External"/><Relationship Id="rId51" Type="http://schemas.openxmlformats.org/officeDocument/2006/relationships/hyperlink" Target="https://github.com/PyPSA/technology-data/tree/master/outputs" TargetMode="External"/><Relationship Id="rId72" Type="http://schemas.openxmlformats.org/officeDocument/2006/relationships/hyperlink" Target="https://ehb.eu/files/downloads/European-Hydrogen-Backbone-April-2021-V3.pdf" TargetMode="External"/><Relationship Id="rId93" Type="http://schemas.openxmlformats.org/officeDocument/2006/relationships/hyperlink" Target="https://gasforclimate2050.eu/wp-content/uploads/2022/04/EHB-A-European-hydrogen-infrastructure-vision-covering-28-countries.pdf" TargetMode="External"/><Relationship Id="rId98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121" Type="http://schemas.openxmlformats.org/officeDocument/2006/relationships/hyperlink" Target="https://ehb.eu/files/downloads/European-Hydrogen-Backbone-April-2021-V3.pdf" TargetMode="External"/><Relationship Id="rId142" Type="http://schemas.openxmlformats.org/officeDocument/2006/relationships/hyperlink" Target="https://gasforclimate2050.eu/wp-content/uploads/2022/04/EHB-A-European-hydrogen-infrastructure-vision-covering-28-countries.pdf" TargetMode="External"/><Relationship Id="rId163" Type="http://schemas.openxmlformats.org/officeDocument/2006/relationships/hyperlink" Target="https://gasforclimate2050.eu/wp-content/uploads/2022/04/EHB-A-European-hydrogen-infrastructure-vision-covering-28-countries.pdf" TargetMode="External"/><Relationship Id="rId184" Type="http://schemas.openxmlformats.org/officeDocument/2006/relationships/hyperlink" Target="https://gasforclimate2050.eu/wp-content/uploads/2022/04/EHB-A-European-hydrogen-infrastructure-vision-covering-28-countries.pdf" TargetMode="External"/><Relationship Id="rId189" Type="http://schemas.openxmlformats.org/officeDocument/2006/relationships/hyperlink" Target="https://gasforclimate2050.eu/wp-content/uploads/2022/04/EHB-A-European-hydrogen-infrastructure-vision-covering-28-countries.pdf" TargetMode="External"/><Relationship Id="rId219" Type="http://schemas.openxmlformats.org/officeDocument/2006/relationships/drawing" Target="../drawings/drawing6.xml"/><Relationship Id="rId3" Type="http://schemas.openxmlformats.org/officeDocument/2006/relationships/hyperlink" Target="https://ehb.eu/files/downloads/European-Hydrogen-Backbone-April-2021-V3.pdf" TargetMode="External"/><Relationship Id="rId214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25" Type="http://schemas.openxmlformats.org/officeDocument/2006/relationships/hyperlink" Target="https://gasforclimate2050.eu/wp-content/uploads/2022/04/EHB-A-European-hydrogen-infrastructure-vision-covering-28-countries.pdf" TargetMode="External"/><Relationship Id="rId46" Type="http://schemas.openxmlformats.org/officeDocument/2006/relationships/hyperlink" Target="https://www.irena.org/-/media/Files/IRENA/Agency/Publication/2022/Apr/IRENA_Global_Trade_Hydrogen_2022.pdf" TargetMode="External"/><Relationship Id="rId67" Type="http://schemas.openxmlformats.org/officeDocument/2006/relationships/hyperlink" Target="https://gasforclimate2050.eu/wp-content/uploads/2022/04/EHB-A-European-hydrogen-infrastructure-vision-covering-28-countries.pdf" TargetMode="External"/><Relationship Id="rId116" Type="http://schemas.openxmlformats.org/officeDocument/2006/relationships/hyperlink" Target="https://gasforclimate2050.eu/wp-content/uploads/2022/04/EHB-A-European-hydrogen-infrastructure-vision-covering-28-countries.pdf" TargetMode="External"/><Relationship Id="rId137" Type="http://schemas.openxmlformats.org/officeDocument/2006/relationships/hyperlink" Target="https://ehb.eu/files/downloads/European-Hydrogen-Backbone-April-2021-V3.pdf" TargetMode="External"/><Relationship Id="rId158" Type="http://schemas.openxmlformats.org/officeDocument/2006/relationships/hyperlink" Target="https://www.irena.org/-/media/Files/IRENA/Agency/Publication/2022/Apr/IRENA_Global_Trade_Hydrogen_2022.pdf" TargetMode="External"/><Relationship Id="rId20" Type="http://schemas.openxmlformats.org/officeDocument/2006/relationships/hyperlink" Target="https://gasforclimate2050.eu/wp-content/uploads/2022/04/EHB-A-European-hydrogen-infrastructure-vision-covering-28-countries.pdf" TargetMode="External"/><Relationship Id="rId41" Type="http://schemas.openxmlformats.org/officeDocument/2006/relationships/hyperlink" Target="https://gasforclimate2050.eu/wp-content/uploads/2022/04/EHB-A-European-hydrogen-infrastructure-vision-covering-28-countries.pdf" TargetMode="External"/><Relationship Id="rId62" Type="http://schemas.openxmlformats.org/officeDocument/2006/relationships/hyperlink" Target="https://gasforclimate2050.eu/wp-content/uploads/2022/04/EHB-A-European-hydrogen-infrastructure-vision-covering-28-countries.pdf" TargetMode="External"/><Relationship Id="rId83" Type="http://schemas.openxmlformats.org/officeDocument/2006/relationships/hyperlink" Target="https://gasforclimate2050.eu/wp-content/uploads/2022/04/EHB-A-European-hydrogen-infrastructure-vision-covering-28-countries.pdf" TargetMode="External"/><Relationship Id="rId88" Type="http://schemas.openxmlformats.org/officeDocument/2006/relationships/hyperlink" Target="https://ehb.eu/files/downloads/European-Hydrogen-Backbone-April-2021-V3.pdf" TargetMode="External"/><Relationship Id="rId111" Type="http://schemas.openxmlformats.org/officeDocument/2006/relationships/hyperlink" Target="https://gasforclimate2050.eu/wp-content/uploads/2022/04/EHB-A-European-hydrogen-infrastructure-vision-covering-28-countries.pdf" TargetMode="External"/><Relationship Id="rId132" Type="http://schemas.openxmlformats.org/officeDocument/2006/relationships/hyperlink" Target="https://gasforclimate2050.eu/wp-content/uploads/2022/04/EHB-A-European-hydrogen-infrastructure-vision-covering-28-countries.pdf" TargetMode="External"/><Relationship Id="rId153" Type="http://schemas.openxmlformats.org/officeDocument/2006/relationships/hyperlink" Target="https://www.irena.org/-/media/Files/IRENA/Agency/Publication/2022/Apr/IRENA_Global_Trade_Hydrogen_2022.pdf" TargetMode="External"/><Relationship Id="rId174" Type="http://schemas.openxmlformats.org/officeDocument/2006/relationships/hyperlink" Target="https://ehb.eu/files/downloads/European-Hydrogen-Backbone-April-2021-V3.pdf" TargetMode="External"/><Relationship Id="rId179" Type="http://schemas.openxmlformats.org/officeDocument/2006/relationships/hyperlink" Target="https://gasforclimate2050.eu/wp-content/uploads/2022/04/EHB-A-European-hydrogen-infrastructure-vision-covering-28-countries.pdf" TargetMode="External"/><Relationship Id="rId195" Type="http://schemas.openxmlformats.org/officeDocument/2006/relationships/hyperlink" Target="https://gasforclimate2050.eu/wp-content/uploads/2022/04/EHB-A-European-hydrogen-infrastructure-vision-covering-28-countries.pdf" TargetMode="External"/><Relationship Id="rId209" Type="http://schemas.openxmlformats.org/officeDocument/2006/relationships/hyperlink" Target="https://www.irena.org/-/media/Files/IRENA/Agency/Publication/2022/Apr/IRENA_Global_Trade_Hydrogen_2022.pdf" TargetMode="External"/><Relationship Id="rId190" Type="http://schemas.openxmlformats.org/officeDocument/2006/relationships/hyperlink" Target="https://ehb.eu/files/downloads/European-Hydrogen-Backbone-April-2021-V3.pdf" TargetMode="External"/><Relationship Id="rId204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220" Type="http://schemas.openxmlformats.org/officeDocument/2006/relationships/vmlDrawing" Target="../drawings/vmlDrawing7.vml"/><Relationship Id="rId15" Type="http://schemas.openxmlformats.org/officeDocument/2006/relationships/hyperlink" Target="https://ehb.eu/files/downloads/European-Hydrogen-Backbone-April-2021-V3.pdf" TargetMode="External"/><Relationship Id="rId36" Type="http://schemas.openxmlformats.org/officeDocument/2006/relationships/hyperlink" Target="https://gasforclimate2050.eu/wp-content/uploads/2022/04/EHB-A-European-hydrogen-infrastructure-vision-covering-28-countries.pdf" TargetMode="External"/><Relationship Id="rId57" Type="http://schemas.openxmlformats.org/officeDocument/2006/relationships/hyperlink" Target="https://gasforclimate2050.eu/wp-content/uploads/2022/04/EHB-A-European-hydrogen-infrastructure-vision-covering-28-countries.pdf" TargetMode="External"/><Relationship Id="rId106" Type="http://schemas.openxmlformats.org/officeDocument/2006/relationships/hyperlink" Target="https://www.irena.org/-/media/Files/IRENA/Agency/Publication/2022/Apr/IRENA_Global_Trade_Hydrogen_2022.pdf" TargetMode="External"/><Relationship Id="rId127" Type="http://schemas.openxmlformats.org/officeDocument/2006/relationships/hyperlink" Target="https://gasforclimate2050.eu/wp-content/uploads/2022/04/EHB-A-European-hydrogen-infrastructure-vision-covering-28-countries.pdf" TargetMode="External"/><Relationship Id="rId10" Type="http://schemas.openxmlformats.org/officeDocument/2006/relationships/hyperlink" Target="https://gasforclimate2050.eu/wp-content/uploads/2022/04/EHB-A-European-hydrogen-infrastructure-vision-covering-28-countries.pdf" TargetMode="External"/><Relationship Id="rId31" Type="http://schemas.openxmlformats.org/officeDocument/2006/relationships/hyperlink" Target="https://ehb.eu/files/downloads/European-Hydrogen-Backbone-April-2021-V3.pdf" TargetMode="External"/><Relationship Id="rId52" Type="http://schemas.openxmlformats.org/officeDocument/2006/relationships/hyperlink" Target="https://www.irena.org/-/media/Files/IRENA/Agency/Publication/2022/Apr/IRENA_Global_Trade_Hydrogen_2022.pdf" TargetMode="External"/><Relationship Id="rId73" Type="http://schemas.openxmlformats.org/officeDocument/2006/relationships/hyperlink" Target="https://gasforclimate2050.eu/wp-content/uploads/2022/04/EHB-A-European-hydrogen-infrastructure-vision-covering-28-countries.pdf" TargetMode="External"/><Relationship Id="rId78" Type="http://schemas.openxmlformats.org/officeDocument/2006/relationships/hyperlink" Target="https://gasforclimate2050.eu/wp-content/uploads/2022/04/EHB-A-European-hydrogen-infrastructure-vision-covering-28-countries.pdf" TargetMode="External"/><Relationship Id="rId94" Type="http://schemas.openxmlformats.org/officeDocument/2006/relationships/hyperlink" Target="https://gasforclimate2050.eu/wp-content/uploads/2022/04/EHB-A-European-hydrogen-infrastructure-vision-covering-28-countries.pdf" TargetMode="External"/><Relationship Id="rId99" Type="http://schemas.openxmlformats.org/officeDocument/2006/relationships/hyperlink" Target="https://www.irena.org/-/media/Files/IRENA/Agency/Publication/2022/Apr/IRENA_Global_Trade_Hydrogen_2022.pdf" TargetMode="External"/><Relationship Id="rId101" Type="http://schemas.openxmlformats.org/officeDocument/2006/relationships/hyperlink" Target="https://github.com/PyPSA/technology-data/tree/master/outputs" TargetMode="External"/><Relationship Id="rId122" Type="http://schemas.openxmlformats.org/officeDocument/2006/relationships/hyperlink" Target="https://gasforclimate2050.eu/wp-content/uploads/2022/04/EHB-A-European-hydrogen-infrastructure-vision-covering-28-countries.pdf" TargetMode="External"/><Relationship Id="rId143" Type="http://schemas.openxmlformats.org/officeDocument/2006/relationships/hyperlink" Target="https://gasforclimate2050.eu/wp-content/uploads/2022/04/EHB-A-European-hydrogen-infrastructure-vision-covering-28-countries.pdf" TargetMode="External"/><Relationship Id="rId148" Type="http://schemas.openxmlformats.org/officeDocument/2006/relationships/hyperlink" Target="https://gasforclimate2050.eu/wp-content/uploads/2022/04/EHB-A-European-hydrogen-infrastructure-vision-covering-28-countries.pdf" TargetMode="External"/><Relationship Id="rId164" Type="http://schemas.openxmlformats.org/officeDocument/2006/relationships/hyperlink" Target="https://gasforclimate2050.eu/wp-content/uploads/2022/04/EHB-A-European-hydrogen-infrastructure-vision-covering-28-countries.pdf" TargetMode="External"/><Relationship Id="rId169" Type="http://schemas.openxmlformats.org/officeDocument/2006/relationships/hyperlink" Target="https://gasforclimate2050.eu/wp-content/uploads/2022/04/EHB-A-European-hydrogen-infrastructure-vision-covering-28-countries.pdf" TargetMode="External"/><Relationship Id="rId185" Type="http://schemas.openxmlformats.org/officeDocument/2006/relationships/hyperlink" Target="https://gasforclimate2050.eu/wp-content/uploads/2022/04/EHB-A-European-hydrogen-infrastructure-vision-covering-28-countries.pdf" TargetMode="External"/><Relationship Id="rId4" Type="http://schemas.openxmlformats.org/officeDocument/2006/relationships/hyperlink" Target="https://gasforclimate2050.eu/wp-content/uploads/2022/04/EHB-A-European-hydrogen-infrastructure-vision-covering-28-countries.pdf" TargetMode="External"/><Relationship Id="rId9" Type="http://schemas.openxmlformats.org/officeDocument/2006/relationships/hyperlink" Target="https://gasforclimate2050.eu/wp-content/uploads/2022/04/EHB-A-European-hydrogen-infrastructure-vision-covering-28-countries.pdf" TargetMode="External"/><Relationship Id="rId180" Type="http://schemas.openxmlformats.org/officeDocument/2006/relationships/hyperlink" Target="https://gasforclimate2050.eu/wp-content/uploads/2022/04/EHB-A-European-hydrogen-infrastructure-vision-covering-28-countries.pdf" TargetMode="External"/><Relationship Id="rId210" Type="http://schemas.openxmlformats.org/officeDocument/2006/relationships/hyperlink" Target="https://github.com/PyPSA/technology-data/tree/master/outputs" TargetMode="External"/><Relationship Id="rId215" Type="http://schemas.openxmlformats.org/officeDocument/2006/relationships/hyperlink" Target="https://gasforclimate2050.eu/wp-content/uploads/2022/04/EHB-A-European-hydrogen-infrastructure-vision-covering-28-countries.pdf" TargetMode="External"/><Relationship Id="rId26" Type="http://schemas.openxmlformats.org/officeDocument/2006/relationships/hyperlink" Target="https://gasforclimate2050.eu/wp-content/uploads/2022/04/EHB-A-European-hydrogen-infrastructure-vision-covering-28-countries.pdf" TargetMode="External"/><Relationship Id="rId47" Type="http://schemas.openxmlformats.org/officeDocument/2006/relationships/hyperlink" Target="https://www.irena.org/-/media/Files/IRENA/Agency/Publication/2022/Apr/IRENA_Global_Trade_Hydrogen_2022.pdf" TargetMode="External"/><Relationship Id="rId68" Type="http://schemas.openxmlformats.org/officeDocument/2006/relationships/hyperlink" Target="https://ehb.eu/files/downloads/European-Hydrogen-Backbone-April-2021-V3.pdf" TargetMode="External"/><Relationship Id="rId89" Type="http://schemas.openxmlformats.org/officeDocument/2006/relationships/hyperlink" Target="https://gasforclimate2050.eu/wp-content/uploads/2022/04/EHB-A-European-hydrogen-infrastructure-vision-covering-28-countries.pdf" TargetMode="External"/><Relationship Id="rId112" Type="http://schemas.openxmlformats.org/officeDocument/2006/relationships/hyperlink" Target="https://gasforclimate2050.eu/wp-content/uploads/2022/04/EHB-A-European-hydrogen-infrastructure-vision-covering-28-countries.pdf" TargetMode="External"/><Relationship Id="rId133" Type="http://schemas.openxmlformats.org/officeDocument/2006/relationships/hyperlink" Target="https://ehb.eu/files/downloads/European-Hydrogen-Backbone-April-2021-V3.pdf" TargetMode="External"/><Relationship Id="rId154" Type="http://schemas.openxmlformats.org/officeDocument/2006/relationships/hyperlink" Target="https://github.com/PyPSA/technology-data/tree/master/outputs" TargetMode="External"/><Relationship Id="rId175" Type="http://schemas.openxmlformats.org/officeDocument/2006/relationships/hyperlink" Target="https://gasforclimate2050.eu/wp-content/uploads/2022/04/EHB-A-European-hydrogen-infrastructure-vision-covering-28-countries.pdf" TargetMode="External"/><Relationship Id="rId196" Type="http://schemas.openxmlformats.org/officeDocument/2006/relationships/hyperlink" Target="https://gasforclimate2050.eu/wp-content/uploads/2022/04/EHB-A-European-hydrogen-infrastructure-vision-covering-28-countries.pdf" TargetMode="External"/><Relationship Id="rId200" Type="http://schemas.openxmlformats.org/officeDocument/2006/relationships/hyperlink" Target="https://gasforclimate2050.eu/wp-content/uploads/2022/04/EHB-A-European-hydrogen-infrastructure-vision-covering-28-countries.pdf" TargetMode="External"/><Relationship Id="rId16" Type="http://schemas.openxmlformats.org/officeDocument/2006/relationships/hyperlink" Target="https://gasforclimate2050.eu/wp-content/uploads/2022/04/EHB-A-European-hydrogen-infrastructure-vision-covering-28-countries.pdf" TargetMode="External"/><Relationship Id="rId221" Type="http://schemas.openxmlformats.org/officeDocument/2006/relationships/comments" Target="../comments7.xml"/><Relationship Id="rId37" Type="http://schemas.openxmlformats.org/officeDocument/2006/relationships/hyperlink" Target="https://gasforclimate2050.eu/wp-content/uploads/2022/04/EHB-A-European-hydrogen-infrastructure-vision-covering-28-countries.pdf" TargetMode="External"/><Relationship Id="rId58" Type="http://schemas.openxmlformats.org/officeDocument/2006/relationships/hyperlink" Target="https://gasforclimate2050.eu/wp-content/uploads/2022/04/EHB-A-European-hydrogen-infrastructure-vision-covering-28-countries.pdf" TargetMode="External"/><Relationship Id="rId79" Type="http://schemas.openxmlformats.org/officeDocument/2006/relationships/hyperlink" Target="https://gasforclimate2050.eu/wp-content/uploads/2022/04/EHB-A-European-hydrogen-infrastructure-vision-covering-28-countries.pdf" TargetMode="External"/><Relationship Id="rId102" Type="http://schemas.openxmlformats.org/officeDocument/2006/relationships/hyperlink" Target="https://www.irena.org/-/media/Files/IRENA/Agency/Publication/2022/Apr/IRENA_Global_Trade_Hydrogen_2022.pdf" TargetMode="External"/><Relationship Id="rId123" Type="http://schemas.openxmlformats.org/officeDocument/2006/relationships/hyperlink" Target="https://gasforclimate2050.eu/wp-content/uploads/2022/04/EHB-A-European-hydrogen-infrastructure-vision-covering-28-countries.pdf" TargetMode="External"/><Relationship Id="rId144" Type="http://schemas.openxmlformats.org/officeDocument/2006/relationships/hyperlink" Target="https://gasforclimate2050.eu/wp-content/uploads/2022/04/EHB-A-European-hydrogen-infrastructure-vision-covering-28-countries.pdf" TargetMode="External"/><Relationship Id="rId90" Type="http://schemas.openxmlformats.org/officeDocument/2006/relationships/hyperlink" Target="https://gasforclimate2050.eu/wp-content/uploads/2022/04/EHB-A-European-hydrogen-infrastructure-vision-covering-28-countries.pdf" TargetMode="External"/><Relationship Id="rId165" Type="http://schemas.openxmlformats.org/officeDocument/2006/relationships/hyperlink" Target="https://gasforclimate2050.eu/wp-content/uploads/2022/04/EHB-A-European-hydrogen-infrastructure-vision-covering-28-countries.pdf" TargetMode="External"/><Relationship Id="rId186" Type="http://schemas.openxmlformats.org/officeDocument/2006/relationships/hyperlink" Target="https://ehb.eu/files/downloads/European-Hydrogen-Backbone-April-2021-V3.pdf" TargetMode="External"/><Relationship Id="rId211" Type="http://schemas.openxmlformats.org/officeDocument/2006/relationships/hyperlink" Target="https://www.irena.org/-/media/Files/IRENA/Agency/Publication/2022/Apr/IRENA_Global_Trade_Hydrogen_2022.pdf" TargetMode="External"/><Relationship Id="rId27" Type="http://schemas.openxmlformats.org/officeDocument/2006/relationships/hyperlink" Target="https://ehb.eu/files/downloads/European-Hydrogen-Backbone-April-2021-V3.pdf" TargetMode="External"/><Relationship Id="rId48" Type="http://schemas.openxmlformats.org/officeDocument/2006/relationships/hyperlink" Target="https://github.com/PyPSA/technology-data/tree/master/outputs" TargetMode="External"/><Relationship Id="rId69" Type="http://schemas.openxmlformats.org/officeDocument/2006/relationships/hyperlink" Target="https://gasforclimate2050.eu/wp-content/uploads/2022/04/EHB-A-European-hydrogen-infrastructure-vision-covering-28-countries.pdf" TargetMode="External"/><Relationship Id="rId113" Type="http://schemas.openxmlformats.org/officeDocument/2006/relationships/hyperlink" Target="https://ehb.eu/files/downloads/European-Hydrogen-Backbone-April-2021-V3.pdf" TargetMode="External"/><Relationship Id="rId134" Type="http://schemas.openxmlformats.org/officeDocument/2006/relationships/hyperlink" Target="https://gasforclimate2050.eu/wp-content/uploads/2022/04/EHB-A-European-hydrogen-infrastructure-vision-covering-28-countries.pdf" TargetMode="External"/><Relationship Id="rId80" Type="http://schemas.openxmlformats.org/officeDocument/2006/relationships/hyperlink" Target="https://ehb.eu/files/downloads/European-Hydrogen-Backbone-April-2021-V3.pdf" TargetMode="External"/><Relationship Id="rId155" Type="http://schemas.openxmlformats.org/officeDocument/2006/relationships/hyperlink" Target="https://www.irena.org/-/media/Files/IRENA/Agency/Publication/2022/Apr/IRENA_Global_Trade_Hydrogen_2022.pdf" TargetMode="External"/><Relationship Id="rId176" Type="http://schemas.openxmlformats.org/officeDocument/2006/relationships/hyperlink" Target="https://gasforclimate2050.eu/wp-content/uploads/2022/04/EHB-A-European-hydrogen-infrastructure-vision-covering-28-countries.pdf" TargetMode="External"/><Relationship Id="rId197" Type="http://schemas.openxmlformats.org/officeDocument/2006/relationships/hyperlink" Target="https://gasforclimate2050.eu/wp-content/uploads/2022/04/EHB-A-European-hydrogen-infrastructure-vision-covering-28-countries.pdf" TargetMode="External"/><Relationship Id="rId201" Type="http://schemas.openxmlformats.org/officeDocument/2006/relationships/hyperlink" Target="https://gasforclimate2050.eu/wp-content/uploads/2022/04/EHB-A-European-hydrogen-infrastructure-vision-covering-28-countries.pdf" TargetMode="External"/><Relationship Id="rId222" Type="http://schemas.microsoft.com/office/2017/10/relationships/threadedComment" Target="../threadedComments/threadedComment7.xml"/><Relationship Id="rId17" Type="http://schemas.openxmlformats.org/officeDocument/2006/relationships/hyperlink" Target="https://gasforclimate2050.eu/wp-content/uploads/2022/04/EHB-A-European-hydrogen-infrastructure-vision-covering-28-countries.pdf" TargetMode="External"/><Relationship Id="rId38" Type="http://schemas.openxmlformats.org/officeDocument/2006/relationships/hyperlink" Target="https://gasforclimate2050.eu/wp-content/uploads/2022/04/EHB-A-European-hydrogen-infrastructure-vision-covering-28-countries.pdf" TargetMode="External"/><Relationship Id="rId59" Type="http://schemas.openxmlformats.org/officeDocument/2006/relationships/hyperlink" Target="https://gasforclimate2050.eu/wp-content/uploads/2022/04/EHB-A-European-hydrogen-infrastructure-vision-covering-28-countries.pdf" TargetMode="External"/><Relationship Id="rId103" Type="http://schemas.openxmlformats.org/officeDocument/2006/relationships/hyperlink" Target="https://www.irena.org/-/media/Files/IRENA/Agency/Publication/2022/Apr/IRENA_Global_Trade_Hydrogen_2022.pdf" TargetMode="External"/><Relationship Id="rId124" Type="http://schemas.openxmlformats.org/officeDocument/2006/relationships/hyperlink" Target="https://gasforclimate2050.eu/wp-content/uploads/2022/04/EHB-A-European-hydrogen-infrastructure-vision-covering-28-countries.pdf" TargetMode="External"/><Relationship Id="rId70" Type="http://schemas.openxmlformats.org/officeDocument/2006/relationships/hyperlink" Target="https://gasforclimate2050.eu/wp-content/uploads/2022/04/EHB-A-European-hydrogen-infrastructure-vision-covering-28-countries.pdf" TargetMode="External"/><Relationship Id="rId91" Type="http://schemas.openxmlformats.org/officeDocument/2006/relationships/hyperlink" Target="https://gasforclimate2050.eu/wp-content/uploads/2022/04/EHB-A-European-hydrogen-infrastructure-vision-covering-28-countries.pdf" TargetMode="External"/><Relationship Id="rId145" Type="http://schemas.openxmlformats.org/officeDocument/2006/relationships/hyperlink" Target="https://ehb.eu/files/downloads/European-Hydrogen-Backbone-April-2021-V3.pdf" TargetMode="External"/><Relationship Id="rId166" Type="http://schemas.openxmlformats.org/officeDocument/2006/relationships/hyperlink" Target="https://ehb.eu/files/downloads/European-Hydrogen-Backbone-April-2021-V3.pdf" TargetMode="External"/><Relationship Id="rId187" Type="http://schemas.openxmlformats.org/officeDocument/2006/relationships/hyperlink" Target="https://gasforclimate2050.eu/wp-content/uploads/2022/04/EHB-A-European-hydrogen-infrastructure-vision-covering-28-countries.pdf" TargetMode="External"/><Relationship Id="rId1" Type="http://schemas.openxmlformats.org/officeDocument/2006/relationships/hyperlink" Target="https://iea.blob.core.windows.net/assets/a02a0c80-77b2-462e-a9d5-1099e0e572ce/IEA-The-Future-of-Hydrogen-Assumptions-Annex.pdf" TargetMode="External"/><Relationship Id="rId212" Type="http://schemas.openxmlformats.org/officeDocument/2006/relationships/hyperlink" Target="https://www.irena.org/-/media/Files/IRENA/Agency/Publication/2022/Apr/IRENA_Global_Trade_Hydrogen_2022.pdf" TargetMode="External"/><Relationship Id="rId28" Type="http://schemas.openxmlformats.org/officeDocument/2006/relationships/hyperlink" Target="https://gasforclimate2050.eu/wp-content/uploads/2022/04/EHB-A-European-hydrogen-infrastructure-vision-covering-28-countries.pdf" TargetMode="External"/><Relationship Id="rId49" Type="http://schemas.openxmlformats.org/officeDocument/2006/relationships/hyperlink" Target="https://www.irena.org/-/media/Files/IRENA/Agency/Publication/2022/Apr/IRENA_Global_Trade_Hydrogen_2022.pdf" TargetMode="External"/><Relationship Id="rId114" Type="http://schemas.openxmlformats.org/officeDocument/2006/relationships/hyperlink" Target="https://gasforclimate2050.eu/wp-content/uploads/2022/04/EHB-A-European-hydrogen-infrastructure-vision-covering-28-countries.pdf" TargetMode="External"/><Relationship Id="rId60" Type="http://schemas.openxmlformats.org/officeDocument/2006/relationships/hyperlink" Target="https://ehb.eu/files/downloads/European-Hydrogen-Backbone-April-2021-V3.pdf" TargetMode="External"/><Relationship Id="rId81" Type="http://schemas.openxmlformats.org/officeDocument/2006/relationships/hyperlink" Target="https://gasforclimate2050.eu/wp-content/uploads/2022/04/EHB-A-European-hydrogen-infrastructure-vision-covering-28-countries.pdf" TargetMode="External"/><Relationship Id="rId135" Type="http://schemas.openxmlformats.org/officeDocument/2006/relationships/hyperlink" Target="https://gasforclimate2050.eu/wp-content/uploads/2022/04/EHB-A-European-hydrogen-infrastructure-vision-covering-28-countries.pdf" TargetMode="External"/><Relationship Id="rId156" Type="http://schemas.openxmlformats.org/officeDocument/2006/relationships/hyperlink" Target="https://www.irena.org/-/media/Files/IRENA/Agency/Publication/2022/Apr/IRENA_Global_Trade_Hydrogen_2022.pdf" TargetMode="External"/><Relationship Id="rId177" Type="http://schemas.openxmlformats.org/officeDocument/2006/relationships/hyperlink" Target="https://gasforclimate2050.eu/wp-content/uploads/2022/04/EHB-A-European-hydrogen-infrastructure-vision-covering-28-countries.pdf" TargetMode="External"/><Relationship Id="rId198" Type="http://schemas.openxmlformats.org/officeDocument/2006/relationships/hyperlink" Target="https://ehb.eu/files/downloads/European-Hydrogen-Backbone-April-2021-V3.pdf" TargetMode="External"/><Relationship Id="rId202" Type="http://schemas.openxmlformats.org/officeDocument/2006/relationships/hyperlink" Target="https://iea.blob.core.windows.net/assets/a02a0c80-77b2-462e-a9d5-1099e0e572ce/IEA-The-Future-of-Hydrogen-Assumptions-Annex.pdf" TargetMode="External"/><Relationship Id="rId18" Type="http://schemas.openxmlformats.org/officeDocument/2006/relationships/hyperlink" Target="https://gasforclimate2050.eu/wp-content/uploads/2022/04/EHB-A-European-hydrogen-infrastructure-vision-covering-28-countries.pdf" TargetMode="External"/><Relationship Id="rId39" Type="http://schemas.openxmlformats.org/officeDocument/2006/relationships/hyperlink" Target="https://ehb.eu/files/downloads/European-Hydrogen-Backbone-April-2021-V3.pdf" TargetMode="External"/><Relationship Id="rId50" Type="http://schemas.openxmlformats.org/officeDocument/2006/relationships/hyperlink" Target="https://www.irena.org/-/media/Files/IRENA/Agency/Publication/2022/Apr/IRENA_Global_Trade_Hydrogen_2022.pdf" TargetMode="External"/><Relationship Id="rId104" Type="http://schemas.openxmlformats.org/officeDocument/2006/relationships/hyperlink" Target="https://github.com/PyPSA/technology-data/tree/master/outputs" TargetMode="External"/><Relationship Id="rId125" Type="http://schemas.openxmlformats.org/officeDocument/2006/relationships/hyperlink" Target="https://ehb.eu/files/downloads/European-Hydrogen-Backbone-April-2021-V3.pdf" TargetMode="External"/><Relationship Id="rId146" Type="http://schemas.openxmlformats.org/officeDocument/2006/relationships/hyperlink" Target="https://gasforclimate2050.eu/wp-content/uploads/2022/04/EHB-A-European-hydrogen-infrastructure-vision-covering-28-countries.pdf" TargetMode="External"/><Relationship Id="rId167" Type="http://schemas.openxmlformats.org/officeDocument/2006/relationships/hyperlink" Target="https://gasforclimate2050.eu/wp-content/uploads/2022/04/EHB-A-European-hydrogen-infrastructure-vision-covering-28-countries.pdf" TargetMode="External"/><Relationship Id="rId188" Type="http://schemas.openxmlformats.org/officeDocument/2006/relationships/hyperlink" Target="https://gasforclimate2050.eu/wp-content/uploads/2022/04/EHB-A-European-hydrogen-infrastructure-vision-covering-28-countries.pdf" TargetMode="External"/><Relationship Id="rId71" Type="http://schemas.openxmlformats.org/officeDocument/2006/relationships/hyperlink" Target="https://gasforclimate2050.eu/wp-content/uploads/2022/04/EHB-A-European-hydrogen-infrastructure-vision-covering-28-countries.pdf" TargetMode="External"/><Relationship Id="rId92" Type="http://schemas.openxmlformats.org/officeDocument/2006/relationships/hyperlink" Target="https://ehb.eu/files/downloads/European-Hydrogen-Backbone-April-2021-V3.pdf" TargetMode="External"/><Relationship Id="rId213" Type="http://schemas.openxmlformats.org/officeDocument/2006/relationships/hyperlink" Target="https://iea.blob.core.windows.net/assets/a02a0c80-77b2-462e-a9d5-1099e0e572ce/IEA-The-Future-of-Hydrogen-Assumptions-Annex.pdf" TargetMode="External"/><Relationship Id="rId2" Type="http://schemas.openxmlformats.org/officeDocument/2006/relationships/hyperlink" Target="https://www.ewi.uni-koeln.de/cms/wp-content/uploads/2021/08/EWI_WP_20-04_Estimating_long-term_global_supply_costs_for_low-carbon_Schoenfisch_Braendle_Schulte_new.pdf" TargetMode="External"/><Relationship Id="rId29" Type="http://schemas.openxmlformats.org/officeDocument/2006/relationships/hyperlink" Target="https://gasforclimate2050.eu/wp-content/uploads/2022/04/EHB-A-European-hydrogen-infrastructure-vision-covering-28-countries.pdf" TargetMode="External"/><Relationship Id="rId40" Type="http://schemas.openxmlformats.org/officeDocument/2006/relationships/hyperlink" Target="https://gasforclimate2050.eu/wp-content/uploads/2022/04/EHB-A-European-hydrogen-infrastructure-vision-covering-28-countries.pdf" TargetMode="External"/><Relationship Id="rId115" Type="http://schemas.openxmlformats.org/officeDocument/2006/relationships/hyperlink" Target="https://gasforclimate2050.eu/wp-content/uploads/2022/04/EHB-A-European-hydrogen-infrastructure-vision-covering-28-countries.pdf" TargetMode="External"/><Relationship Id="rId136" Type="http://schemas.openxmlformats.org/officeDocument/2006/relationships/hyperlink" Target="https://gasforclimate2050.eu/wp-content/uploads/2022/04/EHB-A-European-hydrogen-infrastructure-vision-covering-28-countries.pdf" TargetMode="External"/><Relationship Id="rId157" Type="http://schemas.openxmlformats.org/officeDocument/2006/relationships/hyperlink" Target="https://github.com/PyPSA/technology-data/tree/master/outputs" TargetMode="External"/><Relationship Id="rId178" Type="http://schemas.openxmlformats.org/officeDocument/2006/relationships/hyperlink" Target="https://ehb.eu/files/downloads/European-Hydrogen-Backbone-April-2021-V3.pdf" TargetMode="External"/><Relationship Id="rId61" Type="http://schemas.openxmlformats.org/officeDocument/2006/relationships/hyperlink" Target="https://gasforclimate2050.eu/wp-content/uploads/2022/04/EHB-A-European-hydrogen-infrastructure-vision-covering-28-countries.pdf" TargetMode="External"/><Relationship Id="rId82" Type="http://schemas.openxmlformats.org/officeDocument/2006/relationships/hyperlink" Target="https://gasforclimate2050.eu/wp-content/uploads/2022/04/EHB-A-European-hydrogen-infrastructure-vision-covering-28-countries.pdf" TargetMode="External"/><Relationship Id="rId199" Type="http://schemas.openxmlformats.org/officeDocument/2006/relationships/hyperlink" Target="https://gasforclimate2050.eu/wp-content/uploads/2022/04/EHB-A-European-hydrogen-infrastructure-vision-covering-28-countries.pdf" TargetMode="External"/><Relationship Id="rId203" Type="http://schemas.openxmlformats.org/officeDocument/2006/relationships/hyperlink" Target="https://github.com/PyPSA/technology-data/tree/master/outputs" TargetMode="External"/><Relationship Id="rId19" Type="http://schemas.openxmlformats.org/officeDocument/2006/relationships/hyperlink" Target="https://ehb.eu/files/downloads/European-Hydrogen-Backbone-April-2021-V3.pdf" TargetMode="External"/><Relationship Id="rId30" Type="http://schemas.openxmlformats.org/officeDocument/2006/relationships/hyperlink" Target="https://gasforclimate2050.eu/wp-content/uploads/2022/04/EHB-A-European-hydrogen-infrastructure-vision-covering-28-countries.pdf" TargetMode="External"/><Relationship Id="rId105" Type="http://schemas.openxmlformats.org/officeDocument/2006/relationships/hyperlink" Target="https://www.irena.org/-/media/Files/IRENA/Agency/Publication/2022/Apr/IRENA_Global_Trade_Hydrogen_2022.pdf" TargetMode="External"/><Relationship Id="rId126" Type="http://schemas.openxmlformats.org/officeDocument/2006/relationships/hyperlink" Target="https://gasforclimate2050.eu/wp-content/uploads/2022/04/EHB-A-European-hydrogen-infrastructure-vision-covering-28-countries.pdf" TargetMode="External"/><Relationship Id="rId147" Type="http://schemas.openxmlformats.org/officeDocument/2006/relationships/hyperlink" Target="https://gasforclimate2050.eu/wp-content/uploads/2022/04/EHB-A-European-hydrogen-infrastructure-vision-covering-28-countries.pdf" TargetMode="External"/><Relationship Id="rId168" Type="http://schemas.openxmlformats.org/officeDocument/2006/relationships/hyperlink" Target="https://gasforclimate2050.eu/wp-content/uploads/2022/04/EHB-A-European-hydrogen-infrastructure-vision-covering-28-countries.pdf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ciencedirect.com/science/article/pii/S0360319921005838?via%3Dihub" TargetMode="External"/><Relationship Id="rId21" Type="http://schemas.openxmlformats.org/officeDocument/2006/relationships/hyperlink" Target="https://www.planet-energie.de/de/media/Abschlussbericht_Integration_von_Wind_Wasserstoff_Systemen_in_das_Energiesystem.pdf" TargetMode="External"/><Relationship Id="rId42" Type="http://schemas.openxmlformats.org/officeDocument/2006/relationships/hyperlink" Target="https://www.sciencedirect.com/science/article/pii/S0360319921005838?via%3Dihub" TargetMode="External"/><Relationship Id="rId47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63" Type="http://schemas.openxmlformats.org/officeDocument/2006/relationships/hyperlink" Target="https://iea.blob.core.windows.net/assets/a02a0c80-77b2-462e-a9d5-1099e0e572ce/IEA-The-Future-of-Hydrogen-Assumptions-Annex.pdf" TargetMode="External"/><Relationship Id="rId68" Type="http://schemas.openxmlformats.org/officeDocument/2006/relationships/hyperlink" Target="https://www.iea.org/reports/world-energy-model/techno-economic-inputs" TargetMode="External"/><Relationship Id="rId84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89" Type="http://schemas.openxmlformats.org/officeDocument/2006/relationships/vmlDrawing" Target="../drawings/vmlDrawing8.vml"/><Relationship Id="rId16" Type="http://schemas.openxmlformats.org/officeDocument/2006/relationships/hyperlink" Target="https://github.com/PyPSA/technology-data/tree/master/outputs" TargetMode="External"/><Relationship Id="rId11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32" Type="http://schemas.openxmlformats.org/officeDocument/2006/relationships/hyperlink" Target="https://www.iea.org/reports/world-energy-model/techno-economic-inputs" TargetMode="External"/><Relationship Id="rId37" Type="http://schemas.openxmlformats.org/officeDocument/2006/relationships/hyperlink" Target="https://iea.blob.core.windows.net/assets/a02a0c80-77b2-462e-a9d5-1099e0e572ce/IEA-The-Future-of-Hydrogen-Assumptions-Annex.pdf" TargetMode="External"/><Relationship Id="rId53" Type="http://schemas.openxmlformats.org/officeDocument/2006/relationships/hyperlink" Target="https://www.researchgate.net/publication/289377295_2050_LCOE_improvement_using_new_molten_salts_for_thermal_energy_storage_in_CSP_plants" TargetMode="External"/><Relationship Id="rId58" Type="http://schemas.openxmlformats.org/officeDocument/2006/relationships/hyperlink" Target="https://www.sciencedirect.com/science/article/pii/S0360544217301238" TargetMode="External"/><Relationship Id="rId74" Type="http://schemas.openxmlformats.org/officeDocument/2006/relationships/hyperlink" Target="https://www.bmwk.de/Redaktion/DE/Downloads/Studien/transformationspfade-fuer-strombasierte-energietraeger.pdf?__blob=publicationFile" TargetMode="External"/><Relationship Id="rId79" Type="http://schemas.openxmlformats.org/officeDocument/2006/relationships/hyperlink" Target="https://github.com/PyPSA/technology-data/tree/master/outputs" TargetMode="External"/><Relationship Id="rId5" Type="http://schemas.openxmlformats.org/officeDocument/2006/relationships/hyperlink" Target="https://stiftung-umweltenergierecht.de/projekte/roadmap-speicher/" TargetMode="External"/><Relationship Id="rId90" Type="http://schemas.openxmlformats.org/officeDocument/2006/relationships/comments" Target="../comments8.xml"/><Relationship Id="rId14" Type="http://schemas.openxmlformats.org/officeDocument/2006/relationships/hyperlink" Target="https://www.iea.org/reports/world-energy-model/techno-economic-inputs" TargetMode="External"/><Relationship Id="rId22" Type="http://schemas.openxmlformats.org/officeDocument/2006/relationships/hyperlink" Target="https://www.sciencedirect.com/science/article/pii/S0360544217301238" TargetMode="External"/><Relationship Id="rId27" Type="http://schemas.openxmlformats.org/officeDocument/2006/relationships/hyperlink" Target="https://iea.blob.core.windows.net/assets/a02a0c80-77b2-462e-a9d5-1099e0e572ce/IEA-The-Future-of-Hydrogen-Assumptions-Annex.pdf" TargetMode="External"/><Relationship Id="rId30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35" Type="http://schemas.openxmlformats.org/officeDocument/2006/relationships/hyperlink" Target="https://www.researchgate.net/publication/289377295_2050_LCOE_improvement_using_new_molten_salts_for_thermal_energy_storage_in_CSP_plants" TargetMode="External"/><Relationship Id="rId43" Type="http://schemas.openxmlformats.org/officeDocument/2006/relationships/hyperlink" Target="https://www.sciencedirect.com/science/article/pii/S0360319921005838?via%3Dihub" TargetMode="External"/><Relationship Id="rId48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56" Type="http://schemas.openxmlformats.org/officeDocument/2006/relationships/hyperlink" Target="https://github.com/PyPSA/technology-data/tree/master/outputs" TargetMode="External"/><Relationship Id="rId64" Type="http://schemas.openxmlformats.org/officeDocument/2006/relationships/hyperlink" Target="https://github.com/PyPSA/technology-data/tree/master/outputs" TargetMode="External"/><Relationship Id="rId69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77" Type="http://schemas.openxmlformats.org/officeDocument/2006/relationships/hyperlink" Target="https://stiftung-umweltenergierecht.de/projekte/roadmap-speicher/" TargetMode="External"/><Relationship Id="rId8" Type="http://schemas.openxmlformats.org/officeDocument/2006/relationships/hyperlink" Target="https://www.sciencedirect.com/science/article/pii/S0360319921005838?via%3Dihub" TargetMode="External"/><Relationship Id="rId51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72" Type="http://schemas.openxmlformats.org/officeDocument/2006/relationships/hyperlink" Target="https://www.researchgate.net/publication/289377295_2050_LCOE_improvement_using_new_molten_salts_for_thermal_energy_storage_in_CSP_plants" TargetMode="External"/><Relationship Id="rId80" Type="http://schemas.openxmlformats.org/officeDocument/2006/relationships/hyperlink" Target="https://www.sciencedirect.com/science/article/pii/S0360319921005838?via%3Dihub" TargetMode="External"/><Relationship Id="rId85" Type="http://schemas.openxmlformats.org/officeDocument/2006/relationships/hyperlink" Target="https://www.iea.org/reports/world-energy-model/techno-economic-inputs" TargetMode="External"/><Relationship Id="rId3" Type="http://schemas.openxmlformats.org/officeDocument/2006/relationships/hyperlink" Target="https://www.planet-energie.de/de/media/Abschlussbericht_Integration_von_Wind_Wasserstoff_Systemen_in_das_Energiesystem.pdf" TargetMode="External"/><Relationship Id="rId12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17" Type="http://schemas.openxmlformats.org/officeDocument/2006/relationships/hyperlink" Target="https://www.researchgate.net/publication/289377295_2050_LCOE_improvement_using_new_molten_salts_for_thermal_energy_storage_in_CSP_plants" TargetMode="External"/><Relationship Id="rId25" Type="http://schemas.openxmlformats.org/officeDocument/2006/relationships/hyperlink" Target="https://www.sciencedirect.com/science/article/pii/S0360319921005838?via%3Dihub" TargetMode="External"/><Relationship Id="rId33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38" Type="http://schemas.openxmlformats.org/officeDocument/2006/relationships/hyperlink" Target="https://github.com/PyPSA/technology-data/tree/master/outputs" TargetMode="External"/><Relationship Id="rId46" Type="http://schemas.openxmlformats.org/officeDocument/2006/relationships/hyperlink" Target="https://github.com/PyPSA/technology-data/tree/master/outputs" TargetMode="External"/><Relationship Id="rId59" Type="http://schemas.openxmlformats.org/officeDocument/2006/relationships/hyperlink" Target="https://stiftung-umweltenergierecht.de/projekte/roadmap-speicher/" TargetMode="External"/><Relationship Id="rId67" Type="http://schemas.openxmlformats.org/officeDocument/2006/relationships/hyperlink" Target="https://www.bmwk.de/Redaktion/DE/Downloads/Studien/transformationspfade-fuer-strombasierte-energietraeger.pdf?__blob=publicationFile" TargetMode="External"/><Relationship Id="rId20" Type="http://schemas.openxmlformats.org/officeDocument/2006/relationships/hyperlink" Target="https://github.com/PyPSA/technology-data/tree/master/outputs" TargetMode="External"/><Relationship Id="rId41" Type="http://schemas.openxmlformats.org/officeDocument/2006/relationships/hyperlink" Target="https://stiftung-umweltenergierecht.de/projekte/roadmap-speicher/" TargetMode="External"/><Relationship Id="rId54" Type="http://schemas.openxmlformats.org/officeDocument/2006/relationships/hyperlink" Target="https://www.researchgate.net/publication/289377295_2050_LCOE_improvement_using_new_molten_salts_for_thermal_energy_storage_in_CSP_plants" TargetMode="External"/><Relationship Id="rId62" Type="http://schemas.openxmlformats.org/officeDocument/2006/relationships/hyperlink" Target="https://www.sciencedirect.com/science/article/pii/S0360319921005838?via%3Dihub" TargetMode="External"/><Relationship Id="rId70" Type="http://schemas.openxmlformats.org/officeDocument/2006/relationships/hyperlink" Target="https://github.com/PyPSA/technology-data/tree/master/outputs" TargetMode="External"/><Relationship Id="rId75" Type="http://schemas.openxmlformats.org/officeDocument/2006/relationships/hyperlink" Target="https://www.planet-energie.de/de/media/Abschlussbericht_Integration_von_Wind_Wasserstoff_Systemen_in_das_Energiesystem.pdf" TargetMode="External"/><Relationship Id="rId83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88" Type="http://schemas.openxmlformats.org/officeDocument/2006/relationships/drawing" Target="../drawings/drawing7.xml"/><Relationship Id="rId91" Type="http://schemas.microsoft.com/office/2017/10/relationships/threadedComment" Target="../threadedComments/threadedComment8.xml"/><Relationship Id="rId1" Type="http://schemas.openxmlformats.org/officeDocument/2006/relationships/hyperlink" Target="https://iea.blob.core.windows.net/assets/a02a0c80-77b2-462e-a9d5-1099e0e572ce/IEA-The-Future-of-Hydrogen-Assumptions-Annex.pdf" TargetMode="External"/><Relationship Id="rId6" Type="http://schemas.openxmlformats.org/officeDocument/2006/relationships/hyperlink" Target="https://www.sciencedirect.com/science/article/pii/S0360319921005838?via%3Dihub" TargetMode="External"/><Relationship Id="rId15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23" Type="http://schemas.openxmlformats.org/officeDocument/2006/relationships/hyperlink" Target="https://stiftung-umweltenergierecht.de/projekte/roadmap-speicher/" TargetMode="External"/><Relationship Id="rId28" Type="http://schemas.openxmlformats.org/officeDocument/2006/relationships/hyperlink" Target="https://github.com/PyPSA/technology-data/tree/master/outputs" TargetMode="External"/><Relationship Id="rId36" Type="http://schemas.openxmlformats.org/officeDocument/2006/relationships/hyperlink" Target="https://www.researchgate.net/publication/289377295_2050_LCOE_improvement_using_new_molten_salts_for_thermal_energy_storage_in_CSP_plants" TargetMode="External"/><Relationship Id="rId49" Type="http://schemas.openxmlformats.org/officeDocument/2006/relationships/hyperlink" Target="https://www.bmwk.de/Redaktion/DE/Downloads/Studien/transformationspfade-fuer-strombasierte-energietraeger.pdf?__blob=publicationFile" TargetMode="External"/><Relationship Id="rId57" Type="http://schemas.openxmlformats.org/officeDocument/2006/relationships/hyperlink" Target="https://www.planet-energie.de/de/media/Abschlussbericht_Integration_von_Wind_Wasserstoff_Systemen_in_das_Energiesystem.pdf" TargetMode="External"/><Relationship Id="rId10" Type="http://schemas.openxmlformats.org/officeDocument/2006/relationships/hyperlink" Target="https://github.com/PyPSA/technology-data/tree/master/outputs" TargetMode="External"/><Relationship Id="rId31" Type="http://schemas.openxmlformats.org/officeDocument/2006/relationships/hyperlink" Target="https://www.bmwk.de/Redaktion/DE/Downloads/Studien/transformationspfade-fuer-strombasierte-energietraeger.pdf?__blob=publicationFile" TargetMode="External"/><Relationship Id="rId44" Type="http://schemas.openxmlformats.org/officeDocument/2006/relationships/hyperlink" Target="https://www.sciencedirect.com/science/article/pii/S0360319921005838?via%3Dihub" TargetMode="External"/><Relationship Id="rId52" Type="http://schemas.openxmlformats.org/officeDocument/2006/relationships/hyperlink" Target="https://github.com/PyPSA/technology-data/tree/master/outputs" TargetMode="External"/><Relationship Id="rId60" Type="http://schemas.openxmlformats.org/officeDocument/2006/relationships/hyperlink" Target="https://www.sciencedirect.com/science/article/pii/S0360319921005838?via%3Dihub" TargetMode="External"/><Relationship Id="rId65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73" Type="http://schemas.openxmlformats.org/officeDocument/2006/relationships/hyperlink" Target="https://iea.blob.core.windows.net/assets/a02a0c80-77b2-462e-a9d5-1099e0e572ce/IEA-The-Future-of-Hydrogen-Assumptions-Annex.pdf" TargetMode="External"/><Relationship Id="rId78" Type="http://schemas.openxmlformats.org/officeDocument/2006/relationships/hyperlink" Target="https://hss-opus.ub.ruhr-uni-bochum.de/opus4/frontdoor/deliver/index/docId/8718/file/diss.pdf" TargetMode="External"/><Relationship Id="rId81" Type="http://schemas.openxmlformats.org/officeDocument/2006/relationships/hyperlink" Target="https://www.bmwk.de/Redaktion/DE/Downloads/Studien/transformationspfade-fuer-strombasierte-energietraeger.pdf?__blob=publicationFile" TargetMode="External"/><Relationship Id="rId86" Type="http://schemas.openxmlformats.org/officeDocument/2006/relationships/hyperlink" Target="https://www.researchgate.net/publication/289377295_2050_LCOE_improvement_using_new_molten_salts_for_thermal_energy_storage_in_CSP_plants" TargetMode="External"/><Relationship Id="rId4" Type="http://schemas.openxmlformats.org/officeDocument/2006/relationships/hyperlink" Target="https://www.sciencedirect.com/science/article/pii/S0360544217301238" TargetMode="External"/><Relationship Id="rId9" Type="http://schemas.openxmlformats.org/officeDocument/2006/relationships/hyperlink" Target="https://iea.blob.core.windows.net/assets/a02a0c80-77b2-462e-a9d5-1099e0e572ce/IEA-The-Future-of-Hydrogen-Assumptions-Annex.pdf" TargetMode="External"/><Relationship Id="rId13" Type="http://schemas.openxmlformats.org/officeDocument/2006/relationships/hyperlink" Target="https://www.bmwk.de/Redaktion/DE/Downloads/Studien/transformationspfade-fuer-strombasierte-energietraeger.pdf?__blob=publicationFile" TargetMode="External"/><Relationship Id="rId18" Type="http://schemas.openxmlformats.org/officeDocument/2006/relationships/hyperlink" Target="https://www.researchgate.net/publication/289377295_2050_LCOE_improvement_using_new_molten_salts_for_thermal_energy_storage_in_CSP_plants" TargetMode="External"/><Relationship Id="rId39" Type="http://schemas.openxmlformats.org/officeDocument/2006/relationships/hyperlink" Target="https://www.planet-energie.de/de/media/Abschlussbericht_Integration_von_Wind_Wasserstoff_Systemen_in_das_Energiesystem.pdf" TargetMode="External"/><Relationship Id="rId34" Type="http://schemas.openxmlformats.org/officeDocument/2006/relationships/hyperlink" Target="https://github.com/PyPSA/technology-data/tree/master/outputs" TargetMode="External"/><Relationship Id="rId50" Type="http://schemas.openxmlformats.org/officeDocument/2006/relationships/hyperlink" Target="https://www.iea.org/reports/world-energy-model/techno-economic-inputs" TargetMode="External"/><Relationship Id="rId55" Type="http://schemas.openxmlformats.org/officeDocument/2006/relationships/hyperlink" Target="https://iea.blob.core.windows.net/assets/a02a0c80-77b2-462e-a9d5-1099e0e572ce/IEA-The-Future-of-Hydrogen-Assumptions-Annex.pdf" TargetMode="External"/><Relationship Id="rId76" Type="http://schemas.openxmlformats.org/officeDocument/2006/relationships/hyperlink" Target="https://www.sciencedirect.com/science/article/pii/S0360544217301238" TargetMode="External"/><Relationship Id="rId7" Type="http://schemas.openxmlformats.org/officeDocument/2006/relationships/hyperlink" Target="https://www.sciencedirect.com/science/article/pii/S0360319921005838?via%3Dihub" TargetMode="External"/><Relationship Id="rId71" Type="http://schemas.openxmlformats.org/officeDocument/2006/relationships/hyperlink" Target="https://www.researchgate.net/publication/289377295_2050_LCOE_improvement_using_new_molten_salts_for_thermal_energy_storage_in_CSP_plants" TargetMode="External"/><Relationship Id="rId2" Type="http://schemas.openxmlformats.org/officeDocument/2006/relationships/hyperlink" Target="https://github.com/PyPSA/technology-data/tree/master/outputs" TargetMode="External"/><Relationship Id="rId29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24" Type="http://schemas.openxmlformats.org/officeDocument/2006/relationships/hyperlink" Target="https://www.sciencedirect.com/science/article/pii/S0360319921005838?via%3Dihub" TargetMode="External"/><Relationship Id="rId40" Type="http://schemas.openxmlformats.org/officeDocument/2006/relationships/hyperlink" Target="https://www.sciencedirect.com/science/article/pii/S0360544217301238" TargetMode="External"/><Relationship Id="rId45" Type="http://schemas.openxmlformats.org/officeDocument/2006/relationships/hyperlink" Target="https://iea.blob.core.windows.net/assets/a02a0c80-77b2-462e-a9d5-1099e0e572ce/IEA-The-Future-of-Hydrogen-Assumptions-Annex.pdf" TargetMode="External"/><Relationship Id="rId66" Type="http://schemas.openxmlformats.org/officeDocument/2006/relationships/hyperlink" Target="https://www.ise.fraunhofer.de/content/dam/ise/de/documents/publications/studies/DE2021_ISE_Studie_Stromgestehungskosten_Erneuerbare_Energien.pdf" TargetMode="External"/><Relationship Id="rId87" Type="http://schemas.openxmlformats.org/officeDocument/2006/relationships/hyperlink" Target="https://www.irena.org/-/media/Files/IRENA/Agency/Publication/2020/Nov/IRENA_Innovation_Outlook_TES_2020.pdf" TargetMode="External"/><Relationship Id="rId61" Type="http://schemas.openxmlformats.org/officeDocument/2006/relationships/hyperlink" Target="https://www.sciencedirect.com/science/article/pii/S0360319921005838?via%3Dihub" TargetMode="External"/><Relationship Id="rId82" Type="http://schemas.openxmlformats.org/officeDocument/2006/relationships/hyperlink" Target="https://www.irena.org/-/media/Files/IRENA/Agency/Publication/2022/Apr/IRENA_Global_Trade_Hydrogen_2022.pdf" TargetMode="External"/><Relationship Id="rId19" Type="http://schemas.openxmlformats.org/officeDocument/2006/relationships/hyperlink" Target="https://iea.blob.core.windows.net/assets/a02a0c80-77b2-462e-a9d5-1099e0e572ce/IEA-The-Future-of-Hydrogen-Assumptions-Annex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9.vml"/><Relationship Id="rId3" Type="http://schemas.openxmlformats.org/officeDocument/2006/relationships/hyperlink" Target="https://static.agora-energiewende.de/fileadmin/Projekte/2021/2021_04_KNDE45/2021-09-08_Klimaneutrales_Deutschland_2045_Datenanhang_1.0.xlsx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s://www.irena.org/-/media/Files/IRENA/Agency/Publication/2022/Apr/IRENA_Global_Trade_Hydrogen_2022.pdf" TargetMode="External"/><Relationship Id="rId1" Type="http://schemas.openxmlformats.org/officeDocument/2006/relationships/hyperlink" Target="https://github.com/PyPSA/technology-data/tree/master/outputs" TargetMode="External"/><Relationship Id="rId6" Type="http://schemas.openxmlformats.org/officeDocument/2006/relationships/hyperlink" Target="https://www.pnnl.gov/sites/default/files/media/file/Hydrogen_Methodology.pdf" TargetMode="External"/><Relationship Id="rId5" Type="http://schemas.openxmlformats.org/officeDocument/2006/relationships/hyperlink" Target="https://www.google.de/url?sa=t&amp;rct=j&amp;q=&amp;esrc=s&amp;source=web&amp;cd=&amp;ved=2ahUKEwjVkLSV86eCAxVk_7sIHZGgA9oQFnoECBEQAQ&amp;url=https%3A%2F%2Fwww.energy-community.org%2Fdam%2Fjcr%3A246c60e5-ddca-4e7a-be46-138b8bea5c49%2FECA_E4tech_H2_part2.pdf&amp;usg=AOvVaw3cViPbilk7bgCt7Dq4MKN4&amp;opi=89978449" TargetMode="External"/><Relationship Id="rId10" Type="http://schemas.microsoft.com/office/2017/10/relationships/threadedComment" Target="../threadedComments/threadedComment9.xml"/><Relationship Id="rId4" Type="http://schemas.openxmlformats.org/officeDocument/2006/relationships/hyperlink" Target="https://etn.global/wp-content/uploads/2022/06/H2-deployment-in-centralised-power-generation-techno-economic-study-April2022.pdf" TargetMode="External"/><Relationship Id="rId9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4"/>
  <sheetViews>
    <sheetView zoomScale="93" workbookViewId="0">
      <selection activeCell="K17" sqref="K17"/>
    </sheetView>
  </sheetViews>
  <sheetFormatPr baseColWidth="10" defaultRowHeight="14.4" x14ac:dyDescent="0.3"/>
  <cols>
    <col min="1" max="1" width="17.33203125" customWidth="1"/>
    <col min="2" max="2" width="17.6640625" customWidth="1"/>
    <col min="3" max="7" width="25.6640625" customWidth="1"/>
    <col min="11" max="11" width="26" bestFit="1" customWidth="1"/>
  </cols>
  <sheetData>
    <row r="1" spans="1:14" ht="18" x14ac:dyDescent="0.3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J1" s="809" t="s">
        <v>7</v>
      </c>
      <c r="K1" s="809"/>
      <c r="L1" s="809"/>
      <c r="M1" s="809"/>
    </row>
    <row r="2" spans="1:14" x14ac:dyDescent="0.3">
      <c r="A2" s="810" t="s">
        <v>8</v>
      </c>
      <c r="B2" s="5" t="s">
        <v>9</v>
      </c>
      <c r="C2" s="6" t="s">
        <v>10</v>
      </c>
      <c r="D2" s="6" t="s">
        <v>11</v>
      </c>
      <c r="E2" s="6" t="s">
        <v>12</v>
      </c>
      <c r="F2" s="6" t="s">
        <v>13</v>
      </c>
      <c r="G2" s="7" t="s">
        <v>14</v>
      </c>
      <c r="M2" s="8"/>
    </row>
    <row r="3" spans="1:14" x14ac:dyDescent="0.3">
      <c r="A3" s="811"/>
      <c r="B3" s="9" t="s">
        <v>15</v>
      </c>
      <c r="C3" s="10" t="s">
        <v>10</v>
      </c>
      <c r="D3" s="10" t="s">
        <v>11</v>
      </c>
      <c r="E3" s="10" t="s">
        <v>12</v>
      </c>
      <c r="F3" s="10" t="s">
        <v>13</v>
      </c>
      <c r="G3" s="11" t="s">
        <v>14</v>
      </c>
      <c r="M3" s="8"/>
    </row>
    <row r="4" spans="1:14" x14ac:dyDescent="0.3">
      <c r="A4" s="811"/>
      <c r="B4" s="9" t="s">
        <v>16</v>
      </c>
      <c r="C4" s="10" t="s">
        <v>10</v>
      </c>
      <c r="D4" s="10" t="s">
        <v>11</v>
      </c>
      <c r="E4" s="10">
        <v>6.8</v>
      </c>
      <c r="F4" s="10" t="s">
        <v>17</v>
      </c>
      <c r="G4" s="11" t="s">
        <v>14</v>
      </c>
      <c r="J4" s="12">
        <v>1</v>
      </c>
      <c r="K4" s="13" t="s">
        <v>18</v>
      </c>
      <c r="L4" s="12">
        <v>2020</v>
      </c>
      <c r="M4" s="14" t="s">
        <v>19</v>
      </c>
    </row>
    <row r="5" spans="1:14" x14ac:dyDescent="0.3">
      <c r="A5" s="811"/>
      <c r="B5" s="9" t="s">
        <v>20</v>
      </c>
      <c r="C5" s="10" t="s">
        <v>21</v>
      </c>
      <c r="D5" s="10" t="s">
        <v>22</v>
      </c>
      <c r="E5" s="10">
        <v>8</v>
      </c>
      <c r="F5" s="10" t="s">
        <v>22</v>
      </c>
      <c r="G5" s="11" t="s">
        <v>14</v>
      </c>
      <c r="J5" s="8">
        <v>2</v>
      </c>
      <c r="K5" s="15" t="s">
        <v>23</v>
      </c>
      <c r="L5" s="8">
        <v>2019</v>
      </c>
      <c r="M5" s="14" t="s">
        <v>19</v>
      </c>
    </row>
    <row r="6" spans="1:14" x14ac:dyDescent="0.3">
      <c r="A6" s="811"/>
      <c r="B6" s="9" t="s">
        <v>24</v>
      </c>
      <c r="C6" s="10" t="s">
        <v>25</v>
      </c>
      <c r="D6" s="10" t="s">
        <v>26</v>
      </c>
      <c r="E6" s="10" t="s">
        <v>12</v>
      </c>
      <c r="F6" s="10" t="s">
        <v>27</v>
      </c>
      <c r="G6" s="11" t="s">
        <v>27</v>
      </c>
      <c r="J6" s="8">
        <v>3</v>
      </c>
      <c r="K6" s="15" t="s">
        <v>28</v>
      </c>
      <c r="L6" s="8">
        <v>2021</v>
      </c>
      <c r="M6" s="14" t="s">
        <v>19</v>
      </c>
    </row>
    <row r="7" spans="1:14" x14ac:dyDescent="0.3">
      <c r="A7" s="811"/>
      <c r="B7" s="9" t="s">
        <v>29</v>
      </c>
      <c r="C7" s="10" t="s">
        <v>30</v>
      </c>
      <c r="D7" s="10">
        <v>4.2300000000000004</v>
      </c>
      <c r="E7" s="10">
        <v>4.5999999999999996</v>
      </c>
      <c r="F7" s="10">
        <v>4.2300000000000004</v>
      </c>
      <c r="G7" s="11">
        <v>4.2300000000000004</v>
      </c>
      <c r="J7" s="8">
        <v>4</v>
      </c>
      <c r="K7" s="15" t="s">
        <v>31</v>
      </c>
      <c r="L7" s="8">
        <v>2022</v>
      </c>
      <c r="M7" s="14" t="s">
        <v>19</v>
      </c>
    </row>
    <row r="8" spans="1:14" x14ac:dyDescent="0.3">
      <c r="A8" s="812"/>
      <c r="B8" s="16" t="s">
        <v>32</v>
      </c>
      <c r="C8" s="17" t="s">
        <v>33</v>
      </c>
      <c r="D8" s="17" t="s">
        <v>34</v>
      </c>
      <c r="E8" s="17" t="s">
        <v>12</v>
      </c>
      <c r="F8" s="17" t="s">
        <v>34</v>
      </c>
      <c r="G8" s="18" t="s">
        <v>27</v>
      </c>
      <c r="J8" s="8">
        <v>5</v>
      </c>
      <c r="K8" s="15" t="s">
        <v>35</v>
      </c>
      <c r="L8" s="8">
        <v>2021</v>
      </c>
      <c r="M8" s="14" t="s">
        <v>19</v>
      </c>
    </row>
    <row r="9" spans="1:14" x14ac:dyDescent="0.3">
      <c r="A9" s="813" t="s">
        <v>36</v>
      </c>
      <c r="B9" s="19" t="s">
        <v>37</v>
      </c>
      <c r="C9" s="20" t="s">
        <v>38</v>
      </c>
      <c r="D9" s="20">
        <v>7.9</v>
      </c>
      <c r="E9" s="20"/>
      <c r="F9" s="20">
        <v>7</v>
      </c>
      <c r="G9" s="21" t="s">
        <v>38</v>
      </c>
      <c r="J9" s="12">
        <v>6</v>
      </c>
      <c r="K9" s="13" t="s">
        <v>39</v>
      </c>
      <c r="L9" s="12">
        <v>2020</v>
      </c>
      <c r="M9" s="14" t="s">
        <v>19</v>
      </c>
      <c r="N9" t="s">
        <v>40</v>
      </c>
    </row>
    <row r="10" spans="1:14" x14ac:dyDescent="0.3">
      <c r="A10" s="814"/>
      <c r="B10" s="22" t="s">
        <v>41</v>
      </c>
      <c r="C10" s="23">
        <v>1.7</v>
      </c>
      <c r="D10" s="23">
        <v>7</v>
      </c>
      <c r="E10" s="23"/>
      <c r="F10" s="23">
        <v>7</v>
      </c>
      <c r="G10" s="24">
        <v>1.7</v>
      </c>
      <c r="J10" s="12">
        <v>7</v>
      </c>
      <c r="K10" s="13" t="s">
        <v>42</v>
      </c>
      <c r="L10" s="12">
        <v>2020</v>
      </c>
      <c r="M10" s="14" t="s">
        <v>19</v>
      </c>
    </row>
    <row r="11" spans="1:14" x14ac:dyDescent="0.3">
      <c r="A11" s="814"/>
      <c r="B11" s="22" t="s">
        <v>43</v>
      </c>
      <c r="C11" s="23" t="s">
        <v>44</v>
      </c>
      <c r="D11" s="23">
        <v>1.7</v>
      </c>
      <c r="E11" s="23"/>
      <c r="F11" s="23" t="s">
        <v>44</v>
      </c>
      <c r="G11" s="24">
        <v>1.7</v>
      </c>
      <c r="J11" s="12">
        <v>8</v>
      </c>
      <c r="K11" s="13" t="s">
        <v>45</v>
      </c>
      <c r="L11" s="12">
        <v>2021</v>
      </c>
      <c r="M11" s="14" t="s">
        <v>19</v>
      </c>
    </row>
    <row r="12" spans="1:14" x14ac:dyDescent="0.3">
      <c r="A12" s="815"/>
      <c r="B12" s="25" t="s">
        <v>46</v>
      </c>
      <c r="C12" s="26" t="s">
        <v>47</v>
      </c>
      <c r="D12" s="26" t="s">
        <v>48</v>
      </c>
      <c r="E12" s="26"/>
      <c r="F12" s="26" t="s">
        <v>48</v>
      </c>
      <c r="G12" s="27" t="s">
        <v>49</v>
      </c>
      <c r="J12" s="12">
        <v>9</v>
      </c>
      <c r="K12" s="13" t="s">
        <v>50</v>
      </c>
      <c r="L12" s="12">
        <v>2021</v>
      </c>
      <c r="M12" s="14" t="s">
        <v>19</v>
      </c>
    </row>
    <row r="13" spans="1:14" x14ac:dyDescent="0.3">
      <c r="A13" s="816" t="s">
        <v>51</v>
      </c>
      <c r="B13" s="28" t="s">
        <v>52</v>
      </c>
      <c r="C13" s="29" t="s">
        <v>53</v>
      </c>
      <c r="D13" s="29" t="s">
        <v>54</v>
      </c>
      <c r="E13" s="29"/>
      <c r="F13" s="29">
        <v>1.4</v>
      </c>
      <c r="G13" s="30">
        <v>11</v>
      </c>
      <c r="J13" s="12">
        <v>10</v>
      </c>
      <c r="K13" s="13" t="s">
        <v>55</v>
      </c>
      <c r="L13" s="12">
        <v>2018</v>
      </c>
      <c r="M13" s="14" t="s">
        <v>19</v>
      </c>
    </row>
    <row r="14" spans="1:14" x14ac:dyDescent="0.3">
      <c r="A14" s="817"/>
      <c r="B14" s="31" t="s">
        <v>56</v>
      </c>
      <c r="C14" s="32">
        <v>11</v>
      </c>
      <c r="D14" s="32">
        <v>11</v>
      </c>
      <c r="E14" s="32"/>
      <c r="F14" s="32"/>
      <c r="G14" s="33">
        <v>11</v>
      </c>
      <c r="J14" s="12">
        <v>11</v>
      </c>
      <c r="K14" s="13" t="s">
        <v>57</v>
      </c>
      <c r="L14" s="12">
        <v>2022</v>
      </c>
      <c r="M14" s="14" t="s">
        <v>19</v>
      </c>
    </row>
    <row r="15" spans="1:14" x14ac:dyDescent="0.3">
      <c r="A15" s="817"/>
      <c r="B15" s="31" t="s">
        <v>58</v>
      </c>
      <c r="C15" s="32" t="s">
        <v>59</v>
      </c>
      <c r="D15" s="32" t="s">
        <v>59</v>
      </c>
      <c r="E15" s="32"/>
      <c r="F15" s="32">
        <v>2.4</v>
      </c>
      <c r="G15" s="33">
        <v>2.4</v>
      </c>
      <c r="J15" s="12">
        <v>12</v>
      </c>
      <c r="K15" s="13" t="s">
        <v>60</v>
      </c>
      <c r="L15" s="12">
        <v>2022</v>
      </c>
      <c r="M15" s="14" t="s">
        <v>19</v>
      </c>
    </row>
    <row r="16" spans="1:14" x14ac:dyDescent="0.3">
      <c r="A16" s="817"/>
      <c r="B16" s="31" t="s">
        <v>61</v>
      </c>
      <c r="C16" s="32" t="s">
        <v>62</v>
      </c>
      <c r="D16" s="32" t="s">
        <v>62</v>
      </c>
      <c r="E16" s="32">
        <v>4</v>
      </c>
      <c r="F16" s="32">
        <v>4</v>
      </c>
      <c r="G16" s="33">
        <v>11</v>
      </c>
      <c r="J16" s="12">
        <v>13</v>
      </c>
      <c r="K16" s="13" t="s">
        <v>63</v>
      </c>
      <c r="L16" s="12">
        <v>2020</v>
      </c>
      <c r="M16" s="14" t="s">
        <v>19</v>
      </c>
      <c r="N16" t="s">
        <v>64</v>
      </c>
    </row>
    <row r="17" spans="1:13" x14ac:dyDescent="0.3">
      <c r="A17" s="817"/>
      <c r="B17" s="31" t="s">
        <v>65</v>
      </c>
      <c r="C17" s="32">
        <v>4.1100000000000003</v>
      </c>
      <c r="D17" s="32">
        <v>4.1100000000000003</v>
      </c>
      <c r="E17" s="32"/>
      <c r="F17" s="32">
        <v>4</v>
      </c>
      <c r="G17" s="33">
        <v>11</v>
      </c>
      <c r="J17" s="12">
        <v>14</v>
      </c>
      <c r="K17" s="15" t="s">
        <v>66</v>
      </c>
      <c r="L17" s="12">
        <v>2014</v>
      </c>
      <c r="M17" s="14" t="s">
        <v>19</v>
      </c>
    </row>
    <row r="18" spans="1:13" x14ac:dyDescent="0.3">
      <c r="A18" s="817"/>
      <c r="B18" s="31" t="s">
        <v>67</v>
      </c>
      <c r="C18" s="32" t="s">
        <v>62</v>
      </c>
      <c r="D18" s="32">
        <v>4.1100000000000003</v>
      </c>
      <c r="E18" s="32"/>
      <c r="F18" s="32">
        <v>4</v>
      </c>
      <c r="G18" s="33">
        <v>11</v>
      </c>
      <c r="J18" s="12">
        <v>15</v>
      </c>
      <c r="K18" s="15" t="s">
        <v>68</v>
      </c>
      <c r="L18" s="12">
        <v>2017</v>
      </c>
      <c r="M18" s="14" t="s">
        <v>19</v>
      </c>
    </row>
    <row r="19" spans="1:13" x14ac:dyDescent="0.3">
      <c r="A19" s="817"/>
      <c r="B19" s="31" t="s">
        <v>69</v>
      </c>
      <c r="C19" s="32">
        <v>4.1100000000000003</v>
      </c>
      <c r="D19" s="32">
        <v>4.1100000000000003</v>
      </c>
      <c r="E19" s="32"/>
      <c r="F19" s="32">
        <v>4</v>
      </c>
      <c r="G19" s="33">
        <v>11</v>
      </c>
      <c r="J19" s="12">
        <v>16</v>
      </c>
      <c r="K19" s="15" t="s">
        <v>70</v>
      </c>
      <c r="L19" s="12">
        <v>2014</v>
      </c>
      <c r="M19" s="14" t="s">
        <v>19</v>
      </c>
    </row>
    <row r="20" spans="1:13" x14ac:dyDescent="0.3">
      <c r="A20" s="818"/>
      <c r="B20" s="34" t="s">
        <v>71</v>
      </c>
      <c r="C20" s="35">
        <v>12.17</v>
      </c>
      <c r="D20" s="35"/>
      <c r="E20" s="35"/>
      <c r="F20" s="35"/>
      <c r="G20" s="36"/>
      <c r="J20" s="12">
        <v>17</v>
      </c>
      <c r="K20" s="15" t="s">
        <v>72</v>
      </c>
      <c r="L20" s="8">
        <v>2021</v>
      </c>
      <c r="M20" s="14" t="s">
        <v>19</v>
      </c>
    </row>
    <row r="21" spans="1:13" x14ac:dyDescent="0.3">
      <c r="A21" s="37" t="s">
        <v>73</v>
      </c>
      <c r="B21" s="38" t="s">
        <v>74</v>
      </c>
      <c r="C21" s="39" t="s">
        <v>75</v>
      </c>
      <c r="D21" s="39">
        <v>4.21</v>
      </c>
      <c r="E21" s="39">
        <v>19</v>
      </c>
      <c r="F21" s="39">
        <v>4</v>
      </c>
      <c r="G21" s="40"/>
      <c r="J21" s="12">
        <v>18</v>
      </c>
      <c r="K21" s="15" t="s">
        <v>76</v>
      </c>
      <c r="L21" s="12">
        <v>2021</v>
      </c>
      <c r="M21" s="14" t="s">
        <v>19</v>
      </c>
    </row>
    <row r="22" spans="1:13" x14ac:dyDescent="0.3">
      <c r="A22" s="819" t="s">
        <v>77</v>
      </c>
      <c r="B22" s="41" t="s">
        <v>78</v>
      </c>
      <c r="C22" s="42" t="s">
        <v>79</v>
      </c>
      <c r="D22" s="42">
        <v>12</v>
      </c>
      <c r="E22" s="42"/>
      <c r="F22" s="42">
        <v>1.2</v>
      </c>
      <c r="G22" s="43"/>
      <c r="J22" s="12">
        <v>19</v>
      </c>
      <c r="K22" s="15" t="s">
        <v>80</v>
      </c>
      <c r="L22" s="12">
        <v>2016</v>
      </c>
      <c r="M22" s="14" t="s">
        <v>19</v>
      </c>
    </row>
    <row r="23" spans="1:13" x14ac:dyDescent="0.3">
      <c r="A23" s="820"/>
      <c r="B23" s="44" t="s">
        <v>81</v>
      </c>
      <c r="C23" s="45">
        <v>12</v>
      </c>
      <c r="D23" s="45">
        <v>12</v>
      </c>
      <c r="E23" s="45"/>
      <c r="F23" s="45"/>
      <c r="G23" s="46"/>
      <c r="J23" s="8">
        <v>20</v>
      </c>
      <c r="K23" s="15" t="s">
        <v>82</v>
      </c>
      <c r="L23" s="8">
        <v>2020</v>
      </c>
      <c r="M23" s="14" t="s">
        <v>19</v>
      </c>
    </row>
    <row r="24" spans="1:13" x14ac:dyDescent="0.3">
      <c r="A24" s="820"/>
      <c r="B24" s="44" t="s">
        <v>83</v>
      </c>
      <c r="C24" s="45" t="s">
        <v>54</v>
      </c>
      <c r="D24" s="45" t="s">
        <v>49</v>
      </c>
      <c r="E24" s="45"/>
      <c r="F24" s="45">
        <v>1.4</v>
      </c>
      <c r="G24" s="46">
        <v>11</v>
      </c>
      <c r="J24" s="8">
        <v>21</v>
      </c>
      <c r="K24" s="15" t="s">
        <v>84</v>
      </c>
      <c r="L24" s="8">
        <v>2019</v>
      </c>
      <c r="M24" s="14" t="s">
        <v>19</v>
      </c>
    </row>
    <row r="25" spans="1:13" x14ac:dyDescent="0.3">
      <c r="A25" s="820"/>
      <c r="B25" s="44" t="s">
        <v>85</v>
      </c>
      <c r="C25" s="45">
        <v>4.1100000000000003</v>
      </c>
      <c r="D25" s="45">
        <v>4</v>
      </c>
      <c r="E25" s="45"/>
      <c r="F25" s="45">
        <v>4</v>
      </c>
      <c r="G25" s="46">
        <v>11</v>
      </c>
      <c r="J25" s="12">
        <v>22</v>
      </c>
      <c r="K25" s="47" t="s">
        <v>86</v>
      </c>
      <c r="L25" s="48">
        <v>2016</v>
      </c>
      <c r="M25" s="14" t="s">
        <v>19</v>
      </c>
    </row>
    <row r="26" spans="1:13" x14ac:dyDescent="0.3">
      <c r="A26" s="821"/>
      <c r="B26" s="49" t="s">
        <v>87</v>
      </c>
      <c r="C26" s="50">
        <v>4.1100000000000003</v>
      </c>
      <c r="D26" s="50">
        <v>4</v>
      </c>
      <c r="E26" s="50"/>
      <c r="F26" s="50">
        <v>4</v>
      </c>
      <c r="G26" s="51">
        <v>11</v>
      </c>
      <c r="J26" s="8">
        <v>23</v>
      </c>
      <c r="K26" s="15" t="s">
        <v>88</v>
      </c>
      <c r="L26" s="8">
        <v>2021</v>
      </c>
      <c r="M26" s="14" t="s">
        <v>19</v>
      </c>
    </row>
    <row r="27" spans="1:13" x14ac:dyDescent="0.3">
      <c r="A27" s="804" t="s">
        <v>89</v>
      </c>
      <c r="B27" s="52" t="s">
        <v>90</v>
      </c>
      <c r="C27" s="53" t="s">
        <v>91</v>
      </c>
      <c r="D27" s="53">
        <v>2.4</v>
      </c>
      <c r="E27" s="53">
        <v>2.4</v>
      </c>
      <c r="F27" s="53">
        <v>2.4</v>
      </c>
      <c r="G27" s="54"/>
    </row>
    <row r="28" spans="1:13" x14ac:dyDescent="0.3">
      <c r="A28" s="805"/>
      <c r="B28" s="55" t="s">
        <v>92</v>
      </c>
      <c r="C28" s="56" t="s">
        <v>93</v>
      </c>
      <c r="D28" s="56" t="s">
        <v>94</v>
      </c>
      <c r="E28" s="56">
        <v>2</v>
      </c>
      <c r="F28" s="56" t="s">
        <v>95</v>
      </c>
      <c r="G28" s="57">
        <v>2.8</v>
      </c>
    </row>
    <row r="29" spans="1:13" x14ac:dyDescent="0.3">
      <c r="A29" s="806" t="s">
        <v>96</v>
      </c>
      <c r="B29" s="58" t="s">
        <v>97</v>
      </c>
      <c r="C29" s="59">
        <v>4</v>
      </c>
      <c r="D29" s="59">
        <v>4</v>
      </c>
      <c r="E29" s="59"/>
      <c r="F29" s="59">
        <v>4</v>
      </c>
      <c r="G29" s="60"/>
    </row>
    <row r="30" spans="1:13" x14ac:dyDescent="0.3">
      <c r="A30" s="807"/>
      <c r="B30" s="61" t="s">
        <v>98</v>
      </c>
      <c r="C30" s="62">
        <v>2.4</v>
      </c>
      <c r="D30" s="62">
        <v>4</v>
      </c>
      <c r="E30" s="62"/>
      <c r="F30" s="62">
        <v>4</v>
      </c>
      <c r="G30" s="63"/>
    </row>
    <row r="39" spans="2:4" ht="14.7" customHeight="1" x14ac:dyDescent="0.3">
      <c r="B39" s="808" t="s">
        <v>99</v>
      </c>
      <c r="C39" s="808"/>
      <c r="D39" s="808"/>
    </row>
    <row r="40" spans="2:4" x14ac:dyDescent="0.3">
      <c r="B40" s="808"/>
      <c r="C40" s="808"/>
      <c r="D40" s="808"/>
    </row>
    <row r="41" spans="2:4" x14ac:dyDescent="0.3">
      <c r="B41" s="808"/>
      <c r="C41" s="808"/>
      <c r="D41" s="808"/>
    </row>
    <row r="42" spans="2:4" x14ac:dyDescent="0.3">
      <c r="B42" s="808"/>
      <c r="C42" s="808"/>
      <c r="D42" s="808"/>
    </row>
    <row r="43" spans="2:4" x14ac:dyDescent="0.3">
      <c r="B43" s="64" t="s">
        <v>100</v>
      </c>
    </row>
    <row r="44" spans="2:4" x14ac:dyDescent="0.3">
      <c r="B44" s="64" t="s">
        <v>101</v>
      </c>
    </row>
  </sheetData>
  <mergeCells count="8">
    <mergeCell ref="A27:A28"/>
    <mergeCell ref="A29:A30"/>
    <mergeCell ref="B39:D42"/>
    <mergeCell ref="J1:M1"/>
    <mergeCell ref="A2:A8"/>
    <mergeCell ref="A9:A12"/>
    <mergeCell ref="A13:A20"/>
    <mergeCell ref="A22:A26"/>
  </mergeCells>
  <hyperlinks>
    <hyperlink ref="A2:A8" location="Stromerzeugung!A1" display="Stromerzeugung" xr:uid="{00000000-0004-0000-0000-000000000000}"/>
    <hyperlink ref="M4" r:id="rId1" xr:uid="{00000000-0004-0000-0000-000001000000}"/>
    <hyperlink ref="M5" r:id="rId2" xr:uid="{00000000-0004-0000-0000-000002000000}"/>
    <hyperlink ref="M6" r:id="rId3" xr:uid="{00000000-0004-0000-0000-000003000000}"/>
    <hyperlink ref="M7" r:id="rId4" xr:uid="{00000000-0004-0000-0000-000004000000}"/>
    <hyperlink ref="M8" r:id="rId5" xr:uid="{00000000-0004-0000-0000-000005000000}"/>
    <hyperlink ref="M9" r:id="rId6" xr:uid="{00000000-0004-0000-0000-000006000000}"/>
    <hyperlink ref="A9:A12" location="Elektrolyse!A1" display="Elektrolyse" xr:uid="{00000000-0004-0000-0000-000007000000}"/>
    <hyperlink ref="M10" r:id="rId7" xr:uid="{00000000-0004-0000-0000-000008000000}"/>
    <hyperlink ref="M11" r:id="rId8" xr:uid="{00000000-0004-0000-0000-000009000000}"/>
    <hyperlink ref="M12" r:id="rId9" xr:uid="{00000000-0004-0000-0000-00000A000000}"/>
    <hyperlink ref="M13" r:id="rId10" xr:uid="{00000000-0004-0000-0000-00000B000000}"/>
    <hyperlink ref="A13:A20" location="Umwandlung!A1" display="Umwandlung" xr:uid="{00000000-0004-0000-0000-00000C000000}"/>
    <hyperlink ref="M14" r:id="rId11" xr:uid="{00000000-0004-0000-0000-00000D000000}"/>
    <hyperlink ref="M15" r:id="rId12" xr:uid="{00000000-0004-0000-0000-00000E000000}"/>
    <hyperlink ref="M16" r:id="rId13" xr:uid="{00000000-0004-0000-0000-00000F000000}"/>
    <hyperlink ref="M17" r:id="rId14" xr:uid="{00000000-0004-0000-0000-000010000000}"/>
    <hyperlink ref="M18" r:id="rId15" xr:uid="{00000000-0004-0000-0000-000011000000}"/>
    <hyperlink ref="M19" r:id="rId16" xr:uid="{00000000-0004-0000-0000-000012000000}"/>
    <hyperlink ref="M20" r:id="rId17" xr:uid="{00000000-0004-0000-0000-000013000000}"/>
    <hyperlink ref="A21" location="Entsalzung!A1" display="Entsalzung" xr:uid="{00000000-0004-0000-0000-000014000000}"/>
    <hyperlink ref="M21" r:id="rId18" xr:uid="{00000000-0004-0000-0000-000015000000}"/>
    <hyperlink ref="M22" r:id="rId19" xr:uid="{00000000-0004-0000-0000-000016000000}"/>
    <hyperlink ref="A22:A26" location="Transport!A1" display="Transport" xr:uid="{00000000-0004-0000-0000-000017000000}"/>
    <hyperlink ref="M23" r:id="rId20" xr:uid="{00000000-0004-0000-0000-000018000000}"/>
    <hyperlink ref="M24" r:id="rId21" xr:uid="{00000000-0004-0000-0000-000019000000}"/>
    <hyperlink ref="M25" r:id="rId22" xr:uid="{00000000-0004-0000-0000-00001A000000}"/>
    <hyperlink ref="M26" r:id="rId23" xr:uid="{00000000-0004-0000-0000-00001B000000}"/>
    <hyperlink ref="A27:A28" location="Speicherung!A1" display="Speicherung" xr:uid="{00000000-0004-0000-0000-00001C000000}"/>
    <hyperlink ref="A29:A30" location="'CSP + Salzspeicher'!A1" display="CSP + TES" xr:uid="{00000000-0004-0000-0000-00001D000000}"/>
  </hyperlinks>
  <pageMargins left="0.7" right="0.7" top="0.78740157500000008" bottom="0.78740157500000008" header="0.3" footer="0.3"/>
  <pageSetup paperSize="9" orientation="portrait" horizontalDpi="0" verticalDpi="0"/>
  <legacyDrawing r:id="rId2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X144"/>
  <sheetViews>
    <sheetView workbookViewId="0">
      <selection activeCell="T23" sqref="T23"/>
    </sheetView>
  </sheetViews>
  <sheetFormatPr baseColWidth="10" defaultRowHeight="14.4" x14ac:dyDescent="0.3"/>
  <cols>
    <col min="1" max="2" width="20.6640625" customWidth="1"/>
    <col min="3" max="4" width="20.6640625" hidden="1" customWidth="1"/>
    <col min="5" max="5" width="20.6640625" customWidth="1"/>
    <col min="6" max="8" width="20.6640625" hidden="1" customWidth="1"/>
    <col min="9" max="9" width="20.6640625" customWidth="1"/>
    <col min="10" max="10" width="20.6640625" hidden="1" customWidth="1"/>
    <col min="11" max="11" width="20.6640625" customWidth="1"/>
    <col min="12" max="12" width="20.6640625" hidden="1" customWidth="1"/>
    <col min="13" max="14" width="20.6640625" customWidth="1"/>
    <col min="17" max="17" width="14.109375" customWidth="1"/>
    <col min="18" max="21" width="20.6640625" customWidth="1"/>
  </cols>
  <sheetData>
    <row r="1" spans="1:24" ht="15" customHeight="1" x14ac:dyDescent="0.3">
      <c r="A1" s="65"/>
      <c r="B1" s="65"/>
      <c r="C1" s="65"/>
      <c r="D1" s="65"/>
      <c r="E1" s="65"/>
      <c r="F1" s="822" t="s">
        <v>102</v>
      </c>
      <c r="G1" s="822"/>
      <c r="H1" s="822"/>
      <c r="I1" s="822"/>
      <c r="J1" s="66"/>
      <c r="R1" s="823" t="s">
        <v>103</v>
      </c>
      <c r="S1" s="823"/>
      <c r="T1" s="823"/>
    </row>
    <row r="2" spans="1:24" ht="43.95" customHeight="1" x14ac:dyDescent="0.3">
      <c r="A2" s="65" t="s">
        <v>104</v>
      </c>
      <c r="B2" s="65" t="s">
        <v>105</v>
      </c>
      <c r="C2" s="65" t="s">
        <v>106</v>
      </c>
      <c r="D2" s="65" t="s">
        <v>107</v>
      </c>
      <c r="E2" s="65" t="s">
        <v>108</v>
      </c>
      <c r="F2" s="67" t="s">
        <v>109</v>
      </c>
      <c r="G2" s="67" t="s">
        <v>110</v>
      </c>
      <c r="H2" s="67" t="s">
        <v>111</v>
      </c>
      <c r="I2" s="67" t="s">
        <v>112</v>
      </c>
      <c r="J2" s="67" t="s">
        <v>113</v>
      </c>
      <c r="K2" s="67" t="s">
        <v>114</v>
      </c>
      <c r="L2" s="67" t="s">
        <v>115</v>
      </c>
      <c r="M2" s="67" t="s">
        <v>116</v>
      </c>
      <c r="N2" s="67" t="s">
        <v>117</v>
      </c>
      <c r="Q2" s="67" t="s">
        <v>118</v>
      </c>
      <c r="R2" s="68" t="s">
        <v>119</v>
      </c>
      <c r="S2" s="68" t="s">
        <v>120</v>
      </c>
      <c r="T2" s="68" t="s">
        <v>121</v>
      </c>
      <c r="U2" s="67" t="s">
        <v>122</v>
      </c>
      <c r="X2" s="67" t="s">
        <v>123</v>
      </c>
    </row>
    <row r="3" spans="1:24" ht="30" customHeight="1" x14ac:dyDescent="0.3">
      <c r="A3" s="69" t="s">
        <v>124</v>
      </c>
      <c r="B3" s="69" t="s">
        <v>125</v>
      </c>
      <c r="C3" s="69" t="s">
        <v>126</v>
      </c>
      <c r="D3" s="69" t="s">
        <v>127</v>
      </c>
      <c r="E3" s="69">
        <v>2012</v>
      </c>
      <c r="F3" s="70">
        <v>4.1100000000000003</v>
      </c>
      <c r="G3" s="70">
        <v>1.1200000000000001</v>
      </c>
      <c r="H3" s="70">
        <v>0.91</v>
      </c>
      <c r="I3" s="71">
        <v>0.7082814445828145</v>
      </c>
      <c r="J3" s="72">
        <v>491492.700657012</v>
      </c>
      <c r="K3" s="72">
        <f t="shared" ref="K3:K61" si="0">J3/1.1827</f>
        <v>415568.3610865071</v>
      </c>
      <c r="L3" s="72">
        <f t="shared" ref="L3:L61" si="1">I3*K3</f>
        <v>294339.3591132639</v>
      </c>
      <c r="M3" s="73">
        <f t="shared" ref="M3:M61" si="2">K3/SUMIF(B:B,B3,K:K)</f>
        <v>0.1605518823967946</v>
      </c>
      <c r="N3" s="73">
        <f t="shared" ref="N3:N61" si="3">I3*M3</f>
        <v>0.11371591919449182</v>
      </c>
      <c r="P3" t="str">
        <f t="array" ref="P3:P8">_xlfn.UNIQUE(B3:B61)</f>
        <v>Südamerika</v>
      </c>
      <c r="Q3" s="74">
        <f t="shared" ref="Q3:Q11" si="4">SUMIF(B:B,P3,N:N)</f>
        <v>2.2907885902519869</v>
      </c>
      <c r="R3" s="75">
        <f t="shared" ref="R3:R11" si="5">SUMIF(B:B,P3,K:K)</f>
        <v>2588374.2680727602</v>
      </c>
      <c r="S3" s="74">
        <f t="shared" ref="S3:S11" si="6">R3/$R$12</f>
        <v>3.7418829348931745E-2</v>
      </c>
      <c r="T3" s="74">
        <f t="shared" ref="T3:T11" si="7">Q3*S3</f>
        <v>8.5718627333119024E-2</v>
      </c>
      <c r="U3" s="76">
        <f t="shared" ref="U3:U11" si="8">Q3/$T$12</f>
        <v>9.2385896983770852E-2</v>
      </c>
      <c r="W3" t="s">
        <v>128</v>
      </c>
      <c r="X3" s="76">
        <v>1.3486719798104709</v>
      </c>
    </row>
    <row r="4" spans="1:24" ht="30" customHeight="1" x14ac:dyDescent="0.3">
      <c r="A4" s="69" t="s">
        <v>129</v>
      </c>
      <c r="B4" s="69" t="s">
        <v>130</v>
      </c>
      <c r="C4" s="69" t="s">
        <v>131</v>
      </c>
      <c r="D4" s="69" t="s">
        <v>127</v>
      </c>
      <c r="E4" s="69">
        <v>2018</v>
      </c>
      <c r="F4" s="70">
        <v>1231</v>
      </c>
      <c r="G4" s="70">
        <v>7.35</v>
      </c>
      <c r="H4" s="70">
        <v>2.5499999999999998</v>
      </c>
      <c r="I4" s="71">
        <v>2.1591871295512277</v>
      </c>
      <c r="J4" s="77">
        <v>13861.1838735931</v>
      </c>
      <c r="K4" s="72">
        <f t="shared" si="0"/>
        <v>11719.949161742707</v>
      </c>
      <c r="L4" s="72">
        <f t="shared" si="1"/>
        <v>25305.56338902955</v>
      </c>
      <c r="M4" s="73">
        <f t="shared" si="2"/>
        <v>4.8293363296541159E-4</v>
      </c>
      <c r="N4" s="73">
        <f t="shared" si="3"/>
        <v>1.0427440847263331E-3</v>
      </c>
      <c r="P4" t="str">
        <v>Asien</v>
      </c>
      <c r="Q4" s="74">
        <f t="shared" si="4"/>
        <v>14.455139919938967</v>
      </c>
      <c r="R4" s="75">
        <f t="shared" si="5"/>
        <v>24268239.695333265</v>
      </c>
      <c r="S4" s="74">
        <f t="shared" si="6"/>
        <v>0.35083377661407045</v>
      </c>
      <c r="T4" s="74">
        <f t="shared" si="7"/>
        <v>5.0713513295969994</v>
      </c>
      <c r="U4" s="76">
        <f t="shared" si="8"/>
        <v>0.58296565349252727</v>
      </c>
      <c r="W4" t="s">
        <v>132</v>
      </c>
      <c r="X4" s="76">
        <v>1.3374192380309164</v>
      </c>
    </row>
    <row r="5" spans="1:24" ht="30" customHeight="1" x14ac:dyDescent="0.3">
      <c r="A5" s="69" t="s">
        <v>133</v>
      </c>
      <c r="B5" s="69" t="s">
        <v>134</v>
      </c>
      <c r="C5" s="69" t="s">
        <v>135</v>
      </c>
      <c r="D5" s="69" t="s">
        <v>127</v>
      </c>
      <c r="E5" s="69">
        <v>2011</v>
      </c>
      <c r="F5" s="70">
        <v>29.92</v>
      </c>
      <c r="G5" s="70">
        <v>19.600000000000001</v>
      </c>
      <c r="H5" s="70">
        <v>30.86</v>
      </c>
      <c r="I5" s="71">
        <v>22.169540229885058</v>
      </c>
      <c r="J5" s="77">
        <v>1542660</v>
      </c>
      <c r="K5" s="72">
        <f t="shared" si="0"/>
        <v>1304354.4432231335</v>
      </c>
      <c r="L5" s="72">
        <f t="shared" si="1"/>
        <v>28916938.303064585</v>
      </c>
      <c r="M5" s="73">
        <f t="shared" si="2"/>
        <v>0.86054650860465653</v>
      </c>
      <c r="N5" s="73">
        <f t="shared" si="3"/>
        <v>19.07792044219806</v>
      </c>
      <c r="P5" t="str">
        <v>Ozeanien</v>
      </c>
      <c r="Q5" s="74">
        <f t="shared" si="4"/>
        <v>21.625980646558784</v>
      </c>
      <c r="R5" s="75">
        <f t="shared" si="5"/>
        <v>1515728.0056113349</v>
      </c>
      <c r="S5" s="74">
        <f t="shared" si="6"/>
        <v>2.1912120005580613E-2</v>
      </c>
      <c r="T5" s="74">
        <f t="shared" si="7"/>
        <v>0.47387108316575988</v>
      </c>
      <c r="U5" s="76">
        <f t="shared" si="8"/>
        <v>0.8721606300502085</v>
      </c>
      <c r="W5" t="s">
        <v>130</v>
      </c>
      <c r="X5" s="76">
        <v>0.58296565349252727</v>
      </c>
    </row>
    <row r="6" spans="1:24" ht="30" customHeight="1" x14ac:dyDescent="0.3">
      <c r="A6" s="69" t="s">
        <v>136</v>
      </c>
      <c r="B6" s="69" t="s">
        <v>128</v>
      </c>
      <c r="C6" s="69" t="s">
        <v>137</v>
      </c>
      <c r="D6" s="69" t="s">
        <v>127</v>
      </c>
      <c r="E6" s="69">
        <v>2021</v>
      </c>
      <c r="F6" s="70">
        <v>39.9</v>
      </c>
      <c r="G6" s="70">
        <v>49.21</v>
      </c>
      <c r="H6" s="70">
        <v>47.19</v>
      </c>
      <c r="I6" s="71">
        <v>39.900228291198104</v>
      </c>
      <c r="J6" s="77">
        <v>477082.46745429497</v>
      </c>
      <c r="K6" s="72">
        <f t="shared" si="0"/>
        <v>403384.17811304214</v>
      </c>
      <c r="L6" s="72">
        <f t="shared" si="1"/>
        <v>16095120.795767698</v>
      </c>
      <c r="M6" s="73">
        <f t="shared" si="2"/>
        <v>2.1773843354212168E-2</v>
      </c>
      <c r="N6" s="73">
        <f t="shared" si="3"/>
        <v>0.86878132060985214</v>
      </c>
      <c r="P6" t="str">
        <v>Europa</v>
      </c>
      <c r="Q6" s="74">
        <f t="shared" si="4"/>
        <v>33.441493606812216</v>
      </c>
      <c r="R6" s="75">
        <f t="shared" si="5"/>
        <v>18526089.838659886</v>
      </c>
      <c r="S6" s="74">
        <f t="shared" si="6"/>
        <v>0.26782239443755201</v>
      </c>
      <c r="T6" s="74">
        <f t="shared" si="7"/>
        <v>8.9563808913445353</v>
      </c>
      <c r="U6" s="76">
        <f t="shared" si="8"/>
        <v>1.3486719798104709</v>
      </c>
      <c r="X6" s="76"/>
    </row>
    <row r="7" spans="1:24" ht="30" customHeight="1" x14ac:dyDescent="0.3">
      <c r="A7" s="69" t="s">
        <v>138</v>
      </c>
      <c r="B7" s="69" t="s">
        <v>130</v>
      </c>
      <c r="C7" s="69" t="s">
        <v>131</v>
      </c>
      <c r="D7" s="69" t="s">
        <v>127</v>
      </c>
      <c r="E7" s="69">
        <v>2019</v>
      </c>
      <c r="F7" s="70">
        <v>5.18</v>
      </c>
      <c r="G7" s="70">
        <v>10.57</v>
      </c>
      <c r="H7" s="70">
        <v>3.05</v>
      </c>
      <c r="I7" s="71">
        <v>2.7244305493523893</v>
      </c>
      <c r="J7" s="77">
        <v>54622.176470588201</v>
      </c>
      <c r="K7" s="72">
        <f t="shared" si="0"/>
        <v>46184.3041097389</v>
      </c>
      <c r="L7" s="72">
        <f t="shared" si="1"/>
        <v>125825.92901715376</v>
      </c>
      <c r="M7" s="73">
        <f t="shared" si="2"/>
        <v>1.9030759828295273E-3</v>
      </c>
      <c r="N7" s="73">
        <f t="shared" si="3"/>
        <v>5.1847983453595873E-3</v>
      </c>
      <c r="P7" t="str">
        <v>Nordamerika</v>
      </c>
      <c r="Q7" s="74">
        <f t="shared" si="4"/>
        <v>33.162472096828033</v>
      </c>
      <c r="R7" s="75">
        <f t="shared" si="5"/>
        <v>21126965.088074092</v>
      </c>
      <c r="S7" s="74">
        <f t="shared" si="6"/>
        <v>0.3054219442075139</v>
      </c>
      <c r="T7" s="74">
        <f t="shared" si="7"/>
        <v>10.128546702540648</v>
      </c>
      <c r="U7" s="76">
        <f t="shared" si="8"/>
        <v>1.3374192380309164</v>
      </c>
    </row>
    <row r="8" spans="1:24" ht="30" customHeight="1" x14ac:dyDescent="0.3">
      <c r="A8" s="69" t="s">
        <v>139</v>
      </c>
      <c r="B8" s="69" t="s">
        <v>128</v>
      </c>
      <c r="C8" s="69" t="s">
        <v>131</v>
      </c>
      <c r="D8" s="69" t="s">
        <v>127</v>
      </c>
      <c r="E8" s="69">
        <v>2018</v>
      </c>
      <c r="F8" s="70">
        <v>9.5</v>
      </c>
      <c r="G8" s="70"/>
      <c r="H8" s="70">
        <v>4.66</v>
      </c>
      <c r="I8" s="71">
        <v>3.9458086367485183</v>
      </c>
      <c r="J8" s="77">
        <v>68218.816484122595</v>
      </c>
      <c r="K8" s="72">
        <f t="shared" si="0"/>
        <v>57680.57536494681</v>
      </c>
      <c r="L8" s="72">
        <f t="shared" si="1"/>
        <v>227596.51244763093</v>
      </c>
      <c r="M8" s="73">
        <f t="shared" si="2"/>
        <v>3.1134781201686769E-3</v>
      </c>
      <c r="N8" s="73">
        <f t="shared" si="3"/>
        <v>1.2285188856889107E-2</v>
      </c>
      <c r="P8" t="str">
        <v>Lateinamerika</v>
      </c>
      <c r="Q8" s="74">
        <f t="shared" si="4"/>
        <v>4.8219264826395589</v>
      </c>
      <c r="R8" s="75">
        <f t="shared" si="5"/>
        <v>1147645.4764749375</v>
      </c>
      <c r="S8" s="74">
        <f t="shared" si="6"/>
        <v>1.6590935386351164E-2</v>
      </c>
      <c r="T8" s="74">
        <f t="shared" si="7"/>
        <v>8.0000270711208465E-2</v>
      </c>
      <c r="U8" s="76">
        <f t="shared" si="8"/>
        <v>0.19446491273097016</v>
      </c>
    </row>
    <row r="9" spans="1:24" ht="30" customHeight="1" x14ac:dyDescent="0.3">
      <c r="A9" s="69" t="s">
        <v>140</v>
      </c>
      <c r="B9" s="69" t="s">
        <v>128</v>
      </c>
      <c r="C9" s="69" t="s">
        <v>137</v>
      </c>
      <c r="D9" s="69" t="s">
        <v>127</v>
      </c>
      <c r="E9" s="69">
        <v>2021</v>
      </c>
      <c r="F9" s="70">
        <v>44.8</v>
      </c>
      <c r="G9" s="70">
        <v>54.65</v>
      </c>
      <c r="H9" s="70">
        <v>52.99</v>
      </c>
      <c r="I9" s="71">
        <v>44.804261435697981</v>
      </c>
      <c r="J9" s="77">
        <v>599879.02537751</v>
      </c>
      <c r="K9" s="72">
        <f t="shared" si="0"/>
        <v>507211.48674854991</v>
      </c>
      <c r="L9" s="72">
        <f t="shared" si="1"/>
        <v>22725236.055471092</v>
      </c>
      <c r="M9" s="73">
        <f t="shared" si="2"/>
        <v>2.7378226661198133E-2</v>
      </c>
      <c r="N9" s="73">
        <f t="shared" si="3"/>
        <v>1.2266612249741178</v>
      </c>
      <c r="Q9" s="74">
        <f t="shared" si="4"/>
        <v>0</v>
      </c>
      <c r="R9" s="75">
        <f t="shared" si="5"/>
        <v>0</v>
      </c>
      <c r="S9" s="74">
        <f t="shared" si="6"/>
        <v>0</v>
      </c>
      <c r="T9" s="74">
        <f t="shared" si="7"/>
        <v>0</v>
      </c>
      <c r="U9" s="76">
        <f t="shared" si="8"/>
        <v>0</v>
      </c>
    </row>
    <row r="10" spans="1:24" ht="30" customHeight="1" x14ac:dyDescent="0.3">
      <c r="A10" s="69" t="s">
        <v>141</v>
      </c>
      <c r="B10" s="69" t="s">
        <v>125</v>
      </c>
      <c r="C10" s="69" t="s">
        <v>142</v>
      </c>
      <c r="D10" s="69" t="s">
        <v>127</v>
      </c>
      <c r="E10" s="69">
        <v>2020</v>
      </c>
      <c r="F10" s="70">
        <v>12.95</v>
      </c>
      <c r="G10" s="70">
        <v>5.29</v>
      </c>
      <c r="H10" s="70">
        <v>2.5099999999999998</v>
      </c>
      <c r="I10" s="71">
        <v>2.1975135703029238</v>
      </c>
      <c r="J10" s="77">
        <v>1608981.2208121999</v>
      </c>
      <c r="K10" s="72">
        <f t="shared" si="0"/>
        <v>1360430.5578863616</v>
      </c>
      <c r="L10" s="72">
        <f t="shared" si="1"/>
        <v>2989564.6124100569</v>
      </c>
      <c r="M10" s="73">
        <f t="shared" si="2"/>
        <v>0.52559267593836212</v>
      </c>
      <c r="N10" s="73">
        <f t="shared" si="3"/>
        <v>1.1549970378263779</v>
      </c>
      <c r="Q10" s="74">
        <f t="shared" si="4"/>
        <v>0</v>
      </c>
      <c r="R10" s="75">
        <f t="shared" si="5"/>
        <v>0</v>
      </c>
      <c r="S10" s="74">
        <f t="shared" si="6"/>
        <v>0</v>
      </c>
      <c r="T10" s="74">
        <f t="shared" si="7"/>
        <v>0</v>
      </c>
      <c r="U10" s="76">
        <f t="shared" si="8"/>
        <v>0</v>
      </c>
    </row>
    <row r="11" spans="1:24" ht="30" customHeight="1" x14ac:dyDescent="0.3">
      <c r="A11" s="69" t="s">
        <v>143</v>
      </c>
      <c r="B11" s="69" t="s">
        <v>128</v>
      </c>
      <c r="C11" s="69" t="s">
        <v>144</v>
      </c>
      <c r="D11" s="69" t="s">
        <v>127</v>
      </c>
      <c r="E11" s="69">
        <v>2021</v>
      </c>
      <c r="F11" s="70">
        <v>11.4</v>
      </c>
      <c r="G11" s="70">
        <v>14.51</v>
      </c>
      <c r="H11" s="70">
        <v>6.89</v>
      </c>
      <c r="I11" s="71">
        <v>5.8256531664834696</v>
      </c>
      <c r="J11" s="77">
        <v>80271.119426107602</v>
      </c>
      <c r="K11" s="72">
        <f t="shared" si="0"/>
        <v>67871.074174437803</v>
      </c>
      <c r="L11" s="72">
        <f t="shared" si="1"/>
        <v>395393.33817694802</v>
      </c>
      <c r="M11" s="73">
        <f t="shared" si="2"/>
        <v>3.6635401623069837E-3</v>
      </c>
      <c r="N11" s="73">
        <f t="shared" si="3"/>
        <v>2.1342514347083043E-2</v>
      </c>
      <c r="Q11" s="74">
        <f t="shared" si="4"/>
        <v>0</v>
      </c>
      <c r="R11" s="75">
        <f t="shared" si="5"/>
        <v>0</v>
      </c>
      <c r="S11" s="74">
        <f t="shared" si="6"/>
        <v>0</v>
      </c>
      <c r="T11" s="74">
        <f t="shared" si="7"/>
        <v>0</v>
      </c>
      <c r="U11" s="76">
        <f t="shared" si="8"/>
        <v>0</v>
      </c>
    </row>
    <row r="12" spans="1:24" ht="30" customHeight="1" x14ac:dyDescent="0.3">
      <c r="A12" s="69" t="s">
        <v>145</v>
      </c>
      <c r="B12" s="69" t="s">
        <v>146</v>
      </c>
      <c r="C12" s="69" t="s">
        <v>147</v>
      </c>
      <c r="D12" s="69" t="s">
        <v>127</v>
      </c>
      <c r="E12" s="69">
        <v>2021</v>
      </c>
      <c r="F12" s="70">
        <v>43.4</v>
      </c>
      <c r="G12" s="70">
        <v>32.770000000000003</v>
      </c>
      <c r="H12" s="70">
        <v>34.61</v>
      </c>
      <c r="I12" s="71">
        <v>29.263549505369067</v>
      </c>
      <c r="J12" s="77">
        <v>1990761.6096652299</v>
      </c>
      <c r="K12" s="72">
        <f t="shared" si="0"/>
        <v>1683234.6407924492</v>
      </c>
      <c r="L12" s="72">
        <f t="shared" si="1"/>
        <v>49257420.239981957</v>
      </c>
      <c r="M12" s="73">
        <f t="shared" si="2"/>
        <v>7.9672335036072656E-2</v>
      </c>
      <c r="N12" s="73">
        <f t="shared" si="3"/>
        <v>2.3314953205364626</v>
      </c>
      <c r="Q12" s="76" t="s">
        <v>148</v>
      </c>
      <c r="R12" s="75">
        <f>SUM(R3:R10)</f>
        <v>69173042.372226283</v>
      </c>
      <c r="S12" s="74">
        <f>SUM(S3:S10)</f>
        <v>0.99999999999999989</v>
      </c>
      <c r="T12" s="74">
        <f>SUM(T3:T10)</f>
        <v>24.79586890469227</v>
      </c>
    </row>
    <row r="13" spans="1:24" ht="30" customHeight="1" x14ac:dyDescent="0.3">
      <c r="A13" s="69" t="s">
        <v>149</v>
      </c>
      <c r="B13" s="69" t="s">
        <v>125</v>
      </c>
      <c r="C13" s="69" t="s">
        <v>150</v>
      </c>
      <c r="D13" s="69" t="s">
        <v>127</v>
      </c>
      <c r="E13" s="69">
        <v>2019</v>
      </c>
      <c r="F13" s="70">
        <v>5643.97</v>
      </c>
      <c r="G13" s="70">
        <v>12.18</v>
      </c>
      <c r="H13" s="70">
        <v>8.0299999999999994</v>
      </c>
      <c r="I13" s="71">
        <v>7.1728450200982579</v>
      </c>
      <c r="J13" s="77">
        <v>317058.50865176</v>
      </c>
      <c r="K13" s="72">
        <f t="shared" si="0"/>
        <v>268080.24744378118</v>
      </c>
      <c r="L13" s="72">
        <f t="shared" si="1"/>
        <v>1922898.0678638346</v>
      </c>
      <c r="M13" s="73">
        <f t="shared" si="2"/>
        <v>0.10357089805385337</v>
      </c>
      <c r="N13" s="73">
        <f t="shared" si="3"/>
        <v>0.74289800033268649</v>
      </c>
      <c r="Q13" s="76"/>
    </row>
    <row r="14" spans="1:24" ht="30" customHeight="1" x14ac:dyDescent="0.3">
      <c r="A14" s="69" t="s">
        <v>151</v>
      </c>
      <c r="B14" s="69" t="s">
        <v>125</v>
      </c>
      <c r="C14" s="69" t="s">
        <v>152</v>
      </c>
      <c r="D14" s="69" t="s">
        <v>127</v>
      </c>
      <c r="E14" s="69">
        <v>2020</v>
      </c>
      <c r="F14" s="70">
        <v>205.65</v>
      </c>
      <c r="G14" s="70">
        <v>0.14000000000000001</v>
      </c>
      <c r="H14" s="70">
        <v>0.06</v>
      </c>
      <c r="I14" s="71">
        <v>5.2530204867798976E-2</v>
      </c>
      <c r="J14" s="77">
        <v>314322.45322829497</v>
      </c>
      <c r="K14" s="72">
        <f t="shared" si="0"/>
        <v>265766.84977449477</v>
      </c>
      <c r="L14" s="72">
        <f t="shared" si="1"/>
        <v>13960.787065723764</v>
      </c>
      <c r="M14" s="73">
        <f t="shared" si="2"/>
        <v>0.10267713330822835</v>
      </c>
      <c r="N14" s="73">
        <f t="shared" si="3"/>
        <v>5.3936508479195408E-3</v>
      </c>
    </row>
    <row r="15" spans="1:24" ht="30" customHeight="1" x14ac:dyDescent="0.3">
      <c r="A15" s="69" t="s">
        <v>153</v>
      </c>
      <c r="B15" s="69" t="s">
        <v>154</v>
      </c>
      <c r="C15" s="69" t="s">
        <v>155</v>
      </c>
      <c r="D15" s="69" t="s">
        <v>127</v>
      </c>
      <c r="E15" s="69">
        <v>2018</v>
      </c>
      <c r="F15" s="70">
        <v>2216</v>
      </c>
      <c r="G15" s="70">
        <v>6.13</v>
      </c>
      <c r="H15" s="70">
        <v>3.84</v>
      </c>
      <c r="I15" s="71">
        <v>3.2514817950889077</v>
      </c>
      <c r="J15" s="77">
        <v>64282.438666738999</v>
      </c>
      <c r="K15" s="72">
        <f t="shared" si="0"/>
        <v>54352.277557063491</v>
      </c>
      <c r="L15" s="72">
        <f t="shared" si="1"/>
        <v>176725.44099841136</v>
      </c>
      <c r="M15" s="73">
        <f t="shared" si="2"/>
        <v>4.7359815092035039E-2</v>
      </c>
      <c r="N15" s="73">
        <f t="shared" si="3"/>
        <v>0.15398957659052884</v>
      </c>
      <c r="Q15" s="76"/>
    </row>
    <row r="16" spans="1:24" ht="30" customHeight="1" x14ac:dyDescent="0.3">
      <c r="A16" s="69" t="s">
        <v>156</v>
      </c>
      <c r="B16" s="69" t="s">
        <v>128</v>
      </c>
      <c r="C16" s="69" t="s">
        <v>157</v>
      </c>
      <c r="D16" s="69" t="s">
        <v>127</v>
      </c>
      <c r="E16" s="69">
        <v>2021</v>
      </c>
      <c r="F16" s="70">
        <v>77.400000000000006</v>
      </c>
      <c r="G16" s="70">
        <v>20.010000000000002</v>
      </c>
      <c r="H16" s="70">
        <v>12.17</v>
      </c>
      <c r="I16" s="71">
        <v>10.29001437389025</v>
      </c>
      <c r="J16" s="77">
        <v>67837.788543585193</v>
      </c>
      <c r="K16" s="72">
        <f t="shared" si="0"/>
        <v>57358.40749436475</v>
      </c>
      <c r="L16" s="72">
        <f t="shared" si="1"/>
        <v>590218.83758046746</v>
      </c>
      <c r="M16" s="73">
        <f t="shared" si="2"/>
        <v>3.0960881650627828E-3</v>
      </c>
      <c r="N16" s="73">
        <f t="shared" si="3"/>
        <v>3.1858791721327523E-2</v>
      </c>
      <c r="Q16" s="76"/>
    </row>
    <row r="17" spans="1:14" ht="30" customHeight="1" x14ac:dyDescent="0.3">
      <c r="A17" s="69" t="s">
        <v>158</v>
      </c>
      <c r="B17" s="69" t="s">
        <v>128</v>
      </c>
      <c r="C17" s="69" t="s">
        <v>159</v>
      </c>
      <c r="D17" s="69" t="s">
        <v>127</v>
      </c>
      <c r="E17" s="69">
        <v>2021</v>
      </c>
      <c r="F17" s="70">
        <v>13.7</v>
      </c>
      <c r="G17" s="70">
        <v>20.9</v>
      </c>
      <c r="H17" s="70">
        <v>16.2</v>
      </c>
      <c r="I17" s="71">
        <v>13.697471886361713</v>
      </c>
      <c r="J17" s="77">
        <v>27719.3376700177</v>
      </c>
      <c r="K17" s="72">
        <f t="shared" si="0"/>
        <v>23437.336323681153</v>
      </c>
      <c r="L17" s="72">
        <f t="shared" si="1"/>
        <v>321032.2553848268</v>
      </c>
      <c r="M17" s="73">
        <f t="shared" si="2"/>
        <v>1.2650989241546574E-3</v>
      </c>
      <c r="N17" s="73">
        <f t="shared" si="3"/>
        <v>1.7328656947074868E-2</v>
      </c>
    </row>
    <row r="18" spans="1:14" ht="30" customHeight="1" x14ac:dyDescent="0.3">
      <c r="A18" s="69" t="s">
        <v>160</v>
      </c>
      <c r="B18" s="69" t="s">
        <v>128</v>
      </c>
      <c r="C18" s="69" t="s">
        <v>131</v>
      </c>
      <c r="D18" s="69" t="s">
        <v>127</v>
      </c>
      <c r="E18" s="69">
        <v>2021</v>
      </c>
      <c r="F18" s="70">
        <v>382.1</v>
      </c>
      <c r="G18" s="70">
        <v>25.88</v>
      </c>
      <c r="H18" s="70">
        <v>17.63</v>
      </c>
      <c r="I18" s="71">
        <v>14.906569713367716</v>
      </c>
      <c r="J18" s="77">
        <v>282340.84985661402</v>
      </c>
      <c r="K18" s="72">
        <f t="shared" si="0"/>
        <v>238725.66995570643</v>
      </c>
      <c r="L18" s="72">
        <f t="shared" si="1"/>
        <v>3558580.8415651508</v>
      </c>
      <c r="M18" s="73">
        <f t="shared" si="2"/>
        <v>1.2885917753542267E-2</v>
      </c>
      <c r="N18" s="73">
        <f t="shared" si="3"/>
        <v>0.19208483131390053</v>
      </c>
    </row>
    <row r="19" spans="1:14" ht="30" customHeight="1" x14ac:dyDescent="0.3">
      <c r="A19" s="69" t="s">
        <v>161</v>
      </c>
      <c r="B19" s="69" t="s">
        <v>128</v>
      </c>
      <c r="C19" s="69" t="s">
        <v>162</v>
      </c>
      <c r="D19" s="69" t="s">
        <v>127</v>
      </c>
      <c r="E19" s="69">
        <v>2021</v>
      </c>
      <c r="F19" s="70">
        <v>360.6</v>
      </c>
      <c r="G19" s="70">
        <v>47.82</v>
      </c>
      <c r="H19" s="70">
        <v>57.36</v>
      </c>
      <c r="I19" s="71">
        <v>48.499196753191846</v>
      </c>
      <c r="J19" s="77">
        <v>397104.34347830102</v>
      </c>
      <c r="K19" s="72">
        <f t="shared" si="0"/>
        <v>335760.83831766382</v>
      </c>
      <c r="L19" s="72">
        <f t="shared" si="1"/>
        <v>16284130.959585013</v>
      </c>
      <c r="M19" s="73">
        <f t="shared" si="2"/>
        <v>1.812367538113761E-2</v>
      </c>
      <c r="N19" s="73">
        <f t="shared" si="3"/>
        <v>0.87898369820077216</v>
      </c>
    </row>
    <row r="20" spans="1:14" ht="30" customHeight="1" x14ac:dyDescent="0.3">
      <c r="A20" s="69" t="s">
        <v>163</v>
      </c>
      <c r="B20" s="69" t="s">
        <v>125</v>
      </c>
      <c r="C20" s="69" t="s">
        <v>164</v>
      </c>
      <c r="D20" s="69" t="s">
        <v>127</v>
      </c>
      <c r="E20" s="69">
        <v>2015</v>
      </c>
      <c r="F20" s="70">
        <v>3.06</v>
      </c>
      <c r="G20" s="70"/>
      <c r="H20" s="70">
        <v>3.06</v>
      </c>
      <c r="I20" s="71">
        <v>2.7579990986931051</v>
      </c>
      <c r="J20" s="77">
        <v>106165.86599999999</v>
      </c>
      <c r="K20" s="72">
        <f t="shared" si="0"/>
        <v>89765.676841126231</v>
      </c>
      <c r="L20" s="72">
        <f t="shared" si="1"/>
        <v>247573.65582140267</v>
      </c>
      <c r="M20" s="73">
        <f t="shared" si="2"/>
        <v>3.468033118253936E-2</v>
      </c>
      <c r="N20" s="73">
        <f t="shared" si="3"/>
        <v>9.5648322143821948E-2</v>
      </c>
    </row>
    <row r="21" spans="1:14" ht="30" customHeight="1" x14ac:dyDescent="0.3">
      <c r="A21" s="69" t="s">
        <v>165</v>
      </c>
      <c r="B21" s="69" t="s">
        <v>128</v>
      </c>
      <c r="C21" s="69" t="s">
        <v>166</v>
      </c>
      <c r="D21" s="69" t="s">
        <v>127</v>
      </c>
      <c r="E21" s="69">
        <v>2021</v>
      </c>
      <c r="F21" s="70">
        <v>13.5</v>
      </c>
      <c r="G21" s="70">
        <v>21.58</v>
      </c>
      <c r="H21" s="70">
        <v>15.97</v>
      </c>
      <c r="I21" s="71">
        <v>13.503001606493616</v>
      </c>
      <c r="J21" s="77">
        <v>36262.924353604103</v>
      </c>
      <c r="K21" s="72">
        <f t="shared" si="0"/>
        <v>30661.134990787268</v>
      </c>
      <c r="L21" s="72">
        <f t="shared" si="1"/>
        <v>414017.35503751808</v>
      </c>
      <c r="M21" s="73">
        <f t="shared" si="2"/>
        <v>1.6550246305512459E-3</v>
      </c>
      <c r="N21" s="73">
        <f t="shared" si="3"/>
        <v>2.2347800245119977E-2</v>
      </c>
    </row>
    <row r="22" spans="1:14" ht="30" customHeight="1" x14ac:dyDescent="0.3">
      <c r="A22" s="69" t="s">
        <v>167</v>
      </c>
      <c r="B22" s="69" t="s">
        <v>128</v>
      </c>
      <c r="C22" s="69" t="s">
        <v>157</v>
      </c>
      <c r="D22" s="69" t="s">
        <v>127</v>
      </c>
      <c r="E22" s="69">
        <v>2021</v>
      </c>
      <c r="F22" s="70">
        <v>38.799999999999997</v>
      </c>
      <c r="G22" s="70">
        <v>42.51</v>
      </c>
      <c r="H22" s="70">
        <v>45.89</v>
      </c>
      <c r="I22" s="71">
        <v>38.801048448465373</v>
      </c>
      <c r="J22" s="77">
        <v>299155.23758914205</v>
      </c>
      <c r="K22" s="72">
        <f t="shared" si="0"/>
        <v>252942.62077377358</v>
      </c>
      <c r="L22" s="72">
        <f t="shared" si="1"/>
        <v>9814438.8833249919</v>
      </c>
      <c r="M22" s="73">
        <f t="shared" si="2"/>
        <v>1.3653319344589262E-2</v>
      </c>
      <c r="N22" s="73">
        <f t="shared" si="3"/>
        <v>0.52976310537177751</v>
      </c>
    </row>
    <row r="23" spans="1:14" ht="30" customHeight="1" x14ac:dyDescent="0.3">
      <c r="A23" s="69" t="s">
        <v>168</v>
      </c>
      <c r="B23" s="69" t="s">
        <v>128</v>
      </c>
      <c r="C23" s="69" t="s">
        <v>169</v>
      </c>
      <c r="D23" s="69" t="s">
        <v>127</v>
      </c>
      <c r="E23" s="69">
        <v>2021</v>
      </c>
      <c r="F23" s="70">
        <v>39.799999999999997</v>
      </c>
      <c r="G23" s="70">
        <v>48.93</v>
      </c>
      <c r="H23" s="70">
        <v>47.07</v>
      </c>
      <c r="I23" s="71">
        <v>39.798765536484311</v>
      </c>
      <c r="J23" s="77">
        <v>2937472.7579534398</v>
      </c>
      <c r="K23" s="72">
        <f t="shared" si="0"/>
        <v>2483700.6493222625</v>
      </c>
      <c r="L23" s="72">
        <f t="shared" si="1"/>
        <v>98848219.805190563</v>
      </c>
      <c r="M23" s="73">
        <f t="shared" si="2"/>
        <v>0.13406502240636467</v>
      </c>
      <c r="N23" s="73">
        <f t="shared" si="3"/>
        <v>5.3356223933944236</v>
      </c>
    </row>
    <row r="24" spans="1:14" ht="30" customHeight="1" x14ac:dyDescent="0.3">
      <c r="A24" s="69" t="s">
        <v>170</v>
      </c>
      <c r="B24" s="69" t="s">
        <v>128</v>
      </c>
      <c r="C24" s="69" t="s">
        <v>171</v>
      </c>
      <c r="D24" s="69" t="s">
        <v>127</v>
      </c>
      <c r="E24" s="69">
        <v>2019</v>
      </c>
      <c r="F24" s="70">
        <v>5.17</v>
      </c>
      <c r="G24" s="70">
        <v>5.42</v>
      </c>
      <c r="H24" s="70">
        <v>1.83</v>
      </c>
      <c r="I24" s="71">
        <v>1.6346583296114339</v>
      </c>
      <c r="J24" s="77">
        <v>18700.241392157503</v>
      </c>
      <c r="K24" s="72">
        <f t="shared" si="0"/>
        <v>15811.483378842902</v>
      </c>
      <c r="L24" s="72">
        <f t="shared" si="1"/>
        <v>25846.37300873829</v>
      </c>
      <c r="M24" s="73">
        <f t="shared" si="2"/>
        <v>8.5347115967492526E-4</v>
      </c>
      <c r="N24" s="73">
        <f t="shared" si="3"/>
        <v>1.3951337402457467E-3</v>
      </c>
    </row>
    <row r="25" spans="1:14" ht="30" customHeight="1" x14ac:dyDescent="0.3">
      <c r="A25" s="69" t="s">
        <v>172</v>
      </c>
      <c r="B25" s="69" t="s">
        <v>128</v>
      </c>
      <c r="C25" s="69" t="s">
        <v>147</v>
      </c>
      <c r="D25" s="69" t="s">
        <v>127</v>
      </c>
      <c r="E25" s="69">
        <v>2021</v>
      </c>
      <c r="F25" s="70">
        <v>41.9</v>
      </c>
      <c r="G25" s="70">
        <v>53.7</v>
      </c>
      <c r="H25" s="70">
        <v>49.56</v>
      </c>
      <c r="I25" s="71">
        <v>41.904117696795467</v>
      </c>
      <c r="J25" s="77">
        <v>4223116.2059689201</v>
      </c>
      <c r="K25" s="72">
        <f t="shared" si="0"/>
        <v>3570741.6977838166</v>
      </c>
      <c r="L25" s="72">
        <f t="shared" si="1"/>
        <v>149628780.36878833</v>
      </c>
      <c r="M25" s="73">
        <f t="shared" si="2"/>
        <v>0.1927412491724218</v>
      </c>
      <c r="N25" s="73">
        <f t="shared" si="3"/>
        <v>8.0766519903485445</v>
      </c>
    </row>
    <row r="26" spans="1:14" ht="30" customHeight="1" x14ac:dyDescent="0.3">
      <c r="A26" s="69" t="s">
        <v>173</v>
      </c>
      <c r="B26" s="69" t="s">
        <v>128</v>
      </c>
      <c r="C26" s="69" t="s">
        <v>137</v>
      </c>
      <c r="D26" s="69" t="s">
        <v>127</v>
      </c>
      <c r="E26" s="69">
        <v>2021</v>
      </c>
      <c r="F26" s="70">
        <v>16.3</v>
      </c>
      <c r="G26" s="70">
        <v>25.82</v>
      </c>
      <c r="H26" s="70">
        <v>19.28</v>
      </c>
      <c r="I26" s="71">
        <v>16.301682590682336</v>
      </c>
      <c r="J26" s="77">
        <v>216240.589485256</v>
      </c>
      <c r="K26" s="72">
        <f t="shared" si="0"/>
        <v>182836.38241756658</v>
      </c>
      <c r="L26" s="72">
        <f t="shared" si="1"/>
        <v>2980540.6721997829</v>
      </c>
      <c r="M26" s="73">
        <f t="shared" si="2"/>
        <v>9.8691296441857437E-3</v>
      </c>
      <c r="N26" s="73">
        <f t="shared" si="3"/>
        <v>0.16088341890580971</v>
      </c>
    </row>
    <row r="27" spans="1:14" ht="30" customHeight="1" x14ac:dyDescent="0.3">
      <c r="A27" s="69" t="s">
        <v>174</v>
      </c>
      <c r="B27" s="69" t="s">
        <v>130</v>
      </c>
      <c r="C27" s="69" t="s">
        <v>175</v>
      </c>
      <c r="D27" s="69" t="s">
        <v>127</v>
      </c>
      <c r="E27" s="69">
        <v>2015</v>
      </c>
      <c r="F27" s="70">
        <v>105.99</v>
      </c>
      <c r="G27" s="70">
        <v>17.100000000000001</v>
      </c>
      <c r="H27" s="70">
        <v>13.67</v>
      </c>
      <c r="I27" s="71">
        <v>12.320865254619198</v>
      </c>
      <c r="J27" s="77">
        <v>17734062.6453714</v>
      </c>
      <c r="K27" s="72">
        <f t="shared" si="0"/>
        <v>14994557.068885937</v>
      </c>
      <c r="L27" s="72">
        <f t="shared" si="1"/>
        <v>184745917.19844145</v>
      </c>
      <c r="M27" s="73">
        <f t="shared" si="2"/>
        <v>0.61786751973483112</v>
      </c>
      <c r="N27" s="73">
        <f t="shared" si="3"/>
        <v>7.6126624558586222</v>
      </c>
    </row>
    <row r="28" spans="1:14" ht="30" customHeight="1" x14ac:dyDescent="0.3">
      <c r="A28" s="69" t="s">
        <v>176</v>
      </c>
      <c r="B28" s="69" t="s">
        <v>128</v>
      </c>
      <c r="C28" s="69" t="s">
        <v>177</v>
      </c>
      <c r="D28" s="69" t="s">
        <v>127</v>
      </c>
      <c r="E28" s="69">
        <v>2021</v>
      </c>
      <c r="F28" s="70">
        <v>3915</v>
      </c>
      <c r="G28" s="70">
        <v>22.54</v>
      </c>
      <c r="H28" s="70">
        <v>12.91</v>
      </c>
      <c r="I28" s="71">
        <v>10.915701361291958</v>
      </c>
      <c r="J28" s="77">
        <v>182280.51758121201</v>
      </c>
      <c r="K28" s="72">
        <f t="shared" si="0"/>
        <v>154122.36203704405</v>
      </c>
      <c r="L28" s="72">
        <f t="shared" si="1"/>
        <v>1682353.6770932938</v>
      </c>
      <c r="M28" s="73">
        <f t="shared" si="2"/>
        <v>8.3192062318204075E-3</v>
      </c>
      <c r="N28" s="73">
        <f t="shared" si="3"/>
        <v>9.0809970789550568E-2</v>
      </c>
    </row>
    <row r="29" spans="1:14" ht="30" customHeight="1" x14ac:dyDescent="0.3">
      <c r="A29" s="69" t="s">
        <v>178</v>
      </c>
      <c r="B29" s="69" t="s">
        <v>128</v>
      </c>
      <c r="C29" s="69" t="s">
        <v>179</v>
      </c>
      <c r="D29" s="69" t="s">
        <v>127</v>
      </c>
      <c r="E29" s="69">
        <v>2021</v>
      </c>
      <c r="F29" s="70">
        <v>6744</v>
      </c>
      <c r="G29" s="70">
        <v>41.51</v>
      </c>
      <c r="H29" s="70">
        <v>53.11</v>
      </c>
      <c r="I29" s="71">
        <v>44.905724190411767</v>
      </c>
      <c r="J29" s="77">
        <v>25458.9339158742</v>
      </c>
      <c r="K29" s="72">
        <f t="shared" si="0"/>
        <v>21526.113059841209</v>
      </c>
      <c r="L29" s="72">
        <f t="shared" si="1"/>
        <v>966645.69595685008</v>
      </c>
      <c r="M29" s="73">
        <f t="shared" si="2"/>
        <v>1.1619350465914794E-3</v>
      </c>
      <c r="N29" s="73">
        <f t="shared" si="3"/>
        <v>5.2177534729410217E-2</v>
      </c>
    </row>
    <row r="30" spans="1:14" ht="30" customHeight="1" x14ac:dyDescent="0.3">
      <c r="A30" s="69" t="s">
        <v>180</v>
      </c>
      <c r="B30" s="69" t="s">
        <v>128</v>
      </c>
      <c r="C30" s="69" t="s">
        <v>181</v>
      </c>
      <c r="D30" s="69" t="s">
        <v>127</v>
      </c>
      <c r="E30" s="69">
        <v>2021</v>
      </c>
      <c r="F30" s="70">
        <v>34.5</v>
      </c>
      <c r="G30" s="70">
        <v>34.08</v>
      </c>
      <c r="H30" s="70">
        <v>40.799999999999997</v>
      </c>
      <c r="I30" s="71">
        <v>34.497336602688755</v>
      </c>
      <c r="J30" s="77">
        <v>498559.57671472098</v>
      </c>
      <c r="K30" s="72">
        <f t="shared" si="0"/>
        <v>421543.56702014117</v>
      </c>
      <c r="L30" s="72">
        <f t="shared" si="1"/>
        <v>14542130.324191896</v>
      </c>
      <c r="M30" s="73">
        <f t="shared" si="2"/>
        <v>2.2754049596611165E-2</v>
      </c>
      <c r="N30" s="73">
        <f t="shared" si="3"/>
        <v>0.78495410800856968</v>
      </c>
    </row>
    <row r="31" spans="1:14" ht="30" customHeight="1" x14ac:dyDescent="0.3">
      <c r="A31" s="69" t="s">
        <v>182</v>
      </c>
      <c r="B31" s="69" t="s">
        <v>130</v>
      </c>
      <c r="C31" s="69" t="s">
        <v>177</v>
      </c>
      <c r="D31" s="69" t="s">
        <v>127</v>
      </c>
      <c r="E31" s="69">
        <v>2020</v>
      </c>
      <c r="F31" s="70">
        <v>125.43</v>
      </c>
      <c r="G31" s="70">
        <v>30.53</v>
      </c>
      <c r="H31" s="70">
        <v>36.44</v>
      </c>
      <c r="I31" s="71">
        <v>31.903344423043244</v>
      </c>
      <c r="J31" s="77">
        <v>481591.26613340899</v>
      </c>
      <c r="K31" s="72">
        <f t="shared" si="0"/>
        <v>407196.4708999822</v>
      </c>
      <c r="L31" s="72">
        <f t="shared" si="1"/>
        <v>12990929.258969838</v>
      </c>
      <c r="M31" s="73">
        <f t="shared" si="2"/>
        <v>1.6778986692565317E-2</v>
      </c>
      <c r="N31" s="73">
        <f t="shared" si="3"/>
        <v>0.53530579152257052</v>
      </c>
    </row>
    <row r="32" spans="1:14" ht="30" customHeight="1" x14ac:dyDescent="0.3">
      <c r="A32" s="69" t="s">
        <v>183</v>
      </c>
      <c r="B32" s="69" t="s">
        <v>128</v>
      </c>
      <c r="C32" s="69" t="s">
        <v>177</v>
      </c>
      <c r="D32" s="69" t="s">
        <v>127</v>
      </c>
      <c r="E32" s="69">
        <v>2021</v>
      </c>
      <c r="F32" s="70">
        <v>28.6</v>
      </c>
      <c r="G32" s="70">
        <v>39.26</v>
      </c>
      <c r="H32" s="70">
        <v>33.83</v>
      </c>
      <c r="I32" s="71">
        <v>28.604041599729428</v>
      </c>
      <c r="J32" s="77">
        <v>2099880.1982588801</v>
      </c>
      <c r="K32" s="72">
        <f t="shared" si="0"/>
        <v>1775496.9123690538</v>
      </c>
      <c r="L32" s="72">
        <f t="shared" si="1"/>
        <v>50786387.541595571</v>
      </c>
      <c r="M32" s="73">
        <f t="shared" si="2"/>
        <v>9.5837649921354753E-2</v>
      </c>
      <c r="N32" s="73">
        <f t="shared" si="3"/>
        <v>2.7413441251707371</v>
      </c>
    </row>
    <row r="33" spans="1:14" ht="30" customHeight="1" x14ac:dyDescent="0.3">
      <c r="A33" s="69" t="s">
        <v>184</v>
      </c>
      <c r="B33" s="69" t="s">
        <v>130</v>
      </c>
      <c r="C33" s="69" t="s">
        <v>185</v>
      </c>
      <c r="D33" s="69" t="s">
        <v>186</v>
      </c>
      <c r="E33" s="69">
        <v>2018</v>
      </c>
      <c r="F33" s="70"/>
      <c r="G33" s="70"/>
      <c r="H33" s="70"/>
      <c r="I33" s="71">
        <v>24.4</v>
      </c>
      <c r="J33" s="77">
        <v>4937421.8804615494</v>
      </c>
      <c r="K33" s="72">
        <f t="shared" si="0"/>
        <v>4174703.5431314358</v>
      </c>
      <c r="L33" s="72">
        <f t="shared" si="1"/>
        <v>101862766.45240703</v>
      </c>
      <c r="M33" s="73">
        <f t="shared" si="2"/>
        <v>0.17202333566592484</v>
      </c>
      <c r="N33" s="73">
        <f t="shared" si="3"/>
        <v>4.197369390248566</v>
      </c>
    </row>
    <row r="34" spans="1:14" ht="30" customHeight="1" x14ac:dyDescent="0.3">
      <c r="A34" s="69" t="s">
        <v>187</v>
      </c>
      <c r="B34" s="69" t="s">
        <v>130</v>
      </c>
      <c r="C34" s="69" t="s">
        <v>188</v>
      </c>
      <c r="D34" s="69" t="s">
        <v>127</v>
      </c>
      <c r="E34" s="69">
        <v>2020</v>
      </c>
      <c r="F34" s="70">
        <v>1945</v>
      </c>
      <c r="G34" s="70">
        <v>13.76</v>
      </c>
      <c r="H34" s="70">
        <v>4.71</v>
      </c>
      <c r="I34" s="71">
        <v>4.1236210821222201</v>
      </c>
      <c r="J34" s="77">
        <v>190814.27422621101</v>
      </c>
      <c r="K34" s="72">
        <f t="shared" si="0"/>
        <v>161337.84918086667</v>
      </c>
      <c r="L34" s="72">
        <f t="shared" si="1"/>
        <v>665296.156226477</v>
      </c>
      <c r="M34" s="73">
        <f t="shared" si="2"/>
        <v>6.6481067933366273E-3</v>
      </c>
      <c r="N34" s="73">
        <f t="shared" si="3"/>
        <v>2.7414273329202866E-2</v>
      </c>
    </row>
    <row r="35" spans="1:14" ht="30" customHeight="1" x14ac:dyDescent="0.3">
      <c r="A35" s="69" t="s">
        <v>189</v>
      </c>
      <c r="B35" s="69" t="s">
        <v>128</v>
      </c>
      <c r="C35" s="69" t="s">
        <v>190</v>
      </c>
      <c r="D35" s="69" t="s">
        <v>127</v>
      </c>
      <c r="E35" s="69">
        <v>2021</v>
      </c>
      <c r="F35" s="70">
        <v>10.3</v>
      </c>
      <c r="G35" s="70">
        <v>17.97</v>
      </c>
      <c r="H35" s="70">
        <v>12.18</v>
      </c>
      <c r="I35" s="71">
        <v>10.298469603449732</v>
      </c>
      <c r="J35" s="77">
        <v>38872.546228565297</v>
      </c>
      <c r="K35" s="72">
        <f t="shared" si="0"/>
        <v>32867.630192411678</v>
      </c>
      <c r="L35" s="72">
        <f t="shared" si="1"/>
        <v>338486.29047397833</v>
      </c>
      <c r="M35" s="73">
        <f t="shared" si="2"/>
        <v>1.7741266764141532E-3</v>
      </c>
      <c r="N35" s="73">
        <f t="shared" si="3"/>
        <v>1.8270789649720454E-2</v>
      </c>
    </row>
    <row r="36" spans="1:14" ht="30" customHeight="1" x14ac:dyDescent="0.3">
      <c r="A36" s="69" t="s">
        <v>191</v>
      </c>
      <c r="B36" s="69" t="s">
        <v>128</v>
      </c>
      <c r="C36" s="69" t="s">
        <v>137</v>
      </c>
      <c r="D36" s="69" t="s">
        <v>127</v>
      </c>
      <c r="E36" s="69">
        <v>2021</v>
      </c>
      <c r="F36" s="70">
        <v>11</v>
      </c>
      <c r="G36" s="70">
        <v>21.16</v>
      </c>
      <c r="H36" s="70">
        <v>13.01</v>
      </c>
      <c r="I36" s="71">
        <v>11.000253656886784</v>
      </c>
      <c r="J36" s="77">
        <v>65503.849704599699</v>
      </c>
      <c r="K36" s="72">
        <f t="shared" si="0"/>
        <v>55385.008628223295</v>
      </c>
      <c r="L36" s="72">
        <f t="shared" si="1"/>
        <v>609249.14369931933</v>
      </c>
      <c r="M36" s="73">
        <f t="shared" si="2"/>
        <v>2.989568177125371E-3</v>
      </c>
      <c r="N36" s="73">
        <f t="shared" si="3"/>
        <v>3.2886008272935717E-2</v>
      </c>
    </row>
    <row r="37" spans="1:14" ht="30" customHeight="1" x14ac:dyDescent="0.3">
      <c r="A37" s="69" t="s">
        <v>192</v>
      </c>
      <c r="B37" s="69" t="s">
        <v>128</v>
      </c>
      <c r="C37" s="69" t="s">
        <v>193</v>
      </c>
      <c r="D37" s="69" t="s">
        <v>127</v>
      </c>
      <c r="E37" s="69">
        <v>2021</v>
      </c>
      <c r="F37" s="70">
        <v>34.799999999999997</v>
      </c>
      <c r="G37" s="70">
        <v>36.39</v>
      </c>
      <c r="H37" s="70">
        <v>41.16</v>
      </c>
      <c r="I37" s="71">
        <v>34.801724866830128</v>
      </c>
      <c r="J37" s="77">
        <v>86710.803337099394</v>
      </c>
      <c r="K37" s="72">
        <f t="shared" si="0"/>
        <v>73315.974750231995</v>
      </c>
      <c r="L37" s="72">
        <f t="shared" si="1"/>
        <v>2551522.3816010384</v>
      </c>
      <c r="M37" s="73">
        <f t="shared" si="2"/>
        <v>3.9574446301797392E-3</v>
      </c>
      <c r="N37" s="73">
        <f t="shared" si="3"/>
        <v>0.1377258991952296</v>
      </c>
    </row>
    <row r="38" spans="1:14" ht="30" customHeight="1" x14ac:dyDescent="0.3">
      <c r="A38" s="69" t="s">
        <v>194</v>
      </c>
      <c r="B38" s="69" t="s">
        <v>128</v>
      </c>
      <c r="C38" s="69" t="s">
        <v>195</v>
      </c>
      <c r="D38" s="69" t="s">
        <v>127</v>
      </c>
      <c r="E38" s="69">
        <v>2021</v>
      </c>
      <c r="F38" s="70">
        <v>14.4</v>
      </c>
      <c r="G38" s="70">
        <v>22.49</v>
      </c>
      <c r="H38" s="70">
        <v>17.03</v>
      </c>
      <c r="I38" s="71">
        <v>14.399255939798765</v>
      </c>
      <c r="J38" s="77">
        <v>17189.730469555401</v>
      </c>
      <c r="K38" s="72">
        <f t="shared" si="0"/>
        <v>14534.311718572249</v>
      </c>
      <c r="L38" s="72">
        <f t="shared" si="1"/>
        <v>209283.27434453825</v>
      </c>
      <c r="M38" s="73">
        <f t="shared" si="2"/>
        <v>7.8453207585349872E-4</v>
      </c>
      <c r="N38" s="73">
        <f t="shared" si="3"/>
        <v>1.1296678153196148E-2</v>
      </c>
    </row>
    <row r="39" spans="1:14" ht="30" customHeight="1" x14ac:dyDescent="0.3">
      <c r="A39" s="69" t="s">
        <v>196</v>
      </c>
      <c r="B39" s="69" t="s">
        <v>154</v>
      </c>
      <c r="C39" s="69" t="s">
        <v>185</v>
      </c>
      <c r="D39" s="69" t="s">
        <v>186</v>
      </c>
      <c r="E39" s="69">
        <v>2018</v>
      </c>
      <c r="F39" s="70"/>
      <c r="G39" s="70"/>
      <c r="H39" s="70"/>
      <c r="I39" s="71">
        <v>4.9000000000000004</v>
      </c>
      <c r="J39" s="77">
        <v>1293037.8663601698</v>
      </c>
      <c r="K39" s="72">
        <f t="shared" si="0"/>
        <v>1093293.1989178741</v>
      </c>
      <c r="L39" s="72">
        <f t="shared" si="1"/>
        <v>5357136.6746975835</v>
      </c>
      <c r="M39" s="73">
        <f t="shared" si="2"/>
        <v>0.95264018490796509</v>
      </c>
      <c r="N39" s="73">
        <f t="shared" si="3"/>
        <v>4.6679369060490297</v>
      </c>
    </row>
    <row r="40" spans="1:14" ht="30" customHeight="1" x14ac:dyDescent="0.3">
      <c r="A40" s="69" t="s">
        <v>197</v>
      </c>
      <c r="B40" s="69" t="s">
        <v>128</v>
      </c>
      <c r="C40" s="69" t="s">
        <v>198</v>
      </c>
      <c r="D40" s="69" t="s">
        <v>127</v>
      </c>
      <c r="E40" s="69">
        <v>2020</v>
      </c>
      <c r="F40" s="70">
        <v>55.76</v>
      </c>
      <c r="G40" s="70">
        <v>8.23</v>
      </c>
      <c r="H40" s="70">
        <v>3.22</v>
      </c>
      <c r="I40" s="71">
        <v>2.8191209945718789</v>
      </c>
      <c r="J40" s="77">
        <v>13679.2213332052</v>
      </c>
      <c r="K40" s="72">
        <f t="shared" si="0"/>
        <v>11566.095656722075</v>
      </c>
      <c r="L40" s="72">
        <f t="shared" si="1"/>
        <v>32606.223091091822</v>
      </c>
      <c r="M40" s="73">
        <f t="shared" si="2"/>
        <v>6.2431391391539999E-4</v>
      </c>
      <c r="N40" s="73">
        <f t="shared" si="3"/>
        <v>1.7600164619222449E-3</v>
      </c>
    </row>
    <row r="41" spans="1:14" ht="30" customHeight="1" x14ac:dyDescent="0.3">
      <c r="A41" s="69" t="s">
        <v>199</v>
      </c>
      <c r="B41" s="69" t="s">
        <v>128</v>
      </c>
      <c r="C41" s="69" t="s">
        <v>177</v>
      </c>
      <c r="D41" s="69" t="s">
        <v>127</v>
      </c>
      <c r="E41" s="69">
        <v>2020</v>
      </c>
      <c r="F41" s="70">
        <v>39.299999999999997</v>
      </c>
      <c r="G41" s="70">
        <v>46.08</v>
      </c>
      <c r="H41" s="70">
        <v>44.89</v>
      </c>
      <c r="I41" s="71">
        <v>39.30134827525827</v>
      </c>
      <c r="J41" s="77">
        <v>1018007.0569496</v>
      </c>
      <c r="K41" s="72">
        <f t="shared" si="0"/>
        <v>860748.33596820827</v>
      </c>
      <c r="L41" s="72">
        <f t="shared" si="1"/>
        <v>33828570.129235566</v>
      </c>
      <c r="M41" s="73">
        <f t="shared" si="2"/>
        <v>4.6461414333207822E-2</v>
      </c>
      <c r="N41" s="73">
        <f t="shared" si="3"/>
        <v>1.8259962260704772</v>
      </c>
    </row>
    <row r="42" spans="1:14" ht="30" customHeight="1" x14ac:dyDescent="0.3">
      <c r="A42" s="69" t="s">
        <v>200</v>
      </c>
      <c r="B42" s="69" t="s">
        <v>134</v>
      </c>
      <c r="C42" s="69" t="s">
        <v>201</v>
      </c>
      <c r="D42" s="69" t="s">
        <v>127</v>
      </c>
      <c r="E42" s="69">
        <v>2020</v>
      </c>
      <c r="F42" s="70">
        <v>32.19</v>
      </c>
      <c r="G42" s="70">
        <v>20.02</v>
      </c>
      <c r="H42" s="70">
        <v>20.87</v>
      </c>
      <c r="I42" s="71">
        <v>18.271756259849411</v>
      </c>
      <c r="J42" s="77">
        <v>249991.512236526</v>
      </c>
      <c r="K42" s="72">
        <f t="shared" si="0"/>
        <v>211373.56238820156</v>
      </c>
      <c r="L42" s="72">
        <f t="shared" si="1"/>
        <v>3862166.2117332919</v>
      </c>
      <c r="M42" s="73">
        <f t="shared" si="2"/>
        <v>0.13945349139534358</v>
      </c>
      <c r="N42" s="73">
        <f t="shared" si="3"/>
        <v>2.5480602043607248</v>
      </c>
    </row>
    <row r="43" spans="1:14" ht="30" customHeight="1" x14ac:dyDescent="0.3">
      <c r="A43" s="69" t="s">
        <v>202</v>
      </c>
      <c r="B43" s="69" t="s">
        <v>128</v>
      </c>
      <c r="C43" s="69" t="s">
        <v>203</v>
      </c>
      <c r="D43" s="69" t="s">
        <v>127</v>
      </c>
      <c r="E43" s="69">
        <v>2016</v>
      </c>
      <c r="F43" s="70">
        <v>175.6</v>
      </c>
      <c r="G43" s="70">
        <v>7.89</v>
      </c>
      <c r="H43" s="70">
        <v>3.15</v>
      </c>
      <c r="I43" s="71">
        <v>2.8457855271478905</v>
      </c>
      <c r="J43" s="77">
        <v>13879.2691515718</v>
      </c>
      <c r="K43" s="72">
        <f t="shared" si="0"/>
        <v>11735.240679438402</v>
      </c>
      <c r="L43" s="72">
        <f t="shared" si="1"/>
        <v>33395.978083142982</v>
      </c>
      <c r="M43" s="73">
        <f t="shared" si="2"/>
        <v>6.3344401228960514E-4</v>
      </c>
      <c r="N43" s="73">
        <f t="shared" si="3"/>
        <v>1.8026458024322488E-3</v>
      </c>
    </row>
    <row r="44" spans="1:14" ht="30" customHeight="1" x14ac:dyDescent="0.3">
      <c r="A44" s="69" t="s">
        <v>204</v>
      </c>
      <c r="B44" s="69" t="s">
        <v>128</v>
      </c>
      <c r="C44" s="69" t="s">
        <v>137</v>
      </c>
      <c r="D44" s="69" t="s">
        <v>127</v>
      </c>
      <c r="E44" s="69">
        <v>2021</v>
      </c>
      <c r="F44" s="70">
        <v>492.2</v>
      </c>
      <c r="G44" s="70">
        <v>45.98</v>
      </c>
      <c r="H44" s="70">
        <v>57.3</v>
      </c>
      <c r="I44" s="71">
        <v>48.448465375834949</v>
      </c>
      <c r="J44" s="77">
        <v>482437.01979045395</v>
      </c>
      <c r="K44" s="72">
        <f t="shared" si="0"/>
        <v>407911.57503209088</v>
      </c>
      <c r="L44" s="72">
        <f t="shared" si="1"/>
        <v>19762689.819344554</v>
      </c>
      <c r="M44" s="73">
        <f t="shared" si="2"/>
        <v>2.2018222872959889E-2</v>
      </c>
      <c r="N44" s="73">
        <f t="shared" si="3"/>
        <v>1.0667491084980143</v>
      </c>
    </row>
    <row r="45" spans="1:14" ht="30" customHeight="1" x14ac:dyDescent="0.3">
      <c r="A45" s="69" t="s">
        <v>205</v>
      </c>
      <c r="B45" s="69" t="s">
        <v>125</v>
      </c>
      <c r="C45" s="69" t="s">
        <v>206</v>
      </c>
      <c r="D45" s="69" t="s">
        <v>127</v>
      </c>
      <c r="E45" s="69">
        <v>2020</v>
      </c>
      <c r="F45" s="70">
        <v>9.76</v>
      </c>
      <c r="G45" s="70">
        <v>5.17</v>
      </c>
      <c r="H45" s="70">
        <v>2.79</v>
      </c>
      <c r="I45" s="71">
        <v>2.4426545263526527</v>
      </c>
      <c r="J45" s="77">
        <v>223249.49750038699</v>
      </c>
      <c r="K45" s="72">
        <f t="shared" si="0"/>
        <v>188762.57504048952</v>
      </c>
      <c r="L45" s="72">
        <f t="shared" si="1"/>
        <v>461081.75832863396</v>
      </c>
      <c r="M45" s="73">
        <f t="shared" si="2"/>
        <v>7.2927079120222241E-2</v>
      </c>
      <c r="N45" s="73">
        <f t="shared" si="3"/>
        <v>0.17813565990668889</v>
      </c>
    </row>
    <row r="46" spans="1:14" ht="30" customHeight="1" x14ac:dyDescent="0.3">
      <c r="A46" s="69" t="s">
        <v>207</v>
      </c>
      <c r="B46" s="69" t="s">
        <v>130</v>
      </c>
      <c r="C46" s="69" t="s">
        <v>208</v>
      </c>
      <c r="D46" s="69" t="s">
        <v>127</v>
      </c>
      <c r="E46" s="69">
        <v>2013</v>
      </c>
      <c r="F46" s="70">
        <v>87.18</v>
      </c>
      <c r="G46" s="70">
        <v>4.67</v>
      </c>
      <c r="H46" s="70">
        <v>2.0499999999999998</v>
      </c>
      <c r="I46" s="71">
        <v>1.5435584669829077</v>
      </c>
      <c r="J46" s="77">
        <v>394086.41934305604</v>
      </c>
      <c r="K46" s="72">
        <f t="shared" si="0"/>
        <v>333209.11418200389</v>
      </c>
      <c r="L46" s="72">
        <f t="shared" si="1"/>
        <v>514327.74947150657</v>
      </c>
      <c r="M46" s="73">
        <f t="shared" si="2"/>
        <v>1.3730254784242935E-2</v>
      </c>
      <c r="N46" s="73">
        <f t="shared" si="3"/>
        <v>2.1193451026050757E-2</v>
      </c>
    </row>
    <row r="47" spans="1:14" ht="30" customHeight="1" x14ac:dyDescent="0.3">
      <c r="A47" s="69" t="s">
        <v>209</v>
      </c>
      <c r="B47" s="69" t="s">
        <v>128</v>
      </c>
      <c r="C47" s="69" t="s">
        <v>157</v>
      </c>
      <c r="D47" s="69" t="s">
        <v>127</v>
      </c>
      <c r="E47" s="69">
        <v>2021</v>
      </c>
      <c r="F47" s="70">
        <v>47.6</v>
      </c>
      <c r="G47" s="70">
        <v>24.15</v>
      </c>
      <c r="H47" s="70">
        <v>12.33</v>
      </c>
      <c r="I47" s="71">
        <v>10.425298046841972</v>
      </c>
      <c r="J47" s="77">
        <v>674048.26639736898</v>
      </c>
      <c r="K47" s="72">
        <f t="shared" si="0"/>
        <v>569923.28265609953</v>
      </c>
      <c r="L47" s="72">
        <f t="shared" si="1"/>
        <v>5941620.0855243998</v>
      </c>
      <c r="M47" s="73">
        <f t="shared" si="2"/>
        <v>3.07632796569298E-2</v>
      </c>
      <c r="N47" s="73">
        <f t="shared" si="3"/>
        <v>0.32071635932184361</v>
      </c>
    </row>
    <row r="48" spans="1:14" ht="30" customHeight="1" x14ac:dyDescent="0.3">
      <c r="A48" s="69" t="s">
        <v>210</v>
      </c>
      <c r="B48" s="69" t="s">
        <v>128</v>
      </c>
      <c r="C48" s="69" t="s">
        <v>211</v>
      </c>
      <c r="D48" s="69" t="s">
        <v>127</v>
      </c>
      <c r="E48" s="69">
        <v>2021</v>
      </c>
      <c r="F48" s="70">
        <v>12.8</v>
      </c>
      <c r="G48" s="70">
        <v>19.809999999999999</v>
      </c>
      <c r="H48" s="70">
        <v>15.14</v>
      </c>
      <c r="I48" s="71">
        <v>12.801217553056565</v>
      </c>
      <c r="J48" s="77">
        <v>249886.46435475201</v>
      </c>
      <c r="K48" s="72">
        <f t="shared" si="0"/>
        <v>211284.74199268792</v>
      </c>
      <c r="L48" s="72">
        <f t="shared" si="1"/>
        <v>2704701.9478898244</v>
      </c>
      <c r="M48" s="73">
        <f t="shared" si="2"/>
        <v>1.1404713235913549E-2</v>
      </c>
      <c r="N48" s="73">
        <f t="shared" si="3"/>
        <v>0.14599421526315307</v>
      </c>
    </row>
    <row r="49" spans="1:14" ht="30" customHeight="1" x14ac:dyDescent="0.3">
      <c r="A49" s="69" t="s">
        <v>212</v>
      </c>
      <c r="B49" s="69" t="s">
        <v>128</v>
      </c>
      <c r="C49" s="69" t="s">
        <v>213</v>
      </c>
      <c r="D49" s="69" t="s">
        <v>127</v>
      </c>
      <c r="E49" s="69">
        <v>2021</v>
      </c>
      <c r="F49" s="70">
        <v>35.9</v>
      </c>
      <c r="G49" s="70">
        <v>18.2</v>
      </c>
      <c r="H49" s="70">
        <v>8.6300000000000008</v>
      </c>
      <c r="I49" s="71">
        <v>7.2968631098334322</v>
      </c>
      <c r="J49" s="77">
        <v>284087.56369579799</v>
      </c>
      <c r="K49" s="72">
        <f t="shared" si="0"/>
        <v>240202.55660420898</v>
      </c>
      <c r="L49" s="72">
        <f t="shared" si="1"/>
        <v>1752725.1741729293</v>
      </c>
      <c r="M49" s="73">
        <f t="shared" si="2"/>
        <v>1.2965637039228803E-2</v>
      </c>
      <c r="N49" s="73">
        <f t="shared" si="3"/>
        <v>9.4608478607038624E-2</v>
      </c>
    </row>
    <row r="50" spans="1:14" ht="30" customHeight="1" x14ac:dyDescent="0.3">
      <c r="A50" s="69" t="s">
        <v>214</v>
      </c>
      <c r="B50" s="69" t="s">
        <v>130</v>
      </c>
      <c r="C50" s="69" t="s">
        <v>185</v>
      </c>
      <c r="D50" s="69" t="s">
        <v>186</v>
      </c>
      <c r="E50" s="69">
        <v>2018</v>
      </c>
      <c r="F50" s="70"/>
      <c r="G50" s="70"/>
      <c r="H50" s="70"/>
      <c r="I50" s="71">
        <v>25.6</v>
      </c>
      <c r="J50" s="77">
        <v>1798533.91509114</v>
      </c>
      <c r="K50" s="72">
        <f t="shared" si="0"/>
        <v>1520701.7122610465</v>
      </c>
      <c r="L50" s="72">
        <f t="shared" si="1"/>
        <v>38929963.833882794</v>
      </c>
      <c r="M50" s="73">
        <f t="shared" si="2"/>
        <v>6.2662217422942076E-2</v>
      </c>
      <c r="N50" s="73">
        <f t="shared" si="3"/>
        <v>1.6041527660273172</v>
      </c>
    </row>
    <row r="51" spans="1:14" ht="30" customHeight="1" x14ac:dyDescent="0.3">
      <c r="A51" s="69" t="s">
        <v>215</v>
      </c>
      <c r="B51" s="69" t="s">
        <v>130</v>
      </c>
      <c r="C51" s="69" t="s">
        <v>216</v>
      </c>
      <c r="D51" s="69" t="s">
        <v>127</v>
      </c>
      <c r="E51" s="69">
        <v>2019</v>
      </c>
      <c r="F51" s="70">
        <v>348.5</v>
      </c>
      <c r="G51" s="70">
        <v>13.14</v>
      </c>
      <c r="H51" s="70">
        <v>5.38</v>
      </c>
      <c r="I51" s="71">
        <v>4.8057168378740514</v>
      </c>
      <c r="J51" s="77">
        <v>1775799.9193529799</v>
      </c>
      <c r="K51" s="72">
        <f t="shared" si="0"/>
        <v>1501479.5969840025</v>
      </c>
      <c r="L51" s="72">
        <f t="shared" si="1"/>
        <v>7215685.7809503656</v>
      </c>
      <c r="M51" s="73">
        <f t="shared" si="2"/>
        <v>6.1870148631865296E-2</v>
      </c>
      <c r="N51" s="73">
        <f t="shared" si="3"/>
        <v>0.29733041504192526</v>
      </c>
    </row>
    <row r="52" spans="1:14" ht="30" customHeight="1" x14ac:dyDescent="0.3">
      <c r="A52" s="69" t="s">
        <v>217</v>
      </c>
      <c r="B52" s="69" t="s">
        <v>128</v>
      </c>
      <c r="C52" s="69" t="s">
        <v>131</v>
      </c>
      <c r="D52" s="69" t="s">
        <v>127</v>
      </c>
      <c r="E52" s="69">
        <v>2021</v>
      </c>
      <c r="F52" s="70">
        <v>14.3</v>
      </c>
      <c r="G52" s="70">
        <v>22.05</v>
      </c>
      <c r="H52" s="70">
        <v>16.91</v>
      </c>
      <c r="I52" s="71">
        <v>14.297793185084974</v>
      </c>
      <c r="J52" s="77">
        <v>114870.70641016499</v>
      </c>
      <c r="K52" s="72">
        <f t="shared" si="0"/>
        <v>97125.819235786737</v>
      </c>
      <c r="L52" s="72">
        <f t="shared" si="1"/>
        <v>1388684.8763652267</v>
      </c>
      <c r="M52" s="73">
        <f t="shared" si="2"/>
        <v>5.2426507742128325E-3</v>
      </c>
      <c r="N52" s="73">
        <f t="shared" si="3"/>
        <v>7.4958336511320695E-2</v>
      </c>
    </row>
    <row r="53" spans="1:14" ht="30" customHeight="1" x14ac:dyDescent="0.3">
      <c r="A53" s="69" t="s">
        <v>218</v>
      </c>
      <c r="B53" s="69" t="s">
        <v>128</v>
      </c>
      <c r="C53" s="69" t="s">
        <v>137</v>
      </c>
      <c r="D53" s="69" t="s">
        <v>127</v>
      </c>
      <c r="E53" s="69">
        <v>2021</v>
      </c>
      <c r="F53" s="70">
        <v>20.3</v>
      </c>
      <c r="G53" s="70">
        <v>31.84</v>
      </c>
      <c r="H53" s="70">
        <v>24.01</v>
      </c>
      <c r="I53" s="71">
        <v>20.301006172317578</v>
      </c>
      <c r="J53" s="77">
        <v>61526.331889499001</v>
      </c>
      <c r="K53" s="72">
        <f t="shared" si="0"/>
        <v>52021.926007862516</v>
      </c>
      <c r="L53" s="72">
        <f t="shared" si="1"/>
        <v>1056097.4409814654</v>
      </c>
      <c r="M53" s="73">
        <f t="shared" si="2"/>
        <v>2.8080359353166995E-3</v>
      </c>
      <c r="N53" s="73">
        <f t="shared" si="3"/>
        <v>5.7005954854953883E-2</v>
      </c>
    </row>
    <row r="54" spans="1:14" ht="30" customHeight="1" x14ac:dyDescent="0.3">
      <c r="A54" s="69" t="s">
        <v>219</v>
      </c>
      <c r="B54" s="69" t="s">
        <v>128</v>
      </c>
      <c r="C54" s="69" t="s">
        <v>220</v>
      </c>
      <c r="D54" s="69" t="s">
        <v>127</v>
      </c>
      <c r="E54" s="69">
        <v>2021</v>
      </c>
      <c r="F54" s="70">
        <v>24</v>
      </c>
      <c r="G54" s="70">
        <v>34.229999999999997</v>
      </c>
      <c r="H54" s="70">
        <v>28.39</v>
      </c>
      <c r="I54" s="71">
        <v>24.004396719370931</v>
      </c>
      <c r="J54" s="77">
        <v>1425276.5862829199</v>
      </c>
      <c r="K54" s="72">
        <f t="shared" si="0"/>
        <v>1205104.0722777711</v>
      </c>
      <c r="L54" s="72">
        <f t="shared" si="1"/>
        <v>28927796.239085078</v>
      </c>
      <c r="M54" s="73">
        <f t="shared" si="2"/>
        <v>6.5049024525563034E-2</v>
      </c>
      <c r="N54" s="73">
        <f t="shared" si="3"/>
        <v>1.5614625909197044</v>
      </c>
    </row>
    <row r="55" spans="1:14" ht="30" customHeight="1" x14ac:dyDescent="0.3">
      <c r="A55" s="69" t="s">
        <v>221</v>
      </c>
      <c r="B55" s="69" t="s">
        <v>128</v>
      </c>
      <c r="C55" s="69" t="s">
        <v>137</v>
      </c>
      <c r="D55" s="69" t="s">
        <v>127</v>
      </c>
      <c r="E55" s="69">
        <v>2021</v>
      </c>
      <c r="F55" s="70">
        <v>441.1</v>
      </c>
      <c r="G55" s="70">
        <v>47.03</v>
      </c>
      <c r="H55" s="70">
        <v>51.43</v>
      </c>
      <c r="I55" s="71">
        <v>43.485245624418702</v>
      </c>
      <c r="J55" s="77">
        <v>627437.89888729004</v>
      </c>
      <c r="K55" s="72">
        <f t="shared" si="0"/>
        <v>530513.14694114309</v>
      </c>
      <c r="L55" s="72">
        <f t="shared" si="1"/>
        <v>23069494.501718938</v>
      </c>
      <c r="M55" s="73">
        <f t="shared" si="2"/>
        <v>2.8636002068503332E-2</v>
      </c>
      <c r="N55" s="73">
        <f t="shared" si="3"/>
        <v>1.2452435836502294</v>
      </c>
    </row>
    <row r="56" spans="1:14" ht="30" customHeight="1" x14ac:dyDescent="0.3">
      <c r="A56" s="69" t="s">
        <v>222</v>
      </c>
      <c r="B56" s="69" t="s">
        <v>128</v>
      </c>
      <c r="C56" s="69" t="s">
        <v>223</v>
      </c>
      <c r="D56" s="69" t="s">
        <v>127</v>
      </c>
      <c r="E56" s="69">
        <v>2018</v>
      </c>
      <c r="F56" s="70">
        <v>60.11</v>
      </c>
      <c r="G56" s="70">
        <v>44.44</v>
      </c>
      <c r="H56" s="70">
        <v>61.47</v>
      </c>
      <c r="I56" s="71">
        <v>52.049110922946653</v>
      </c>
      <c r="J56" s="77">
        <v>812866.92886747001</v>
      </c>
      <c r="K56" s="72">
        <f t="shared" si="0"/>
        <v>687297.64848860225</v>
      </c>
      <c r="L56" s="72">
        <f t="shared" si="1"/>
        <v>35773231.543263659</v>
      </c>
      <c r="M56" s="73">
        <f t="shared" si="2"/>
        <v>3.7098905083271419E-2</v>
      </c>
      <c r="N56" s="73">
        <f t="shared" si="3"/>
        <v>1.9309650257990636</v>
      </c>
    </row>
    <row r="57" spans="1:14" ht="30" customHeight="1" x14ac:dyDescent="0.3">
      <c r="A57" s="69" t="s">
        <v>224</v>
      </c>
      <c r="B57" s="69" t="s">
        <v>130</v>
      </c>
      <c r="C57" s="69" t="s">
        <v>225</v>
      </c>
      <c r="D57" s="69" t="s">
        <v>127</v>
      </c>
      <c r="E57" s="69">
        <v>2016</v>
      </c>
      <c r="F57" s="70">
        <v>59.6</v>
      </c>
      <c r="G57" s="70">
        <v>4.5599999999999996</v>
      </c>
      <c r="H57" s="70">
        <v>1.69</v>
      </c>
      <c r="I57" s="71">
        <v>1.526786520914265</v>
      </c>
      <c r="J57" s="77">
        <v>505981.655622305</v>
      </c>
      <c r="K57" s="72">
        <f t="shared" si="0"/>
        <v>427819.10511736281</v>
      </c>
      <c r="L57" s="72">
        <f t="shared" si="1"/>
        <v>653188.44308279257</v>
      </c>
      <c r="M57" s="73">
        <f t="shared" si="2"/>
        <v>1.7628765435328694E-2</v>
      </c>
      <c r="N57" s="73">
        <f t="shared" si="3"/>
        <v>2.6915361447019146E-2</v>
      </c>
    </row>
    <row r="58" spans="1:14" ht="30" customHeight="1" x14ac:dyDescent="0.3">
      <c r="A58" s="69" t="s">
        <v>226</v>
      </c>
      <c r="B58" s="69" t="s">
        <v>130</v>
      </c>
      <c r="C58" s="69" t="s">
        <v>137</v>
      </c>
      <c r="D58" s="69" t="s">
        <v>127</v>
      </c>
      <c r="E58" s="69">
        <v>2021</v>
      </c>
      <c r="F58" s="70">
        <v>46.6</v>
      </c>
      <c r="G58" s="70">
        <v>15.28</v>
      </c>
      <c r="H58" s="70">
        <v>5.27</v>
      </c>
      <c r="I58" s="71">
        <v>4.4559059778472978</v>
      </c>
      <c r="J58" s="77">
        <v>815271.75172442303</v>
      </c>
      <c r="K58" s="72">
        <f t="shared" si="0"/>
        <v>689330.98141914513</v>
      </c>
      <c r="L58" s="72">
        <f t="shared" si="1"/>
        <v>3071594.0408209134</v>
      </c>
      <c r="M58" s="73">
        <f t="shared" si="2"/>
        <v>2.8404655223168169E-2</v>
      </c>
      <c r="N58" s="73">
        <f t="shared" si="3"/>
        <v>0.12656847300760651</v>
      </c>
    </row>
    <row r="59" spans="1:14" ht="30" customHeight="1" x14ac:dyDescent="0.3">
      <c r="A59" s="69" t="s">
        <v>227</v>
      </c>
      <c r="B59" s="69" t="s">
        <v>128</v>
      </c>
      <c r="C59" s="69" t="s">
        <v>157</v>
      </c>
      <c r="D59" s="69" t="s">
        <v>127</v>
      </c>
      <c r="E59" s="69">
        <v>2018</v>
      </c>
      <c r="F59" s="70">
        <v>76.62</v>
      </c>
      <c r="G59" s="70">
        <v>10.1</v>
      </c>
      <c r="H59" s="70">
        <v>2.82</v>
      </c>
      <c r="I59" s="71">
        <v>2.3878069432684166</v>
      </c>
      <c r="J59" s="77">
        <v>200085.53774435399</v>
      </c>
      <c r="K59" s="72">
        <f t="shared" si="0"/>
        <v>169176.91531610212</v>
      </c>
      <c r="L59" s="72">
        <f t="shared" si="1"/>
        <v>403961.81303252158</v>
      </c>
      <c r="M59" s="73">
        <f t="shared" si="2"/>
        <v>9.1318198707569156E-3</v>
      </c>
      <c r="N59" s="73">
        <f t="shared" si="3"/>
        <v>2.1805022892069859E-2</v>
      </c>
    </row>
    <row r="60" spans="1:14" ht="30" customHeight="1" x14ac:dyDescent="0.3">
      <c r="A60" s="69" t="s">
        <v>228</v>
      </c>
      <c r="B60" s="69" t="s">
        <v>128</v>
      </c>
      <c r="C60" s="69" t="s">
        <v>229</v>
      </c>
      <c r="D60" s="69" t="s">
        <v>127</v>
      </c>
      <c r="E60" s="69">
        <v>2019</v>
      </c>
      <c r="F60" s="70">
        <v>23.2</v>
      </c>
      <c r="G60" s="70">
        <v>29.79</v>
      </c>
      <c r="H60" s="70">
        <v>29.61</v>
      </c>
      <c r="I60" s="71">
        <v>26.44930772666369</v>
      </c>
      <c r="J60" s="77">
        <v>3186859.7391850199</v>
      </c>
      <c r="K60" s="72">
        <f t="shared" si="0"/>
        <v>2694563.0668681995</v>
      </c>
      <c r="L60" s="72">
        <f t="shared" si="1"/>
        <v>71269327.744499683</v>
      </c>
      <c r="M60" s="73">
        <f t="shared" si="2"/>
        <v>0.14544693944240933</v>
      </c>
      <c r="N60" s="73">
        <f t="shared" si="3"/>
        <v>3.8469708592137031</v>
      </c>
    </row>
    <row r="61" spans="1:14" ht="30" customHeight="1" x14ac:dyDescent="0.3">
      <c r="A61" s="69" t="s">
        <v>230</v>
      </c>
      <c r="B61" s="69" t="s">
        <v>146</v>
      </c>
      <c r="C61" s="69" t="s">
        <v>185</v>
      </c>
      <c r="D61" s="69" t="s">
        <v>186</v>
      </c>
      <c r="E61" s="69">
        <v>2018</v>
      </c>
      <c r="F61" s="70"/>
      <c r="G61" s="70"/>
      <c r="H61" s="70"/>
      <c r="I61" s="71">
        <v>33.5</v>
      </c>
      <c r="J61" s="77">
        <v>22996100</v>
      </c>
      <c r="K61" s="72">
        <f t="shared" si="0"/>
        <v>19443730.447281644</v>
      </c>
      <c r="L61" s="72">
        <f t="shared" si="1"/>
        <v>651364969.98393512</v>
      </c>
      <c r="M61" s="73">
        <f t="shared" si="2"/>
        <v>0.92032766496392737</v>
      </c>
      <c r="N61" s="73">
        <f t="shared" si="3"/>
        <v>30.830976776291568</v>
      </c>
    </row>
    <row r="62" spans="1:14" ht="30" customHeight="1" x14ac:dyDescent="0.3">
      <c r="A62" s="69"/>
      <c r="B62" s="69"/>
      <c r="C62" s="69"/>
      <c r="D62" s="69"/>
      <c r="E62" s="69"/>
      <c r="F62" s="70"/>
      <c r="G62" s="70"/>
      <c r="H62" s="70"/>
      <c r="I62" s="71"/>
      <c r="J62" s="77"/>
    </row>
    <row r="63" spans="1:14" ht="30" customHeight="1" x14ac:dyDescent="0.3">
      <c r="A63" s="69"/>
      <c r="B63" s="69"/>
      <c r="C63" s="69"/>
      <c r="D63" s="69"/>
      <c r="E63" s="69"/>
      <c r="F63" s="70"/>
      <c r="G63" s="70"/>
      <c r="H63" s="70"/>
      <c r="I63" s="71"/>
      <c r="J63" s="77"/>
    </row>
    <row r="64" spans="1:14" ht="15" x14ac:dyDescent="0.3">
      <c r="A64" s="78"/>
      <c r="B64" s="78"/>
      <c r="C64" s="78"/>
      <c r="D64" s="78"/>
      <c r="E64" s="79"/>
      <c r="F64" s="79"/>
      <c r="G64" s="79"/>
      <c r="H64" s="79"/>
      <c r="I64" s="78"/>
      <c r="J64" s="78"/>
    </row>
    <row r="65" spans="1:19" ht="15" x14ac:dyDescent="0.3">
      <c r="C65" s="78"/>
      <c r="D65" s="78"/>
      <c r="G65" s="78"/>
      <c r="H65" s="78"/>
      <c r="I65" s="78"/>
      <c r="J65" s="78"/>
      <c r="K65" s="78"/>
      <c r="M65" s="78"/>
    </row>
    <row r="66" spans="1:19" ht="15" x14ac:dyDescent="0.3">
      <c r="C66" s="78"/>
      <c r="D66" s="78"/>
      <c r="E66" s="79"/>
      <c r="F66" s="79"/>
      <c r="G66" s="79"/>
      <c r="H66" s="79"/>
      <c r="I66" s="79"/>
      <c r="J66" s="79"/>
      <c r="K66" s="79"/>
      <c r="L66" s="74"/>
      <c r="M66" s="79"/>
    </row>
    <row r="67" spans="1:19" ht="15" x14ac:dyDescent="0.3">
      <c r="C67" s="78"/>
      <c r="D67" s="78"/>
      <c r="E67" s="78"/>
      <c r="F67" s="79"/>
      <c r="G67" s="79"/>
      <c r="H67" s="79"/>
      <c r="I67" s="78"/>
      <c r="J67" s="78"/>
      <c r="R67" s="75"/>
      <c r="S67" s="74"/>
    </row>
    <row r="68" spans="1:19" ht="15" x14ac:dyDescent="0.3">
      <c r="A68" s="78"/>
      <c r="B68" s="80"/>
      <c r="R68" s="75"/>
      <c r="S68" s="74"/>
    </row>
    <row r="69" spans="1:19" ht="15" x14ac:dyDescent="0.3">
      <c r="H69" s="79"/>
      <c r="R69" s="75"/>
      <c r="S69" s="74"/>
    </row>
    <row r="70" spans="1:19" x14ac:dyDescent="0.3">
      <c r="R70" s="75"/>
      <c r="S70" s="74"/>
    </row>
    <row r="71" spans="1:19" ht="15" x14ac:dyDescent="0.3">
      <c r="R71" s="72"/>
      <c r="S71" s="70"/>
    </row>
    <row r="72" spans="1:19" x14ac:dyDescent="0.3">
      <c r="R72" s="75"/>
      <c r="S72" s="74"/>
    </row>
    <row r="73" spans="1:19" ht="15" x14ac:dyDescent="0.3">
      <c r="G73" s="78"/>
      <c r="H73" s="78"/>
      <c r="I73" s="78"/>
      <c r="J73" s="78"/>
      <c r="K73" s="78"/>
      <c r="M73" s="78"/>
      <c r="R73" s="75"/>
      <c r="S73" s="74"/>
    </row>
    <row r="74" spans="1:19" x14ac:dyDescent="0.3">
      <c r="E74" s="74"/>
      <c r="F74" s="74"/>
      <c r="G74" s="74"/>
      <c r="H74" s="74"/>
      <c r="I74" s="74"/>
      <c r="J74" s="74"/>
      <c r="K74" s="74"/>
      <c r="L74" s="74" t="e">
        <f>(L66-$H$70)/$H$70+1</f>
        <v>#DIV/0!</v>
      </c>
      <c r="M74" s="74"/>
      <c r="R74" s="75"/>
      <c r="S74" s="74"/>
    </row>
    <row r="76" spans="1:19" x14ac:dyDescent="0.3">
      <c r="R76" s="75"/>
      <c r="S76" s="75"/>
    </row>
    <row r="77" spans="1:19" x14ac:dyDescent="0.3">
      <c r="R77" s="64"/>
    </row>
    <row r="80" spans="1:19" ht="15" x14ac:dyDescent="0.3">
      <c r="A80" s="78"/>
      <c r="B80" s="78"/>
    </row>
    <row r="81" spans="1:15" ht="15" x14ac:dyDescent="0.3">
      <c r="A81" s="78"/>
      <c r="B81" s="78"/>
    </row>
    <row r="85" spans="1:15" x14ac:dyDescent="0.3">
      <c r="B85" s="81" t="s">
        <v>50</v>
      </c>
      <c r="C85" s="82" t="s">
        <v>231</v>
      </c>
      <c r="D85" s="83" t="s">
        <v>19</v>
      </c>
    </row>
    <row r="86" spans="1:15" x14ac:dyDescent="0.3">
      <c r="B86" t="s">
        <v>232</v>
      </c>
    </row>
    <row r="91" spans="1:15" x14ac:dyDescent="0.3">
      <c r="O91" t="s">
        <v>233</v>
      </c>
    </row>
    <row r="92" spans="1:15" x14ac:dyDescent="0.3">
      <c r="B92" s="81" t="s">
        <v>185</v>
      </c>
      <c r="C92">
        <v>2019</v>
      </c>
      <c r="D92" s="83" t="s">
        <v>19</v>
      </c>
      <c r="K92" s="81" t="s">
        <v>234</v>
      </c>
      <c r="L92" s="81"/>
      <c r="M92" s="81"/>
      <c r="N92">
        <v>2022</v>
      </c>
      <c r="O92" s="83" t="s">
        <v>19</v>
      </c>
    </row>
    <row r="93" spans="1:15" x14ac:dyDescent="0.3">
      <c r="B93" t="s">
        <v>235</v>
      </c>
      <c r="L93" t="s">
        <v>236</v>
      </c>
    </row>
    <row r="94" spans="1:15" x14ac:dyDescent="0.3">
      <c r="L94" t="s">
        <v>237</v>
      </c>
    </row>
    <row r="101" spans="11:11" x14ac:dyDescent="0.3">
      <c r="K101" t="s">
        <v>238</v>
      </c>
    </row>
    <row r="126" spans="12:12" x14ac:dyDescent="0.3">
      <c r="L126" t="s">
        <v>239</v>
      </c>
    </row>
    <row r="133" spans="2:3" x14ac:dyDescent="0.3">
      <c r="B133" t="s">
        <v>240</v>
      </c>
    </row>
    <row r="134" spans="2:3" x14ac:dyDescent="0.3">
      <c r="B134" t="s">
        <v>241</v>
      </c>
    </row>
    <row r="135" spans="2:3" x14ac:dyDescent="0.3">
      <c r="B135" s="84" t="s">
        <v>242</v>
      </c>
    </row>
    <row r="138" spans="2:3" ht="15" x14ac:dyDescent="0.3">
      <c r="B138" s="78"/>
      <c r="C138" s="78"/>
    </row>
    <row r="139" spans="2:3" ht="15" x14ac:dyDescent="0.3">
      <c r="B139" s="78"/>
      <c r="C139" s="78"/>
    </row>
    <row r="140" spans="2:3" ht="15" x14ac:dyDescent="0.3">
      <c r="B140" s="78" t="s">
        <v>243</v>
      </c>
      <c r="C140" s="78"/>
    </row>
    <row r="141" spans="2:3" ht="15" x14ac:dyDescent="0.3">
      <c r="B141" s="78" t="s">
        <v>244</v>
      </c>
      <c r="C141" s="78"/>
    </row>
    <row r="142" spans="2:3" ht="15" x14ac:dyDescent="0.3">
      <c r="B142" s="78"/>
      <c r="C142" s="78"/>
    </row>
    <row r="143" spans="2:3" ht="15" x14ac:dyDescent="0.3">
      <c r="B143" s="78"/>
      <c r="C143" s="78"/>
    </row>
    <row r="144" spans="2:3" ht="15" x14ac:dyDescent="0.3">
      <c r="B144" s="78"/>
      <c r="C144" s="78"/>
    </row>
  </sheetData>
  <autoFilter ref="A2:E61" xr:uid="{00000000-0009-0000-0000-000001000000}"/>
  <mergeCells count="2">
    <mergeCell ref="F1:I1"/>
    <mergeCell ref="R1:T1"/>
  </mergeCells>
  <hyperlinks>
    <hyperlink ref="D85" r:id="rId1" xr:uid="{00000000-0004-0000-0100-000000000000}"/>
    <hyperlink ref="D92" r:id="rId2" xr:uid="{00000000-0004-0000-0100-000001000000}"/>
    <hyperlink ref="O92" r:id="rId3" xr:uid="{00000000-0004-0000-0100-000002000000}"/>
  </hyperlinks>
  <pageMargins left="0.7" right="0.7" top="0.78740157500000008" bottom="0.78740157500000008" header="0.3" footer="0.3"/>
  <pageSetup paperSize="9" orientation="portrait" horizontalDpi="0" verticalDpi="0"/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BD359"/>
  <sheetViews>
    <sheetView tabSelected="1" topLeftCell="U1" zoomScale="93" workbookViewId="0">
      <selection activeCell="AD9" sqref="AD9"/>
    </sheetView>
  </sheetViews>
  <sheetFormatPr baseColWidth="10" defaultRowHeight="14.4" x14ac:dyDescent="0.3"/>
  <cols>
    <col min="2" max="2" width="20.6640625" customWidth="1"/>
    <col min="7" max="13" width="12.6640625" customWidth="1"/>
    <col min="14" max="15" width="10.6640625" customWidth="1"/>
    <col min="16" max="17" width="11.44140625" customWidth="1"/>
    <col min="18" max="18" width="12.6640625" customWidth="1"/>
    <col min="19" max="19" width="11.44140625" customWidth="1"/>
    <col min="20" max="20" width="12.6640625" customWidth="1"/>
    <col min="21" max="24" width="11.6640625" customWidth="1"/>
    <col min="25" max="25" width="12.6640625" customWidth="1"/>
    <col min="26" max="26" width="11.6640625" customWidth="1"/>
    <col min="27" max="34" width="12.6640625" customWidth="1"/>
    <col min="39" max="39" width="12.6640625" customWidth="1"/>
    <col min="41" max="41" width="12.6640625" customWidth="1"/>
    <col min="42" max="43" width="10.6640625" customWidth="1"/>
    <col min="44" max="45" width="11.44140625" customWidth="1"/>
    <col min="46" max="46" width="12.6640625" customWidth="1"/>
    <col min="47" max="47" width="11.44140625" customWidth="1"/>
    <col min="48" max="48" width="12.6640625" customWidth="1"/>
    <col min="51" max="51" width="58.109375" customWidth="1"/>
  </cols>
  <sheetData>
    <row r="1" spans="1:55" x14ac:dyDescent="0.3">
      <c r="A1" s="914" t="s">
        <v>245</v>
      </c>
      <c r="B1" s="947" t="s">
        <v>1</v>
      </c>
      <c r="C1" s="949" t="s">
        <v>246</v>
      </c>
      <c r="D1" s="950"/>
      <c r="E1" s="950"/>
      <c r="F1" s="951"/>
      <c r="G1" s="949" t="s">
        <v>247</v>
      </c>
      <c r="H1" s="950"/>
      <c r="I1" s="950"/>
      <c r="J1" s="950"/>
      <c r="K1" s="950"/>
      <c r="L1" s="950"/>
      <c r="M1" s="951"/>
      <c r="N1" s="914" t="s">
        <v>248</v>
      </c>
      <c r="O1" s="915"/>
      <c r="P1" s="915"/>
      <c r="Q1" s="915"/>
      <c r="R1" s="915"/>
      <c r="S1" s="915"/>
      <c r="T1" s="916"/>
      <c r="U1" s="914" t="s">
        <v>249</v>
      </c>
      <c r="V1" s="915"/>
      <c r="W1" s="915"/>
      <c r="X1" s="915"/>
      <c r="Y1" s="915"/>
      <c r="Z1" s="915"/>
      <c r="AA1" s="916"/>
      <c r="AB1" s="914" t="s">
        <v>529</v>
      </c>
      <c r="AC1" s="915"/>
      <c r="AD1" s="915"/>
      <c r="AE1" s="915"/>
      <c r="AF1" s="915"/>
      <c r="AG1" s="915"/>
      <c r="AH1" s="916"/>
      <c r="AI1" s="914" t="s">
        <v>250</v>
      </c>
      <c r="AJ1" s="915"/>
      <c r="AK1" s="915"/>
      <c r="AL1" s="915"/>
      <c r="AM1" s="915"/>
      <c r="AN1" s="915"/>
      <c r="AO1" s="916"/>
      <c r="AP1" s="914" t="s">
        <v>251</v>
      </c>
      <c r="AQ1" s="915"/>
      <c r="AR1" s="915"/>
      <c r="AS1" s="915"/>
      <c r="AT1" s="915"/>
      <c r="AU1" s="915"/>
      <c r="AV1" s="916"/>
      <c r="AW1" s="914" t="s">
        <v>252</v>
      </c>
      <c r="AX1" s="916"/>
      <c r="AY1" s="933" t="s">
        <v>253</v>
      </c>
    </row>
    <row r="2" spans="1:55" ht="15" thickBot="1" x14ac:dyDescent="0.35">
      <c r="A2" s="946"/>
      <c r="B2" s="948"/>
      <c r="C2" s="85" t="s">
        <v>254</v>
      </c>
      <c r="D2" s="85" t="s">
        <v>255</v>
      </c>
      <c r="E2" s="85" t="s">
        <v>256</v>
      </c>
      <c r="F2" s="85" t="s">
        <v>19</v>
      </c>
      <c r="G2" s="86">
        <v>2020</v>
      </c>
      <c r="H2" s="87">
        <v>2025</v>
      </c>
      <c r="I2" s="87">
        <v>2030</v>
      </c>
      <c r="J2" s="87">
        <v>2040</v>
      </c>
      <c r="K2" s="87">
        <v>2045</v>
      </c>
      <c r="L2" s="87">
        <v>2050</v>
      </c>
      <c r="M2" s="87">
        <v>2060</v>
      </c>
      <c r="N2" s="88">
        <v>2020</v>
      </c>
      <c r="O2" s="85">
        <v>2025</v>
      </c>
      <c r="P2" s="85">
        <v>2030</v>
      </c>
      <c r="Q2" s="85">
        <v>2040</v>
      </c>
      <c r="R2" s="87">
        <v>2045</v>
      </c>
      <c r="S2" s="85">
        <v>2050</v>
      </c>
      <c r="T2" s="87">
        <v>2060</v>
      </c>
      <c r="U2" s="88">
        <v>2020</v>
      </c>
      <c r="V2" s="85">
        <v>2025</v>
      </c>
      <c r="W2" s="85">
        <v>2030</v>
      </c>
      <c r="X2" s="85">
        <v>2040</v>
      </c>
      <c r="Y2" s="87">
        <v>2045</v>
      </c>
      <c r="Z2" s="85">
        <v>2050</v>
      </c>
      <c r="AA2" s="87">
        <v>2060</v>
      </c>
      <c r="AB2" s="88">
        <v>2020</v>
      </c>
      <c r="AC2" s="85">
        <v>2025</v>
      </c>
      <c r="AD2" s="85">
        <v>2030</v>
      </c>
      <c r="AE2" s="85">
        <v>2040</v>
      </c>
      <c r="AF2" s="87">
        <v>2045</v>
      </c>
      <c r="AG2" s="85">
        <v>2050</v>
      </c>
      <c r="AH2" s="87">
        <v>2060</v>
      </c>
      <c r="AI2" s="88">
        <v>2020</v>
      </c>
      <c r="AJ2" s="85">
        <v>2025</v>
      </c>
      <c r="AK2" s="85">
        <v>2030</v>
      </c>
      <c r="AL2" s="85">
        <v>2040</v>
      </c>
      <c r="AM2" s="87">
        <v>2045</v>
      </c>
      <c r="AN2" s="85">
        <v>2050</v>
      </c>
      <c r="AO2" s="87">
        <v>2060</v>
      </c>
      <c r="AP2" s="88">
        <v>2020</v>
      </c>
      <c r="AQ2" s="85">
        <v>2025</v>
      </c>
      <c r="AR2" s="85">
        <v>2030</v>
      </c>
      <c r="AS2" s="85">
        <v>2040</v>
      </c>
      <c r="AT2" s="87">
        <v>2045</v>
      </c>
      <c r="AU2" s="85">
        <v>2050</v>
      </c>
      <c r="AV2" s="87">
        <v>2060</v>
      </c>
      <c r="AW2" s="88" t="s">
        <v>257</v>
      </c>
      <c r="AX2" s="89" t="s">
        <v>258</v>
      </c>
      <c r="AY2" s="934"/>
    </row>
    <row r="3" spans="1:55" x14ac:dyDescent="0.3">
      <c r="A3" s="935" t="s">
        <v>259</v>
      </c>
      <c r="B3" s="854" t="s">
        <v>9</v>
      </c>
      <c r="C3" s="90">
        <v>1</v>
      </c>
      <c r="D3" s="90" t="s">
        <v>18</v>
      </c>
      <c r="E3" s="90">
        <v>2020</v>
      </c>
      <c r="F3" s="91" t="s">
        <v>19</v>
      </c>
      <c r="G3" s="92">
        <f t="shared" ref="G3:G6" si="0">H3+((I3-H3)/($I$2-$H$2))*($G$2-$H$2)</f>
        <v>1872.7018035370338</v>
      </c>
      <c r="H3" s="93">
        <f t="shared" ref="H3:H6" si="1">I3+((J3-I3)/($J$2-$I$2))*($H$2-$I$2)</f>
        <v>1758.0108562423393</v>
      </c>
      <c r="I3" s="94">
        <f>1877/1.1422</f>
        <v>1643.3199089476448</v>
      </c>
      <c r="J3" s="94">
        <f>1615/1.1422</f>
        <v>1413.9380143582559</v>
      </c>
      <c r="K3" s="93">
        <f t="shared" ref="K3:K10" si="2">J3+((L3-J3)/(2050-2040))*(2045-2040)</f>
        <v>1336.4559621782523</v>
      </c>
      <c r="L3" s="94">
        <f>1438/1.1422</f>
        <v>1258.9739099982489</v>
      </c>
      <c r="M3" s="95">
        <f t="shared" ref="M3:M10" si="3">K3+((L3-K3)/(2050-2045))*(2060-2045)</f>
        <v>1104.0098056382421</v>
      </c>
      <c r="N3" s="93">
        <f t="shared" ref="N3:N6" si="4">O3+((P3-O3)/($P$2-$O$2))*($N$2-$O$2)</f>
        <v>46.817545088425845</v>
      </c>
      <c r="O3" s="93">
        <f t="shared" ref="O3:O6" si="5">P3+((Q3-P3)/($Q$2-$P$2))*($O$2-$P$2)</f>
        <v>43.950271406058484</v>
      </c>
      <c r="P3" s="94">
        <f t="shared" ref="P3:Q6" si="6">I3*0.025</f>
        <v>41.082997723691122</v>
      </c>
      <c r="Q3" s="94">
        <f t="shared" si="6"/>
        <v>35.348450358956399</v>
      </c>
      <c r="R3" s="93">
        <f t="shared" ref="R3:R10" si="7">Q3+((S3-Q3)/(2050-2040))*(2045-2040)</f>
        <v>33.411399054456311</v>
      </c>
      <c r="S3" s="94">
        <f t="shared" ref="S3:S6" si="8">L3*0.025</f>
        <v>31.474347749956223</v>
      </c>
      <c r="T3" s="95">
        <f t="shared" ref="T3:T10" si="9">R3+((S3-R3)/(2050-2045))*(2060-2045)</f>
        <v>27.600245140956048</v>
      </c>
      <c r="U3" s="96"/>
      <c r="V3" s="97"/>
      <c r="W3" s="97"/>
      <c r="X3" s="97"/>
      <c r="Y3" s="94"/>
      <c r="Z3" s="97"/>
      <c r="AA3" s="98"/>
      <c r="AB3" s="94"/>
      <c r="AC3" s="94"/>
      <c r="AD3" s="94"/>
      <c r="AE3" s="94"/>
      <c r="AF3" s="94"/>
      <c r="AG3" s="94"/>
      <c r="AH3" s="94"/>
      <c r="AI3" s="99">
        <v>25</v>
      </c>
      <c r="AJ3" s="100">
        <v>25</v>
      </c>
      <c r="AK3" s="97">
        <v>25</v>
      </c>
      <c r="AL3" s="97">
        <v>25</v>
      </c>
      <c r="AM3" s="101">
        <v>25</v>
      </c>
      <c r="AN3" s="102">
        <v>25</v>
      </c>
      <c r="AO3" s="103">
        <v>25</v>
      </c>
      <c r="AP3" s="856">
        <v>1</v>
      </c>
      <c r="AQ3" s="857"/>
      <c r="AR3" s="857"/>
      <c r="AS3" s="857"/>
      <c r="AT3" s="857"/>
      <c r="AU3" s="857"/>
      <c r="AV3" s="858"/>
      <c r="AW3" s="96"/>
      <c r="AX3" s="43"/>
      <c r="AY3" s="104" t="s">
        <v>260</v>
      </c>
    </row>
    <row r="4" spans="1:55" x14ac:dyDescent="0.3">
      <c r="A4" s="936"/>
      <c r="B4" s="855"/>
      <c r="C4" s="105">
        <v>1</v>
      </c>
      <c r="D4" s="105" t="s">
        <v>18</v>
      </c>
      <c r="E4" s="105">
        <v>2020</v>
      </c>
      <c r="F4" s="91" t="s">
        <v>19</v>
      </c>
      <c r="G4" s="106">
        <f t="shared" si="0"/>
        <v>2475.9236561022581</v>
      </c>
      <c r="H4" s="107">
        <f t="shared" si="1"/>
        <v>2324.4615654001045</v>
      </c>
      <c r="I4" s="108">
        <f>2482/1.1422</f>
        <v>2172.999474697951</v>
      </c>
      <c r="J4" s="108">
        <f>2136/1.1422</f>
        <v>1870.0752932936437</v>
      </c>
      <c r="K4" s="107">
        <f t="shared" si="2"/>
        <v>1767.6413938014357</v>
      </c>
      <c r="L4" s="108">
        <f>1902/1.1422</f>
        <v>1665.2074943092277</v>
      </c>
      <c r="M4" s="109">
        <f t="shared" si="3"/>
        <v>1460.3396953248118</v>
      </c>
      <c r="N4" s="107">
        <f t="shared" si="4"/>
        <v>61.898091402556453</v>
      </c>
      <c r="O4" s="107">
        <f t="shared" si="5"/>
        <v>58.111539135002616</v>
      </c>
      <c r="P4" s="108">
        <f t="shared" si="6"/>
        <v>54.324986867448779</v>
      </c>
      <c r="Q4" s="108">
        <f t="shared" si="6"/>
        <v>46.751882332341097</v>
      </c>
      <c r="R4" s="107">
        <f t="shared" si="7"/>
        <v>44.191034845035901</v>
      </c>
      <c r="S4" s="108">
        <f t="shared" si="8"/>
        <v>41.630187357730698</v>
      </c>
      <c r="T4" s="109">
        <f t="shared" si="9"/>
        <v>36.508492383120291</v>
      </c>
      <c r="U4" s="110"/>
      <c r="V4" s="111"/>
      <c r="W4" s="111"/>
      <c r="X4" s="111"/>
      <c r="Y4" s="108"/>
      <c r="Z4" s="111"/>
      <c r="AA4" s="112"/>
      <c r="AB4" s="1032"/>
      <c r="AC4" s="1032"/>
      <c r="AD4" s="1032"/>
      <c r="AE4" s="1032"/>
      <c r="AF4" s="1032"/>
      <c r="AG4" s="1032"/>
      <c r="AH4" s="1032"/>
      <c r="AI4" s="110"/>
      <c r="AJ4" s="111"/>
      <c r="AK4" s="111"/>
      <c r="AL4" s="111"/>
      <c r="AM4" s="108"/>
      <c r="AN4" s="111"/>
      <c r="AO4" s="112"/>
      <c r="AP4" s="859"/>
      <c r="AQ4" s="860"/>
      <c r="AR4" s="860"/>
      <c r="AS4" s="860"/>
      <c r="AT4" s="860"/>
      <c r="AU4" s="860"/>
      <c r="AV4" s="861"/>
      <c r="AW4" s="110"/>
      <c r="AX4" s="46"/>
      <c r="AY4" s="104" t="s">
        <v>261</v>
      </c>
    </row>
    <row r="5" spans="1:55" x14ac:dyDescent="0.3">
      <c r="A5" s="936"/>
      <c r="B5" s="855"/>
      <c r="C5" s="105">
        <v>1</v>
      </c>
      <c r="D5" s="105" t="s">
        <v>18</v>
      </c>
      <c r="E5" s="105">
        <v>2020</v>
      </c>
      <c r="F5" s="91" t="s">
        <v>19</v>
      </c>
      <c r="G5" s="106">
        <f t="shared" si="0"/>
        <v>1759.7618630712659</v>
      </c>
      <c r="H5" s="107">
        <f t="shared" si="1"/>
        <v>1631.5006128523901</v>
      </c>
      <c r="I5" s="108">
        <f>1717/1.1422</f>
        <v>1503.2393626335142</v>
      </c>
      <c r="J5" s="108">
        <f>1424/1.1422</f>
        <v>1246.7168621957624</v>
      </c>
      <c r="K5" s="107">
        <f t="shared" si="2"/>
        <v>1162.2307827000523</v>
      </c>
      <c r="L5" s="108">
        <f>1231/1.1422</f>
        <v>1077.7447032043424</v>
      </c>
      <c r="M5" s="109">
        <f t="shared" si="3"/>
        <v>908.77254421292264</v>
      </c>
      <c r="N5" s="107">
        <f t="shared" si="4"/>
        <v>43.994046576781663</v>
      </c>
      <c r="O5" s="107">
        <f t="shared" si="5"/>
        <v>40.787515321309762</v>
      </c>
      <c r="P5" s="108">
        <f t="shared" si="6"/>
        <v>37.58098406583786</v>
      </c>
      <c r="Q5" s="108">
        <f t="shared" si="6"/>
        <v>31.167921554894061</v>
      </c>
      <c r="R5" s="107">
        <f t="shared" si="7"/>
        <v>29.055769567501311</v>
      </c>
      <c r="S5" s="108">
        <f t="shared" si="8"/>
        <v>26.943617580108562</v>
      </c>
      <c r="T5" s="109">
        <f t="shared" si="9"/>
        <v>22.719313605323062</v>
      </c>
      <c r="U5" s="110"/>
      <c r="V5" s="111"/>
      <c r="W5" s="111"/>
      <c r="X5" s="111"/>
      <c r="Y5" s="108"/>
      <c r="Z5" s="111"/>
      <c r="AA5" s="112"/>
      <c r="AB5" s="1032"/>
      <c r="AC5" s="1032"/>
      <c r="AD5" s="1032"/>
      <c r="AE5" s="1032"/>
      <c r="AF5" s="1032"/>
      <c r="AG5" s="1032"/>
      <c r="AH5" s="1032"/>
      <c r="AI5" s="110"/>
      <c r="AJ5" s="111"/>
      <c r="AK5" s="111"/>
      <c r="AL5" s="111"/>
      <c r="AM5" s="108"/>
      <c r="AN5" s="111"/>
      <c r="AO5" s="112"/>
      <c r="AP5" s="859"/>
      <c r="AQ5" s="860"/>
      <c r="AR5" s="860"/>
      <c r="AS5" s="860"/>
      <c r="AT5" s="860"/>
      <c r="AU5" s="860"/>
      <c r="AV5" s="861"/>
      <c r="AW5" s="110"/>
      <c r="AX5" s="46"/>
      <c r="AY5" s="104" t="s">
        <v>262</v>
      </c>
      <c r="BB5" t="s">
        <v>123</v>
      </c>
    </row>
    <row r="6" spans="1:55" x14ac:dyDescent="0.3">
      <c r="A6" s="936"/>
      <c r="B6" s="855"/>
      <c r="C6" s="105">
        <v>1</v>
      </c>
      <c r="D6" s="105" t="s">
        <v>18</v>
      </c>
      <c r="E6" s="105">
        <v>2020</v>
      </c>
      <c r="F6" s="91" t="s">
        <v>19</v>
      </c>
      <c r="G6" s="106">
        <f t="shared" si="0"/>
        <v>2327.9635790579578</v>
      </c>
      <c r="H6" s="107">
        <f t="shared" si="1"/>
        <v>2158.1159166520747</v>
      </c>
      <c r="I6" s="108">
        <f>2271/1.1422</f>
        <v>1988.2682542461914</v>
      </c>
      <c r="J6" s="108">
        <f>1883/1.1422</f>
        <v>1648.5729294344246</v>
      </c>
      <c r="K6" s="107">
        <f t="shared" si="2"/>
        <v>1536.50849238312</v>
      </c>
      <c r="L6" s="108">
        <f>1627/1.1422</f>
        <v>1424.4440553318157</v>
      </c>
      <c r="M6" s="109">
        <f t="shared" si="3"/>
        <v>1200.3151812292069</v>
      </c>
      <c r="N6" s="107">
        <f t="shared" si="4"/>
        <v>58.199089476448968</v>
      </c>
      <c r="O6" s="107">
        <f t="shared" si="5"/>
        <v>53.952897916301879</v>
      </c>
      <c r="P6" s="108">
        <f t="shared" si="6"/>
        <v>49.70670635615479</v>
      </c>
      <c r="Q6" s="108">
        <f t="shared" si="6"/>
        <v>41.214323235860618</v>
      </c>
      <c r="R6" s="107">
        <f t="shared" si="7"/>
        <v>38.412712309578005</v>
      </c>
      <c r="S6" s="108">
        <f t="shared" si="8"/>
        <v>35.611101383295392</v>
      </c>
      <c r="T6" s="109">
        <f t="shared" si="9"/>
        <v>30.007879530730165</v>
      </c>
      <c r="U6" s="110"/>
      <c r="V6" s="111"/>
      <c r="W6" s="111"/>
      <c r="X6" s="111"/>
      <c r="Y6" s="108"/>
      <c r="Z6" s="111"/>
      <c r="AA6" s="112"/>
      <c r="AB6" s="1032"/>
      <c r="AC6" s="1032"/>
      <c r="AD6" s="1032"/>
      <c r="AE6" s="1032"/>
      <c r="AF6" s="1032"/>
      <c r="AG6" s="1032"/>
      <c r="AH6" s="1032"/>
      <c r="AI6" s="110"/>
      <c r="AJ6" s="111"/>
      <c r="AK6" s="111"/>
      <c r="AL6" s="111"/>
      <c r="AM6" s="108"/>
      <c r="AN6" s="111"/>
      <c r="AO6" s="112"/>
      <c r="AP6" s="859"/>
      <c r="AQ6" s="860"/>
      <c r="AR6" s="860"/>
      <c r="AS6" s="860"/>
      <c r="AT6" s="860"/>
      <c r="AU6" s="860"/>
      <c r="AV6" s="861"/>
      <c r="AW6" s="110"/>
      <c r="AX6" s="46"/>
      <c r="AY6" s="104" t="s">
        <v>263</v>
      </c>
      <c r="BB6" t="s">
        <v>128</v>
      </c>
      <c r="BC6" s="76">
        <v>1.3486719798104709</v>
      </c>
    </row>
    <row r="7" spans="1:55" x14ac:dyDescent="0.3">
      <c r="A7" s="936"/>
      <c r="B7" s="855"/>
      <c r="C7" s="105">
        <v>8</v>
      </c>
      <c r="D7" s="105" t="s">
        <v>45</v>
      </c>
      <c r="E7" s="105">
        <v>2021</v>
      </c>
      <c r="F7" s="91" t="s">
        <v>19</v>
      </c>
      <c r="G7" s="113">
        <f>3000</f>
        <v>3000</v>
      </c>
      <c r="H7" s="108"/>
      <c r="I7" s="108"/>
      <c r="J7" s="108"/>
      <c r="K7" s="108"/>
      <c r="L7" s="108"/>
      <c r="M7" s="112"/>
      <c r="N7" s="108">
        <v>70</v>
      </c>
      <c r="O7" s="108"/>
      <c r="P7" s="108"/>
      <c r="Q7" s="108"/>
      <c r="R7" s="108"/>
      <c r="S7" s="108"/>
      <c r="T7" s="112"/>
      <c r="U7" s="114">
        <v>8.0000000000000002E-3</v>
      </c>
      <c r="V7" s="115"/>
      <c r="W7" s="115"/>
      <c r="X7" s="115"/>
      <c r="Y7" s="108"/>
      <c r="Z7" s="115"/>
      <c r="AA7" s="112"/>
      <c r="AB7" s="1032"/>
      <c r="AC7" s="1032"/>
      <c r="AD7" s="1032"/>
      <c r="AE7" s="1032"/>
      <c r="AF7" s="1032"/>
      <c r="AG7" s="1032"/>
      <c r="AH7" s="1032"/>
      <c r="AI7" s="110">
        <v>25</v>
      </c>
      <c r="AJ7" s="111"/>
      <c r="AK7" s="111"/>
      <c r="AL7" s="111"/>
      <c r="AM7" s="108"/>
      <c r="AN7" s="111"/>
      <c r="AO7" s="112"/>
      <c r="AP7" s="859"/>
      <c r="AQ7" s="860"/>
      <c r="AR7" s="860"/>
      <c r="AS7" s="860"/>
      <c r="AT7" s="860"/>
      <c r="AU7" s="860"/>
      <c r="AV7" s="861"/>
      <c r="AW7" s="110">
        <v>6.5</v>
      </c>
      <c r="AX7" s="46">
        <v>5.24</v>
      </c>
      <c r="AY7" s="116" t="s">
        <v>264</v>
      </c>
      <c r="BB7" t="s">
        <v>132</v>
      </c>
      <c r="BC7" s="76">
        <v>1.3374192380309164</v>
      </c>
    </row>
    <row r="8" spans="1:55" x14ac:dyDescent="0.3">
      <c r="A8" s="936"/>
      <c r="B8" s="855"/>
      <c r="C8" s="105">
        <v>8</v>
      </c>
      <c r="D8" s="105" t="s">
        <v>45</v>
      </c>
      <c r="E8" s="105">
        <v>2021</v>
      </c>
      <c r="F8" s="91" t="s">
        <v>19</v>
      </c>
      <c r="G8" s="113">
        <f>4000</f>
        <v>4000</v>
      </c>
      <c r="H8" s="108"/>
      <c r="I8" s="108"/>
      <c r="J8" s="108"/>
      <c r="K8" s="108"/>
      <c r="L8" s="108"/>
      <c r="M8" s="112"/>
      <c r="N8" s="108">
        <v>70</v>
      </c>
      <c r="O8" s="108"/>
      <c r="P8" s="108"/>
      <c r="Q8" s="108"/>
      <c r="R8" s="108"/>
      <c r="S8" s="108"/>
      <c r="T8" s="112"/>
      <c r="U8" s="114">
        <v>8.0000000000000002E-3</v>
      </c>
      <c r="V8" s="115"/>
      <c r="W8" s="115"/>
      <c r="X8" s="115"/>
      <c r="Y8" s="108"/>
      <c r="Z8" s="115"/>
      <c r="AA8" s="112"/>
      <c r="AB8" s="1032"/>
      <c r="AC8" s="1032"/>
      <c r="AD8" s="1032"/>
      <c r="AE8" s="1032"/>
      <c r="AF8" s="1032"/>
      <c r="AG8" s="1032"/>
      <c r="AH8" s="1032"/>
      <c r="AI8" s="110">
        <v>25</v>
      </c>
      <c r="AJ8" s="111"/>
      <c r="AK8" s="111"/>
      <c r="AL8" s="111"/>
      <c r="AM8" s="108"/>
      <c r="AN8" s="111"/>
      <c r="AO8" s="112"/>
      <c r="AP8" s="859"/>
      <c r="AQ8" s="860"/>
      <c r="AR8" s="860"/>
      <c r="AS8" s="860"/>
      <c r="AT8" s="860"/>
      <c r="AU8" s="860"/>
      <c r="AV8" s="861"/>
      <c r="AW8" s="110">
        <v>6.5</v>
      </c>
      <c r="AX8" s="46">
        <v>5.24</v>
      </c>
      <c r="AY8" s="116" t="s">
        <v>265</v>
      </c>
      <c r="BB8" t="s">
        <v>130</v>
      </c>
      <c r="BC8" s="76">
        <v>0.58296565349252727</v>
      </c>
    </row>
    <row r="9" spans="1:55" x14ac:dyDescent="0.3">
      <c r="A9" s="936"/>
      <c r="B9" s="855"/>
      <c r="C9" s="105">
        <v>4</v>
      </c>
      <c r="D9" s="105" t="s">
        <v>31</v>
      </c>
      <c r="E9" s="105">
        <v>2022</v>
      </c>
      <c r="F9" s="91" t="s">
        <v>19</v>
      </c>
      <c r="G9" s="113">
        <v>1804.77</v>
      </c>
      <c r="H9" s="108">
        <v>1602.34</v>
      </c>
      <c r="I9" s="108">
        <v>1523.55</v>
      </c>
      <c r="J9" s="108">
        <v>1415.08</v>
      </c>
      <c r="K9" s="108">
        <f>1397.68</f>
        <v>1397.68</v>
      </c>
      <c r="L9" s="108">
        <v>1380.27</v>
      </c>
      <c r="M9" s="109">
        <f t="shared" si="3"/>
        <v>1345.4499999999998</v>
      </c>
      <c r="N9" s="108">
        <f>G9*0.0251</f>
        <v>45.299727000000004</v>
      </c>
      <c r="O9" s="108">
        <f>H9*0.0237</f>
        <v>37.975457999999996</v>
      </c>
      <c r="P9" s="108">
        <f>I9*0.0232</f>
        <v>35.346359999999997</v>
      </c>
      <c r="Q9" s="108">
        <f>J9*0.0218</f>
        <v>30.848744</v>
      </c>
      <c r="R9" s="108">
        <f>K9*0.0217</f>
        <v>30.329656000000004</v>
      </c>
      <c r="S9" s="108">
        <f>L9*0.0217</f>
        <v>29.951858999999999</v>
      </c>
      <c r="T9" s="109">
        <f t="shared" si="9"/>
        <v>29.19626499999999</v>
      </c>
      <c r="U9" s="114">
        <f t="shared" ref="U9:AA9" si="10">0.02*0.001</f>
        <v>2.0000000000000002E-5</v>
      </c>
      <c r="V9" s="115">
        <f t="shared" si="10"/>
        <v>2.0000000000000002E-5</v>
      </c>
      <c r="W9" s="115">
        <f t="shared" si="10"/>
        <v>2.0000000000000002E-5</v>
      </c>
      <c r="X9" s="115">
        <f t="shared" si="10"/>
        <v>2.0000000000000002E-5</v>
      </c>
      <c r="Y9" s="115">
        <f t="shared" si="10"/>
        <v>2.0000000000000002E-5</v>
      </c>
      <c r="Z9" s="115">
        <f t="shared" si="10"/>
        <v>2.0000000000000002E-5</v>
      </c>
      <c r="AA9" s="1052">
        <f t="shared" si="10"/>
        <v>2.0000000000000002E-5</v>
      </c>
      <c r="AB9" s="1051"/>
      <c r="AC9" s="1051"/>
      <c r="AD9" s="1051"/>
      <c r="AE9" s="1051"/>
      <c r="AF9" s="1051"/>
      <c r="AG9" s="1051"/>
      <c r="AH9" s="1051"/>
      <c r="AI9" s="110">
        <v>27</v>
      </c>
      <c r="AJ9" s="111">
        <v>30</v>
      </c>
      <c r="AK9" s="111">
        <v>30</v>
      </c>
      <c r="AL9" s="111">
        <v>30</v>
      </c>
      <c r="AM9" s="117">
        <v>30</v>
      </c>
      <c r="AN9" s="117">
        <v>30</v>
      </c>
      <c r="AO9" s="118">
        <v>30</v>
      </c>
      <c r="AP9" s="859"/>
      <c r="AQ9" s="860"/>
      <c r="AR9" s="860"/>
      <c r="AS9" s="860"/>
      <c r="AT9" s="860"/>
      <c r="AU9" s="860"/>
      <c r="AV9" s="861"/>
      <c r="AW9" s="110"/>
      <c r="AX9" s="46"/>
      <c r="AY9" s="104"/>
    </row>
    <row r="10" spans="1:55" x14ac:dyDescent="0.3">
      <c r="A10" s="936"/>
      <c r="B10" s="918"/>
      <c r="C10" s="120">
        <v>7</v>
      </c>
      <c r="D10" s="120" t="s">
        <v>42</v>
      </c>
      <c r="E10" s="120">
        <v>2020</v>
      </c>
      <c r="F10" s="91" t="s">
        <v>19</v>
      </c>
      <c r="G10" s="113">
        <v>2900</v>
      </c>
      <c r="H10" s="107">
        <f>G10+((I10-G10)/($I$2-$G$2))*($H$2-$G$2)</f>
        <v>2500</v>
      </c>
      <c r="I10" s="108">
        <v>2100</v>
      </c>
      <c r="J10" s="108">
        <v>2000</v>
      </c>
      <c r="K10" s="107">
        <f t="shared" si="2"/>
        <v>1950</v>
      </c>
      <c r="L10" s="108">
        <v>1900</v>
      </c>
      <c r="M10" s="109">
        <f t="shared" si="3"/>
        <v>1800</v>
      </c>
      <c r="N10" s="121">
        <v>80</v>
      </c>
      <c r="O10" s="122">
        <f>N10+((P10-N10)/($I$2-$G$2))*($H$2-$G$2)</f>
        <v>77.5</v>
      </c>
      <c r="P10" s="121">
        <v>75</v>
      </c>
      <c r="Q10" s="121">
        <v>65</v>
      </c>
      <c r="R10" s="107">
        <f t="shared" si="7"/>
        <v>62.5</v>
      </c>
      <c r="S10" s="121">
        <v>60</v>
      </c>
      <c r="T10" s="109">
        <f t="shared" si="9"/>
        <v>55</v>
      </c>
      <c r="U10" s="123"/>
      <c r="V10" s="124"/>
      <c r="W10" s="124"/>
      <c r="X10" s="124"/>
      <c r="Y10" s="108"/>
      <c r="Z10" s="124"/>
      <c r="AA10" s="112"/>
      <c r="AB10" s="1032"/>
      <c r="AC10" s="1032"/>
      <c r="AD10" s="1032"/>
      <c r="AE10" s="1032"/>
      <c r="AF10" s="1032"/>
      <c r="AG10" s="1032"/>
      <c r="AH10" s="1032"/>
      <c r="AI10" s="123"/>
      <c r="AJ10" s="124"/>
      <c r="AK10" s="124"/>
      <c r="AL10" s="124"/>
      <c r="AM10" s="108"/>
      <c r="AN10" s="124"/>
      <c r="AO10" s="112"/>
      <c r="AP10" s="862"/>
      <c r="AQ10" s="863"/>
      <c r="AR10" s="863"/>
      <c r="AS10" s="863"/>
      <c r="AT10" s="863"/>
      <c r="AU10" s="863"/>
      <c r="AV10" s="864"/>
      <c r="AW10" s="123"/>
      <c r="AX10" s="51"/>
      <c r="AY10" s="116" t="s">
        <v>266</v>
      </c>
    </row>
    <row r="11" spans="1:55" x14ac:dyDescent="0.3">
      <c r="A11" s="936"/>
      <c r="B11" s="125" t="s">
        <v>267</v>
      </c>
      <c r="C11" s="126"/>
      <c r="D11" s="126"/>
      <c r="E11" s="126"/>
      <c r="F11" s="126"/>
      <c r="G11" s="127">
        <f>MIN(G3:G10)</f>
        <v>1759.7618630712659</v>
      </c>
      <c r="H11" s="128">
        <f t="shared" ref="H11:AX11" si="11">MIN(H3:H10)</f>
        <v>1602.34</v>
      </c>
      <c r="I11" s="128">
        <f t="shared" si="11"/>
        <v>1503.2393626335142</v>
      </c>
      <c r="J11" s="128">
        <f t="shared" si="11"/>
        <v>1246.7168621957624</v>
      </c>
      <c r="K11" s="128">
        <f>MIN(K3:K10)</f>
        <v>1162.2307827000523</v>
      </c>
      <c r="L11" s="128">
        <f t="shared" si="11"/>
        <v>1077.7447032043424</v>
      </c>
      <c r="M11" s="128">
        <f t="shared" si="11"/>
        <v>908.77254421292264</v>
      </c>
      <c r="N11" s="128">
        <f t="shared" si="11"/>
        <v>43.994046576781663</v>
      </c>
      <c r="O11" s="128">
        <f t="shared" si="11"/>
        <v>37.975457999999996</v>
      </c>
      <c r="P11" s="128">
        <f t="shared" si="11"/>
        <v>35.346359999999997</v>
      </c>
      <c r="Q11" s="128">
        <f t="shared" si="11"/>
        <v>30.848744</v>
      </c>
      <c r="R11" s="128">
        <f t="shared" si="11"/>
        <v>29.055769567501311</v>
      </c>
      <c r="S11" s="128">
        <f t="shared" si="11"/>
        <v>26.943617580108562</v>
      </c>
      <c r="T11" s="128">
        <f t="shared" si="11"/>
        <v>22.719313605323062</v>
      </c>
      <c r="U11" s="129">
        <f t="shared" si="11"/>
        <v>2.0000000000000002E-5</v>
      </c>
      <c r="V11" s="126">
        <f t="shared" si="11"/>
        <v>2.0000000000000002E-5</v>
      </c>
      <c r="W11" s="126">
        <f t="shared" si="11"/>
        <v>2.0000000000000002E-5</v>
      </c>
      <c r="X11" s="126">
        <f t="shared" si="11"/>
        <v>2.0000000000000002E-5</v>
      </c>
      <c r="Y11" s="128">
        <f t="shared" si="11"/>
        <v>2.0000000000000002E-5</v>
      </c>
      <c r="Z11" s="126">
        <f t="shared" si="11"/>
        <v>2.0000000000000002E-5</v>
      </c>
      <c r="AA11" s="130">
        <f t="shared" si="11"/>
        <v>2.0000000000000002E-5</v>
      </c>
      <c r="AB11" s="1033"/>
      <c r="AC11" s="1033"/>
      <c r="AD11" s="1033"/>
      <c r="AE11" s="1033"/>
      <c r="AF11" s="1033"/>
      <c r="AG11" s="1033"/>
      <c r="AH11" s="1033"/>
      <c r="AI11" s="131">
        <f t="shared" si="11"/>
        <v>25</v>
      </c>
      <c r="AJ11" s="126">
        <f t="shared" si="11"/>
        <v>25</v>
      </c>
      <c r="AK11" s="126">
        <f t="shared" si="11"/>
        <v>25</v>
      </c>
      <c r="AL11" s="126">
        <f t="shared" si="11"/>
        <v>25</v>
      </c>
      <c r="AM11" s="126">
        <f t="shared" si="11"/>
        <v>25</v>
      </c>
      <c r="AN11" s="126">
        <f t="shared" si="11"/>
        <v>25</v>
      </c>
      <c r="AO11" s="132">
        <f t="shared" si="11"/>
        <v>25</v>
      </c>
      <c r="AP11" s="889">
        <v>1</v>
      </c>
      <c r="AQ11" s="890"/>
      <c r="AR11" s="890"/>
      <c r="AS11" s="890"/>
      <c r="AT11" s="890"/>
      <c r="AU11" s="890"/>
      <c r="AV11" s="891"/>
      <c r="AW11" s="131">
        <f t="shared" si="11"/>
        <v>6.5</v>
      </c>
      <c r="AX11" s="132">
        <f t="shared" si="11"/>
        <v>5.24</v>
      </c>
      <c r="AY11" s="104"/>
    </row>
    <row r="12" spans="1:55" x14ac:dyDescent="0.3">
      <c r="A12" s="936"/>
      <c r="B12" s="133" t="s">
        <v>268</v>
      </c>
      <c r="C12" s="134"/>
      <c r="D12" s="134"/>
      <c r="E12" s="134"/>
      <c r="F12" s="134"/>
      <c r="G12" s="135">
        <f>MEDIAN(G3:G10)</f>
        <v>2401.9436175801079</v>
      </c>
      <c r="H12" s="136">
        <f t="shared" ref="H12:AX12" si="12">MEDIAN(H3:H10)</f>
        <v>1958.063386447207</v>
      </c>
      <c r="I12" s="136">
        <f t="shared" si="12"/>
        <v>1815.7940815969182</v>
      </c>
      <c r="J12" s="136">
        <f t="shared" si="12"/>
        <v>1531.8264647172123</v>
      </c>
      <c r="K12" s="136">
        <f t="shared" si="12"/>
        <v>1467.0942461915602</v>
      </c>
      <c r="L12" s="136">
        <f t="shared" si="12"/>
        <v>1402.3570276659079</v>
      </c>
      <c r="M12" s="136">
        <f t="shared" si="12"/>
        <v>1272.8825906146035</v>
      </c>
      <c r="N12" s="136">
        <f t="shared" si="12"/>
        <v>60.048590439502711</v>
      </c>
      <c r="O12" s="136">
        <f t="shared" si="12"/>
        <v>48.951584661180178</v>
      </c>
      <c r="P12" s="136">
        <f t="shared" si="12"/>
        <v>45.394852039922952</v>
      </c>
      <c r="Q12" s="136">
        <f t="shared" si="12"/>
        <v>38.281386797408508</v>
      </c>
      <c r="R12" s="136">
        <f t="shared" si="12"/>
        <v>35.912055682017154</v>
      </c>
      <c r="S12" s="136">
        <f t="shared" si="12"/>
        <v>33.542724566625807</v>
      </c>
      <c r="T12" s="136">
        <f t="shared" si="12"/>
        <v>29.602072265365077</v>
      </c>
      <c r="U12" s="137">
        <f t="shared" si="12"/>
        <v>8.0000000000000002E-3</v>
      </c>
      <c r="V12" s="134">
        <f t="shared" si="12"/>
        <v>2.0000000000000002E-5</v>
      </c>
      <c r="W12" s="134">
        <f t="shared" si="12"/>
        <v>2.0000000000000002E-5</v>
      </c>
      <c r="X12" s="134">
        <f t="shared" si="12"/>
        <v>2.0000000000000002E-5</v>
      </c>
      <c r="Y12" s="136">
        <f t="shared" si="12"/>
        <v>2.0000000000000002E-5</v>
      </c>
      <c r="Z12" s="134">
        <f t="shared" si="12"/>
        <v>2.0000000000000002E-5</v>
      </c>
      <c r="AA12" s="138">
        <f t="shared" si="12"/>
        <v>2.0000000000000002E-5</v>
      </c>
      <c r="AB12" s="1034"/>
      <c r="AC12" s="1034"/>
      <c r="AD12" s="1034"/>
      <c r="AE12" s="1034"/>
      <c r="AF12" s="1034"/>
      <c r="AG12" s="1034"/>
      <c r="AH12" s="1034"/>
      <c r="AI12" s="139">
        <f>MEDIAN(AI3:AI10)</f>
        <v>25</v>
      </c>
      <c r="AJ12" s="134">
        <f t="shared" si="12"/>
        <v>27.5</v>
      </c>
      <c r="AK12" s="134">
        <f t="shared" si="12"/>
        <v>27.5</v>
      </c>
      <c r="AL12" s="134">
        <f t="shared" si="12"/>
        <v>27.5</v>
      </c>
      <c r="AM12" s="134">
        <f t="shared" si="12"/>
        <v>27.5</v>
      </c>
      <c r="AN12" s="134">
        <f t="shared" si="12"/>
        <v>27.5</v>
      </c>
      <c r="AO12" s="140">
        <f t="shared" si="12"/>
        <v>27.5</v>
      </c>
      <c r="AP12" s="892"/>
      <c r="AQ12" s="893"/>
      <c r="AR12" s="893"/>
      <c r="AS12" s="893"/>
      <c r="AT12" s="893"/>
      <c r="AU12" s="893"/>
      <c r="AV12" s="894"/>
      <c r="AW12" s="139">
        <f t="shared" si="12"/>
        <v>6.5</v>
      </c>
      <c r="AX12" s="140">
        <f t="shared" si="12"/>
        <v>5.24</v>
      </c>
      <c r="AY12" s="104"/>
    </row>
    <row r="13" spans="1:55" x14ac:dyDescent="0.3">
      <c r="A13" s="936"/>
      <c r="B13" s="141" t="s">
        <v>269</v>
      </c>
      <c r="C13" s="142"/>
      <c r="D13" s="142"/>
      <c r="E13" s="142"/>
      <c r="F13" s="142"/>
      <c r="G13" s="135">
        <f>MAX(G3:G10)</f>
        <v>4000</v>
      </c>
      <c r="H13" s="136">
        <f t="shared" ref="H13:AX13" si="13">MAX(H3:H10)</f>
        <v>2500</v>
      </c>
      <c r="I13" s="136">
        <f t="shared" si="13"/>
        <v>2172.999474697951</v>
      </c>
      <c r="J13" s="136">
        <f t="shared" si="13"/>
        <v>2000</v>
      </c>
      <c r="K13" s="136">
        <f t="shared" si="13"/>
        <v>1950</v>
      </c>
      <c r="L13" s="136">
        <f t="shared" si="13"/>
        <v>1900</v>
      </c>
      <c r="M13" s="136">
        <f t="shared" si="13"/>
        <v>1800</v>
      </c>
      <c r="N13" s="143">
        <f t="shared" si="13"/>
        <v>80</v>
      </c>
      <c r="O13" s="143">
        <f t="shared" si="13"/>
        <v>77.5</v>
      </c>
      <c r="P13" s="143">
        <f t="shared" si="13"/>
        <v>75</v>
      </c>
      <c r="Q13" s="143">
        <f t="shared" si="13"/>
        <v>65</v>
      </c>
      <c r="R13" s="143">
        <f t="shared" si="13"/>
        <v>62.5</v>
      </c>
      <c r="S13" s="143">
        <f t="shared" si="13"/>
        <v>60</v>
      </c>
      <c r="T13" s="143">
        <f t="shared" si="13"/>
        <v>55</v>
      </c>
      <c r="U13" s="144">
        <f t="shared" si="13"/>
        <v>8.0000000000000002E-3</v>
      </c>
      <c r="V13" s="142">
        <f t="shared" si="13"/>
        <v>2.0000000000000002E-5</v>
      </c>
      <c r="W13" s="142">
        <f t="shared" si="13"/>
        <v>2.0000000000000002E-5</v>
      </c>
      <c r="X13" s="142">
        <f t="shared" si="13"/>
        <v>2.0000000000000002E-5</v>
      </c>
      <c r="Y13" s="136">
        <f t="shared" si="13"/>
        <v>2.0000000000000002E-5</v>
      </c>
      <c r="Z13" s="142">
        <f t="shared" si="13"/>
        <v>2.0000000000000002E-5</v>
      </c>
      <c r="AA13" s="138">
        <f t="shared" si="13"/>
        <v>2.0000000000000002E-5</v>
      </c>
      <c r="AB13" s="1034"/>
      <c r="AC13" s="1034"/>
      <c r="AD13" s="1034"/>
      <c r="AE13" s="1034"/>
      <c r="AF13" s="1034"/>
      <c r="AG13" s="1034"/>
      <c r="AH13" s="1034"/>
      <c r="AI13" s="145">
        <f t="shared" si="13"/>
        <v>27</v>
      </c>
      <c r="AJ13" s="142">
        <f t="shared" si="13"/>
        <v>30</v>
      </c>
      <c r="AK13" s="142">
        <f t="shared" si="13"/>
        <v>30</v>
      </c>
      <c r="AL13" s="142">
        <f t="shared" si="13"/>
        <v>30</v>
      </c>
      <c r="AM13" s="142">
        <f t="shared" si="13"/>
        <v>30</v>
      </c>
      <c r="AN13" s="142">
        <f t="shared" si="13"/>
        <v>30</v>
      </c>
      <c r="AO13" s="146">
        <f t="shared" si="13"/>
        <v>30</v>
      </c>
      <c r="AP13" s="892"/>
      <c r="AQ13" s="893"/>
      <c r="AR13" s="893"/>
      <c r="AS13" s="893"/>
      <c r="AT13" s="893"/>
      <c r="AU13" s="893"/>
      <c r="AV13" s="894"/>
      <c r="AW13" s="145">
        <f t="shared" si="13"/>
        <v>6.5</v>
      </c>
      <c r="AX13" s="146">
        <f t="shared" si="13"/>
        <v>5.24</v>
      </c>
      <c r="AY13" s="104"/>
    </row>
    <row r="14" spans="1:55" x14ac:dyDescent="0.3">
      <c r="A14" s="936"/>
      <c r="B14" s="895" t="s">
        <v>15</v>
      </c>
      <c r="C14" s="147">
        <v>1</v>
      </c>
      <c r="D14" s="147" t="s">
        <v>18</v>
      </c>
      <c r="E14" s="147">
        <v>2020</v>
      </c>
      <c r="F14" s="148" t="s">
        <v>19</v>
      </c>
      <c r="G14" s="92">
        <f t="shared" ref="G14:G17" si="14">H14+((I14-H14)/($I$2-$H$2))*($G$2-$H$2)</f>
        <v>808.08965154964085</v>
      </c>
      <c r="H14" s="93">
        <f t="shared" ref="H14:H17" si="15">I14+((J14-I14)/($J$2-$I$2))*($H$2-$I$2)</f>
        <v>770.88075643494994</v>
      </c>
      <c r="I14" s="149">
        <f>838/1.1422</f>
        <v>733.67186132025904</v>
      </c>
      <c r="J14" s="149">
        <f>753/1.1422</f>
        <v>659.25407109087723</v>
      </c>
      <c r="K14" s="93">
        <f t="shared" ref="K14:K21" si="16">J14+((L14-J14)/(2050-2040))*(2045-2040)</f>
        <v>628.1736998774295</v>
      </c>
      <c r="L14" s="149">
        <f>682/1.1422</f>
        <v>597.09332866398177</v>
      </c>
      <c r="M14" s="95">
        <f t="shared" ref="M14:M21" si="17">K14+((L14-K14)/(2050-2045))*(2060-2045)</f>
        <v>534.9325862370863</v>
      </c>
      <c r="N14" s="93">
        <f t="shared" ref="N14:N17" si="18">O14+((P14-O14)/($P$2-$O$2))*($N$2-$O$2)</f>
        <v>20.202241288741018</v>
      </c>
      <c r="O14" s="93">
        <f t="shared" ref="O14:O17" si="19">P14+((Q14-P14)/($Q$2-$P$2))*($O$2-$P$2)</f>
        <v>19.272018910873747</v>
      </c>
      <c r="P14" s="149">
        <f t="shared" ref="P14:Q17" si="20">I14*0.025</f>
        <v>18.341796533006477</v>
      </c>
      <c r="Q14" s="149">
        <f t="shared" si="20"/>
        <v>16.481351777271932</v>
      </c>
      <c r="R14" s="93">
        <f t="shared" ref="R14:R17" si="21">Q14+((S14-Q14)/(2050-2040))*(2045-2040)</f>
        <v>15.704342496935737</v>
      </c>
      <c r="S14" s="149">
        <f t="shared" ref="S14:S17" si="22">L14*0.025</f>
        <v>14.927333216599544</v>
      </c>
      <c r="T14" s="95">
        <f t="shared" ref="T14:T21" si="23">R14+((S14-R14)/(2050-2045))*(2060-2045)</f>
        <v>13.373314655927159</v>
      </c>
      <c r="U14" s="150"/>
      <c r="V14" s="147"/>
      <c r="W14" s="147"/>
      <c r="X14" s="147"/>
      <c r="Y14" s="149"/>
      <c r="Z14" s="147"/>
      <c r="AA14" s="151"/>
      <c r="AB14" s="149"/>
      <c r="AC14" s="149"/>
      <c r="AD14" s="149"/>
      <c r="AE14" s="149"/>
      <c r="AF14" s="149"/>
      <c r="AG14" s="149"/>
      <c r="AH14" s="149"/>
      <c r="AI14" s="99">
        <v>25</v>
      </c>
      <c r="AJ14" s="100">
        <v>25</v>
      </c>
      <c r="AK14" s="147">
        <v>25</v>
      </c>
      <c r="AL14" s="147">
        <v>25</v>
      </c>
      <c r="AM14" s="101">
        <v>25</v>
      </c>
      <c r="AN14" s="147">
        <v>25</v>
      </c>
      <c r="AO14" s="103">
        <v>25</v>
      </c>
      <c r="AP14" s="897">
        <v>1</v>
      </c>
      <c r="AQ14" s="898"/>
      <c r="AR14" s="898"/>
      <c r="AS14" s="898"/>
      <c r="AT14" s="898"/>
      <c r="AU14" s="898"/>
      <c r="AV14" s="899"/>
      <c r="AW14" s="150"/>
      <c r="AX14" s="152"/>
      <c r="AY14" s="104" t="s">
        <v>260</v>
      </c>
    </row>
    <row r="15" spans="1:55" x14ac:dyDescent="0.3">
      <c r="A15" s="936"/>
      <c r="B15" s="896"/>
      <c r="C15" s="153">
        <v>1</v>
      </c>
      <c r="D15" s="153" t="s">
        <v>18</v>
      </c>
      <c r="E15" s="153">
        <v>2020</v>
      </c>
      <c r="F15" s="148" t="s">
        <v>19</v>
      </c>
      <c r="G15" s="106">
        <f t="shared" si="14"/>
        <v>1350.9017685168972</v>
      </c>
      <c r="H15" s="107">
        <f t="shared" si="15"/>
        <v>1288.30327438277</v>
      </c>
      <c r="I15" s="154">
        <f>1400/1.1422</f>
        <v>1225.7047802486429</v>
      </c>
      <c r="J15" s="154">
        <f>1257/1.1422</f>
        <v>1100.5077919803887</v>
      </c>
      <c r="K15" s="107">
        <f t="shared" si="16"/>
        <v>1056.2948695499913</v>
      </c>
      <c r="L15" s="154">
        <f>1156/1.1422</f>
        <v>1012.0819471195937</v>
      </c>
      <c r="M15" s="109">
        <f t="shared" si="17"/>
        <v>923.65610225879846</v>
      </c>
      <c r="N15" s="107">
        <f t="shared" si="18"/>
        <v>33.772544212922426</v>
      </c>
      <c r="O15" s="107">
        <f t="shared" si="19"/>
        <v>32.207581859569252</v>
      </c>
      <c r="P15" s="154">
        <f t="shared" si="20"/>
        <v>30.642619506216075</v>
      </c>
      <c r="Q15" s="154">
        <f t="shared" si="20"/>
        <v>27.512694799509717</v>
      </c>
      <c r="R15" s="107">
        <f t="shared" si="21"/>
        <v>26.407371738749781</v>
      </c>
      <c r="S15" s="154">
        <f t="shared" si="22"/>
        <v>25.302048677989845</v>
      </c>
      <c r="T15" s="109">
        <f t="shared" si="23"/>
        <v>23.091402556469973</v>
      </c>
      <c r="U15" s="155"/>
      <c r="V15" s="153"/>
      <c r="W15" s="153"/>
      <c r="X15" s="153"/>
      <c r="Y15" s="154"/>
      <c r="Z15" s="153"/>
      <c r="AA15" s="156"/>
      <c r="AB15" s="1035"/>
      <c r="AC15" s="1035"/>
      <c r="AD15" s="1035"/>
      <c r="AE15" s="1035"/>
      <c r="AF15" s="1035"/>
      <c r="AG15" s="1035"/>
      <c r="AH15" s="1035"/>
      <c r="AI15" s="155"/>
      <c r="AJ15" s="153"/>
      <c r="AK15" s="153"/>
      <c r="AL15" s="153"/>
      <c r="AM15" s="154"/>
      <c r="AN15" s="153"/>
      <c r="AO15" s="156"/>
      <c r="AP15" s="900"/>
      <c r="AQ15" s="901"/>
      <c r="AR15" s="901"/>
      <c r="AS15" s="901"/>
      <c r="AT15" s="901"/>
      <c r="AU15" s="901"/>
      <c r="AV15" s="902"/>
      <c r="AW15" s="155"/>
      <c r="AX15" s="157"/>
      <c r="AY15" s="104" t="s">
        <v>261</v>
      </c>
    </row>
    <row r="16" spans="1:55" x14ac:dyDescent="0.3">
      <c r="A16" s="936"/>
      <c r="B16" s="896"/>
      <c r="C16" s="153">
        <v>1</v>
      </c>
      <c r="D16" s="153" t="s">
        <v>18</v>
      </c>
      <c r="E16" s="153">
        <v>2020</v>
      </c>
      <c r="F16" s="148" t="s">
        <v>19</v>
      </c>
      <c r="G16" s="106">
        <f t="shared" si="14"/>
        <v>770.4430047277184</v>
      </c>
      <c r="H16" s="107">
        <f t="shared" si="15"/>
        <v>726.66783400455256</v>
      </c>
      <c r="I16" s="154">
        <f>780/1.1422</f>
        <v>682.89266328138672</v>
      </c>
      <c r="J16" s="154">
        <f>680/1.1422</f>
        <v>595.34232183505515</v>
      </c>
      <c r="K16" s="107">
        <f t="shared" si="16"/>
        <v>564.69970232883907</v>
      </c>
      <c r="L16" s="154">
        <f>610/1.1422</f>
        <v>534.05708282262299</v>
      </c>
      <c r="M16" s="109">
        <f t="shared" si="17"/>
        <v>472.77184381019083</v>
      </c>
      <c r="N16" s="107">
        <f t="shared" si="18"/>
        <v>19.261075118192959</v>
      </c>
      <c r="O16" s="107">
        <f t="shared" si="19"/>
        <v>18.166695850113815</v>
      </c>
      <c r="P16" s="154">
        <f t="shared" si="20"/>
        <v>17.07231658203467</v>
      </c>
      <c r="Q16" s="154">
        <f t="shared" si="20"/>
        <v>14.883558045876379</v>
      </c>
      <c r="R16" s="107">
        <f t="shared" si="21"/>
        <v>14.117492558220977</v>
      </c>
      <c r="S16" s="154">
        <f t="shared" si="22"/>
        <v>13.351427070565576</v>
      </c>
      <c r="T16" s="109">
        <f t="shared" si="23"/>
        <v>11.819296095254773</v>
      </c>
      <c r="U16" s="155"/>
      <c r="V16" s="153"/>
      <c r="W16" s="153"/>
      <c r="X16" s="153"/>
      <c r="Y16" s="154"/>
      <c r="Z16" s="153"/>
      <c r="AA16" s="156"/>
      <c r="AB16" s="1035"/>
      <c r="AC16" s="1035"/>
      <c r="AD16" s="1035"/>
      <c r="AE16" s="1035"/>
      <c r="AF16" s="1035"/>
      <c r="AG16" s="1035"/>
      <c r="AH16" s="1035"/>
      <c r="AI16" s="155"/>
      <c r="AJ16" s="153"/>
      <c r="AK16" s="153"/>
      <c r="AL16" s="153"/>
      <c r="AM16" s="154"/>
      <c r="AN16" s="153"/>
      <c r="AO16" s="156"/>
      <c r="AP16" s="900"/>
      <c r="AQ16" s="901"/>
      <c r="AR16" s="901"/>
      <c r="AS16" s="901"/>
      <c r="AT16" s="901"/>
      <c r="AU16" s="901"/>
      <c r="AV16" s="902"/>
      <c r="AW16" s="155"/>
      <c r="AX16" s="157"/>
      <c r="AY16" s="104" t="s">
        <v>262</v>
      </c>
    </row>
    <row r="17" spans="1:51" x14ac:dyDescent="0.3">
      <c r="A17" s="936"/>
      <c r="B17" s="896"/>
      <c r="C17" s="153">
        <v>1</v>
      </c>
      <c r="D17" s="153" t="s">
        <v>18</v>
      </c>
      <c r="E17" s="153">
        <v>2020</v>
      </c>
      <c r="F17" s="148" t="s">
        <v>19</v>
      </c>
      <c r="G17" s="106">
        <f t="shared" si="14"/>
        <v>1284.3635090176849</v>
      </c>
      <c r="H17" s="107">
        <f t="shared" si="15"/>
        <v>1211.6967256172297</v>
      </c>
      <c r="I17" s="154">
        <f>1301/1.1422</f>
        <v>1139.0299422167745</v>
      </c>
      <c r="J17" s="154">
        <f>1135/1.1422</f>
        <v>993.69637541586405</v>
      </c>
      <c r="K17" s="107">
        <f t="shared" si="16"/>
        <v>942.91717737699173</v>
      </c>
      <c r="L17" s="154">
        <f>1019/1.1422</f>
        <v>892.13797933811929</v>
      </c>
      <c r="M17" s="109">
        <f t="shared" si="17"/>
        <v>790.57958326037442</v>
      </c>
      <c r="N17" s="107">
        <f t="shared" si="18"/>
        <v>32.10908772544213</v>
      </c>
      <c r="O17" s="107">
        <f t="shared" si="19"/>
        <v>30.292418140430748</v>
      </c>
      <c r="P17" s="154">
        <f t="shared" si="20"/>
        <v>28.475748555419365</v>
      </c>
      <c r="Q17" s="154">
        <f t="shared" si="20"/>
        <v>24.842409385396603</v>
      </c>
      <c r="R17" s="107">
        <f t="shared" si="21"/>
        <v>23.572929434424793</v>
      </c>
      <c r="S17" s="154">
        <f t="shared" si="22"/>
        <v>22.303449483452983</v>
      </c>
      <c r="T17" s="109">
        <f t="shared" si="23"/>
        <v>19.764489581509363</v>
      </c>
      <c r="U17" s="155"/>
      <c r="V17" s="153"/>
      <c r="W17" s="153"/>
      <c r="X17" s="153"/>
      <c r="Y17" s="154"/>
      <c r="Z17" s="153"/>
      <c r="AA17" s="156"/>
      <c r="AB17" s="1035"/>
      <c r="AC17" s="1035"/>
      <c r="AD17" s="1035"/>
      <c r="AE17" s="1035"/>
      <c r="AF17" s="1035"/>
      <c r="AG17" s="1035"/>
      <c r="AH17" s="1035"/>
      <c r="AI17" s="155"/>
      <c r="AJ17" s="153"/>
      <c r="AK17" s="153"/>
      <c r="AL17" s="153"/>
      <c r="AM17" s="154"/>
      <c r="AN17" s="153"/>
      <c r="AO17" s="156"/>
      <c r="AP17" s="900"/>
      <c r="AQ17" s="901"/>
      <c r="AR17" s="901"/>
      <c r="AS17" s="901"/>
      <c r="AT17" s="901"/>
      <c r="AU17" s="901"/>
      <c r="AV17" s="902"/>
      <c r="AW17" s="155"/>
      <c r="AX17" s="157"/>
      <c r="AY17" s="104" t="s">
        <v>263</v>
      </c>
    </row>
    <row r="18" spans="1:51" x14ac:dyDescent="0.3">
      <c r="A18" s="936"/>
      <c r="B18" s="896"/>
      <c r="C18" s="153">
        <v>8</v>
      </c>
      <c r="D18" s="153" t="s">
        <v>45</v>
      </c>
      <c r="E18" s="153">
        <v>2021</v>
      </c>
      <c r="F18" s="148" t="s">
        <v>19</v>
      </c>
      <c r="G18" s="158">
        <f>1400</f>
        <v>1400</v>
      </c>
      <c r="H18" s="154"/>
      <c r="I18" s="154"/>
      <c r="J18" s="154"/>
      <c r="K18" s="154"/>
      <c r="L18" s="154"/>
      <c r="M18" s="156"/>
      <c r="N18" s="154">
        <v>20</v>
      </c>
      <c r="O18" s="154"/>
      <c r="P18" s="154"/>
      <c r="Q18" s="154"/>
      <c r="R18" s="154"/>
      <c r="S18" s="154"/>
      <c r="T18" s="156"/>
      <c r="U18" s="159">
        <v>8.0000000000000002E-3</v>
      </c>
      <c r="V18" s="160"/>
      <c r="W18" s="160"/>
      <c r="X18" s="160"/>
      <c r="Y18" s="154"/>
      <c r="Z18" s="160"/>
      <c r="AA18" s="156"/>
      <c r="AB18" s="1035"/>
      <c r="AC18" s="1035"/>
      <c r="AD18" s="1035"/>
      <c r="AE18" s="1035"/>
      <c r="AF18" s="1035"/>
      <c r="AG18" s="1035"/>
      <c r="AH18" s="1035"/>
      <c r="AI18" s="155">
        <v>25</v>
      </c>
      <c r="AJ18" s="153"/>
      <c r="AK18" s="153"/>
      <c r="AL18" s="153"/>
      <c r="AM18" s="154"/>
      <c r="AN18" s="153"/>
      <c r="AO18" s="156"/>
      <c r="AP18" s="900"/>
      <c r="AQ18" s="901"/>
      <c r="AR18" s="901"/>
      <c r="AS18" s="901"/>
      <c r="AT18" s="901"/>
      <c r="AU18" s="901"/>
      <c r="AV18" s="902"/>
      <c r="AW18" s="155">
        <v>4.2</v>
      </c>
      <c r="AX18" s="157">
        <v>2.96</v>
      </c>
      <c r="AY18" s="116" t="s">
        <v>264</v>
      </c>
    </row>
    <row r="19" spans="1:51" x14ac:dyDescent="0.3">
      <c r="A19" s="936"/>
      <c r="B19" s="896"/>
      <c r="C19" s="153">
        <v>8</v>
      </c>
      <c r="D19" s="153" t="s">
        <v>45</v>
      </c>
      <c r="E19" s="153">
        <v>2021</v>
      </c>
      <c r="F19" s="148" t="s">
        <v>19</v>
      </c>
      <c r="G19" s="158">
        <f>2000</f>
        <v>2000</v>
      </c>
      <c r="H19" s="154"/>
      <c r="I19" s="154"/>
      <c r="J19" s="154"/>
      <c r="K19" s="154"/>
      <c r="L19" s="154"/>
      <c r="M19" s="156"/>
      <c r="N19" s="154">
        <v>20</v>
      </c>
      <c r="O19" s="154"/>
      <c r="P19" s="154"/>
      <c r="Q19" s="154"/>
      <c r="R19" s="154"/>
      <c r="S19" s="154"/>
      <c r="T19" s="156"/>
      <c r="U19" s="159">
        <v>8.0000000000000002E-3</v>
      </c>
      <c r="V19" s="160"/>
      <c r="W19" s="160"/>
      <c r="X19" s="160"/>
      <c r="Y19" s="154"/>
      <c r="Z19" s="160"/>
      <c r="AA19" s="156"/>
      <c r="AB19" s="1035"/>
      <c r="AC19" s="1035"/>
      <c r="AD19" s="1035"/>
      <c r="AE19" s="1035"/>
      <c r="AF19" s="1035"/>
      <c r="AG19" s="1035"/>
      <c r="AH19" s="1035"/>
      <c r="AI19" s="155">
        <v>25</v>
      </c>
      <c r="AJ19" s="153"/>
      <c r="AK19" s="153"/>
      <c r="AL19" s="153"/>
      <c r="AM19" s="154"/>
      <c r="AN19" s="153"/>
      <c r="AO19" s="156"/>
      <c r="AP19" s="900"/>
      <c r="AQ19" s="901"/>
      <c r="AR19" s="901"/>
      <c r="AS19" s="901"/>
      <c r="AT19" s="901"/>
      <c r="AU19" s="901"/>
      <c r="AV19" s="902"/>
      <c r="AW19" s="155">
        <v>4.2</v>
      </c>
      <c r="AX19" s="157">
        <v>2.96</v>
      </c>
      <c r="AY19" s="116" t="s">
        <v>265</v>
      </c>
    </row>
    <row r="20" spans="1:51" x14ac:dyDescent="0.3">
      <c r="A20" s="936"/>
      <c r="B20" s="896"/>
      <c r="C20" s="153">
        <v>4</v>
      </c>
      <c r="D20" s="153" t="s">
        <v>31</v>
      </c>
      <c r="E20" s="153">
        <v>2022</v>
      </c>
      <c r="F20" s="148" t="s">
        <v>19</v>
      </c>
      <c r="G20" s="158">
        <v>1118.77</v>
      </c>
      <c r="H20" s="154">
        <v>1077.17</v>
      </c>
      <c r="I20" s="154">
        <v>1035.56</v>
      </c>
      <c r="J20" s="154">
        <v>977.57</v>
      </c>
      <c r="K20" s="154">
        <v>970.32</v>
      </c>
      <c r="L20" s="154">
        <v>963.07</v>
      </c>
      <c r="M20" s="109">
        <f t="shared" si="17"/>
        <v>948.57</v>
      </c>
      <c r="N20" s="154">
        <f>G20*0.0125</f>
        <v>13.984625000000001</v>
      </c>
      <c r="O20" s="154">
        <f>H20*0.0123</f>
        <v>13.249191000000001</v>
      </c>
      <c r="P20" s="154">
        <f>I20*0.0122</f>
        <v>12.633832</v>
      </c>
      <c r="Q20" s="154">
        <f>J20*0.0119</f>
        <v>11.633083000000001</v>
      </c>
      <c r="R20" s="154">
        <f>K20*0.0118</f>
        <v>11.449776</v>
      </c>
      <c r="S20" s="154">
        <f>L20*0.0118</f>
        <v>11.364226</v>
      </c>
      <c r="T20" s="109">
        <f t="shared" si="23"/>
        <v>11.193126000000001</v>
      </c>
      <c r="U20" s="159">
        <f>1.5*0.001</f>
        <v>1.5E-3</v>
      </c>
      <c r="V20" s="160">
        <f>1.42*0.001</f>
        <v>1.42E-3</v>
      </c>
      <c r="W20" s="160">
        <f>1.35*0.001</f>
        <v>1.3500000000000001E-3</v>
      </c>
      <c r="X20" s="160">
        <f>1.24*0.001</f>
        <v>1.24E-3</v>
      </c>
      <c r="Y20" s="160">
        <f>1.23*0.001</f>
        <v>1.23E-3</v>
      </c>
      <c r="Z20" s="160">
        <f>1.22*0.001</f>
        <v>1.2199999999999999E-3</v>
      </c>
      <c r="AA20" s="1053">
        <f>1.22*0.001</f>
        <v>1.2199999999999999E-3</v>
      </c>
      <c r="AB20" s="1054"/>
      <c r="AC20" s="1054"/>
      <c r="AD20" s="1054"/>
      <c r="AE20" s="1054"/>
      <c r="AF20" s="1054"/>
      <c r="AG20" s="1054"/>
      <c r="AH20" s="1054"/>
      <c r="AI20" s="155">
        <v>27</v>
      </c>
      <c r="AJ20" s="153">
        <v>28.5</v>
      </c>
      <c r="AK20" s="153">
        <v>30</v>
      </c>
      <c r="AL20" s="153">
        <v>30</v>
      </c>
      <c r="AM20" s="161">
        <v>30</v>
      </c>
      <c r="AN20" s="161">
        <v>30</v>
      </c>
      <c r="AO20" s="118">
        <v>30</v>
      </c>
      <c r="AP20" s="900"/>
      <c r="AQ20" s="901"/>
      <c r="AR20" s="901"/>
      <c r="AS20" s="901"/>
      <c r="AT20" s="901"/>
      <c r="AU20" s="901"/>
      <c r="AV20" s="902"/>
      <c r="AW20" s="155"/>
      <c r="AX20" s="157"/>
      <c r="AY20" s="104"/>
    </row>
    <row r="21" spans="1:51" x14ac:dyDescent="0.3">
      <c r="A21" s="936"/>
      <c r="B21" s="911"/>
      <c r="C21" s="163">
        <v>7</v>
      </c>
      <c r="D21" s="163" t="s">
        <v>42</v>
      </c>
      <c r="E21" s="163">
        <v>2020</v>
      </c>
      <c r="F21" s="148" t="s">
        <v>19</v>
      </c>
      <c r="G21" s="158">
        <v>1200</v>
      </c>
      <c r="H21" s="107">
        <f>G21+((I21-G21)/($I$2-$G$2))*($H$2-$G$2)</f>
        <v>1150</v>
      </c>
      <c r="I21" s="154">
        <v>1100</v>
      </c>
      <c r="J21" s="154">
        <v>1050</v>
      </c>
      <c r="K21" s="107">
        <f t="shared" si="16"/>
        <v>1025</v>
      </c>
      <c r="L21" s="154">
        <v>1000</v>
      </c>
      <c r="M21" s="109">
        <f t="shared" si="17"/>
        <v>950</v>
      </c>
      <c r="N21" s="164">
        <v>28</v>
      </c>
      <c r="O21" s="122">
        <f>N21+((P21-N21)/($I$2-$G$2))*($H$2-$G$2)</f>
        <v>27.5</v>
      </c>
      <c r="P21" s="164">
        <v>27</v>
      </c>
      <c r="Q21" s="164">
        <v>24</v>
      </c>
      <c r="R21" s="107">
        <f>Q21+((S21-Q21)/(2050-2040))*(2045-2040)</f>
        <v>24</v>
      </c>
      <c r="S21" s="164">
        <v>24</v>
      </c>
      <c r="T21" s="109">
        <f t="shared" si="23"/>
        <v>24</v>
      </c>
      <c r="U21" s="165"/>
      <c r="V21" s="163"/>
      <c r="W21" s="163"/>
      <c r="X21" s="163"/>
      <c r="Y21" s="154"/>
      <c r="Z21" s="163"/>
      <c r="AA21" s="156"/>
      <c r="AB21" s="1035"/>
      <c r="AC21" s="1035"/>
      <c r="AD21" s="1035"/>
      <c r="AE21" s="1035"/>
      <c r="AF21" s="1035"/>
      <c r="AG21" s="1035"/>
      <c r="AH21" s="1035"/>
      <c r="AI21" s="165"/>
      <c r="AJ21" s="163"/>
      <c r="AK21" s="163"/>
      <c r="AL21" s="163"/>
      <c r="AM21" s="154"/>
      <c r="AN21" s="163"/>
      <c r="AO21" s="156"/>
      <c r="AP21" s="903"/>
      <c r="AQ21" s="904"/>
      <c r="AR21" s="904"/>
      <c r="AS21" s="904"/>
      <c r="AT21" s="904"/>
      <c r="AU21" s="904"/>
      <c r="AV21" s="905"/>
      <c r="AW21" s="165"/>
      <c r="AX21" s="166"/>
      <c r="AY21" s="116" t="s">
        <v>266</v>
      </c>
    </row>
    <row r="22" spans="1:51" x14ac:dyDescent="0.3">
      <c r="A22" s="936"/>
      <c r="B22" s="167" t="s">
        <v>267</v>
      </c>
      <c r="C22" s="168"/>
      <c r="D22" s="168"/>
      <c r="E22" s="168"/>
      <c r="F22" s="168"/>
      <c r="G22" s="169">
        <f>MIN(G14:G21)</f>
        <v>770.4430047277184</v>
      </c>
      <c r="H22" s="170">
        <f t="shared" ref="H22:AX22" si="24">MIN(H14:H21)</f>
        <v>726.66783400455256</v>
      </c>
      <c r="I22" s="170">
        <f t="shared" si="24"/>
        <v>682.89266328138672</v>
      </c>
      <c r="J22" s="170">
        <f t="shared" si="24"/>
        <v>595.34232183505515</v>
      </c>
      <c r="K22" s="170">
        <f t="shared" si="24"/>
        <v>564.69970232883907</v>
      </c>
      <c r="L22" s="170">
        <f t="shared" si="24"/>
        <v>534.05708282262299</v>
      </c>
      <c r="M22" s="171">
        <f t="shared" si="24"/>
        <v>472.77184381019083</v>
      </c>
      <c r="N22" s="170">
        <f t="shared" si="24"/>
        <v>13.984625000000001</v>
      </c>
      <c r="O22" s="170">
        <f t="shared" si="24"/>
        <v>13.249191000000001</v>
      </c>
      <c r="P22" s="170">
        <f t="shared" si="24"/>
        <v>12.633832</v>
      </c>
      <c r="Q22" s="170">
        <f t="shared" si="24"/>
        <v>11.633083000000001</v>
      </c>
      <c r="R22" s="170">
        <f t="shared" si="24"/>
        <v>11.449776</v>
      </c>
      <c r="S22" s="170">
        <f t="shared" si="24"/>
        <v>11.364226</v>
      </c>
      <c r="T22" s="170">
        <f t="shared" si="24"/>
        <v>11.193126000000001</v>
      </c>
      <c r="U22" s="172">
        <f t="shared" si="24"/>
        <v>1.5E-3</v>
      </c>
      <c r="V22" s="173">
        <f t="shared" si="24"/>
        <v>1.42E-3</v>
      </c>
      <c r="W22" s="173">
        <f t="shared" si="24"/>
        <v>1.3500000000000001E-3</v>
      </c>
      <c r="X22" s="173">
        <f t="shared" si="24"/>
        <v>1.24E-3</v>
      </c>
      <c r="Y22" s="173">
        <f t="shared" si="24"/>
        <v>1.23E-3</v>
      </c>
      <c r="Z22" s="173">
        <f t="shared" si="24"/>
        <v>1.2199999999999999E-3</v>
      </c>
      <c r="AA22" s="174">
        <f t="shared" si="24"/>
        <v>1.2199999999999999E-3</v>
      </c>
      <c r="AB22" s="173"/>
      <c r="AC22" s="173"/>
      <c r="AD22" s="173"/>
      <c r="AE22" s="173"/>
      <c r="AF22" s="173"/>
      <c r="AG22" s="173"/>
      <c r="AH22" s="173"/>
      <c r="AI22" s="175">
        <f t="shared" si="24"/>
        <v>25</v>
      </c>
      <c r="AJ22" s="168">
        <f t="shared" si="24"/>
        <v>25</v>
      </c>
      <c r="AK22" s="168">
        <f t="shared" si="24"/>
        <v>25</v>
      </c>
      <c r="AL22" s="168">
        <f t="shared" si="24"/>
        <v>25</v>
      </c>
      <c r="AM22" s="176">
        <f t="shared" si="24"/>
        <v>25</v>
      </c>
      <c r="AN22" s="168">
        <f t="shared" si="24"/>
        <v>25</v>
      </c>
      <c r="AO22" s="177">
        <f t="shared" si="24"/>
        <v>25</v>
      </c>
      <c r="AP22" s="871">
        <v>1</v>
      </c>
      <c r="AQ22" s="872"/>
      <c r="AR22" s="872"/>
      <c r="AS22" s="872"/>
      <c r="AT22" s="872"/>
      <c r="AU22" s="872"/>
      <c r="AV22" s="873"/>
      <c r="AW22" s="175">
        <f t="shared" si="24"/>
        <v>4.2</v>
      </c>
      <c r="AX22" s="178">
        <f t="shared" si="24"/>
        <v>2.96</v>
      </c>
      <c r="AY22" s="104"/>
    </row>
    <row r="23" spans="1:51" x14ac:dyDescent="0.3">
      <c r="A23" s="936"/>
      <c r="B23" s="179" t="s">
        <v>268</v>
      </c>
      <c r="C23" s="180"/>
      <c r="D23" s="180"/>
      <c r="E23" s="180"/>
      <c r="F23" s="180"/>
      <c r="G23" s="181">
        <f>MEDIAN(G14:G21)</f>
        <v>1242.1817545088425</v>
      </c>
      <c r="H23" s="182">
        <f t="shared" ref="H23:AX23" si="25">MEDIAN(H14:H21)</f>
        <v>1113.585</v>
      </c>
      <c r="I23" s="182">
        <f t="shared" si="25"/>
        <v>1067.78</v>
      </c>
      <c r="J23" s="182">
        <f t="shared" si="25"/>
        <v>985.63318770793205</v>
      </c>
      <c r="K23" s="182">
        <f t="shared" si="25"/>
        <v>956.61858868849595</v>
      </c>
      <c r="L23" s="182">
        <f t="shared" si="25"/>
        <v>927.60398966905973</v>
      </c>
      <c r="M23" s="183">
        <f t="shared" si="25"/>
        <v>857.11784275958644</v>
      </c>
      <c r="N23" s="182">
        <f t="shared" si="25"/>
        <v>20.101120644370511</v>
      </c>
      <c r="O23" s="182">
        <f t="shared" si="25"/>
        <v>23.386009455436874</v>
      </c>
      <c r="P23" s="182">
        <f t="shared" si="25"/>
        <v>22.670898266503237</v>
      </c>
      <c r="Q23" s="182">
        <f t="shared" si="25"/>
        <v>20.240675888635966</v>
      </c>
      <c r="R23" s="182">
        <f t="shared" si="25"/>
        <v>19.638635965680265</v>
      </c>
      <c r="S23" s="182">
        <f t="shared" si="25"/>
        <v>18.615391350026265</v>
      </c>
      <c r="T23" s="182">
        <f t="shared" si="25"/>
        <v>16.56890211871826</v>
      </c>
      <c r="U23" s="184">
        <f t="shared" si="25"/>
        <v>8.0000000000000002E-3</v>
      </c>
      <c r="V23" s="185">
        <f t="shared" si="25"/>
        <v>1.42E-3</v>
      </c>
      <c r="W23" s="185">
        <f t="shared" si="25"/>
        <v>1.3500000000000001E-3</v>
      </c>
      <c r="X23" s="185">
        <f t="shared" si="25"/>
        <v>1.24E-3</v>
      </c>
      <c r="Y23" s="185">
        <f t="shared" si="25"/>
        <v>1.23E-3</v>
      </c>
      <c r="Z23" s="185">
        <f t="shared" si="25"/>
        <v>1.2199999999999999E-3</v>
      </c>
      <c r="AA23" s="186">
        <f t="shared" si="25"/>
        <v>1.2199999999999999E-3</v>
      </c>
      <c r="AB23" s="1036"/>
      <c r="AC23" s="1036"/>
      <c r="AD23" s="1036"/>
      <c r="AE23" s="1036"/>
      <c r="AF23" s="1036"/>
      <c r="AG23" s="1036"/>
      <c r="AH23" s="1036"/>
      <c r="AI23" s="187">
        <f t="shared" si="25"/>
        <v>25</v>
      </c>
      <c r="AJ23" s="180">
        <f t="shared" si="25"/>
        <v>26.75</v>
      </c>
      <c r="AK23" s="180">
        <f t="shared" si="25"/>
        <v>27.5</v>
      </c>
      <c r="AL23" s="180">
        <f t="shared" si="25"/>
        <v>27.5</v>
      </c>
      <c r="AM23" s="188">
        <f t="shared" si="25"/>
        <v>27.5</v>
      </c>
      <c r="AN23" s="180">
        <f t="shared" si="25"/>
        <v>27.5</v>
      </c>
      <c r="AO23" s="189">
        <f t="shared" si="25"/>
        <v>27.5</v>
      </c>
      <c r="AP23" s="874"/>
      <c r="AQ23" s="875"/>
      <c r="AR23" s="875"/>
      <c r="AS23" s="875"/>
      <c r="AT23" s="875"/>
      <c r="AU23" s="875"/>
      <c r="AV23" s="876"/>
      <c r="AW23" s="187">
        <f t="shared" si="25"/>
        <v>4.2</v>
      </c>
      <c r="AX23" s="190">
        <f t="shared" si="25"/>
        <v>2.96</v>
      </c>
      <c r="AY23" s="104"/>
    </row>
    <row r="24" spans="1:51" x14ac:dyDescent="0.3">
      <c r="A24" s="936"/>
      <c r="B24" s="191" t="s">
        <v>269</v>
      </c>
      <c r="C24" s="192"/>
      <c r="D24" s="192"/>
      <c r="E24" s="192"/>
      <c r="F24" s="192"/>
      <c r="G24" s="193">
        <f>MAX(G14:G21)</f>
        <v>2000</v>
      </c>
      <c r="H24" s="194">
        <f t="shared" ref="H24:AX24" si="26">MAX(H14:H21)</f>
        <v>1288.30327438277</v>
      </c>
      <c r="I24" s="194">
        <f t="shared" si="26"/>
        <v>1225.7047802486429</v>
      </c>
      <c r="J24" s="194">
        <f t="shared" si="26"/>
        <v>1100.5077919803887</v>
      </c>
      <c r="K24" s="194">
        <f t="shared" si="26"/>
        <v>1056.2948695499913</v>
      </c>
      <c r="L24" s="194">
        <f t="shared" si="26"/>
        <v>1012.0819471195937</v>
      </c>
      <c r="M24" s="195">
        <f t="shared" si="26"/>
        <v>950</v>
      </c>
      <c r="N24" s="194">
        <f t="shared" si="26"/>
        <v>33.772544212922426</v>
      </c>
      <c r="O24" s="194">
        <f t="shared" si="26"/>
        <v>32.207581859569252</v>
      </c>
      <c r="P24" s="194">
        <f t="shared" si="26"/>
        <v>30.642619506216075</v>
      </c>
      <c r="Q24" s="194">
        <f t="shared" si="26"/>
        <v>27.512694799509717</v>
      </c>
      <c r="R24" s="194">
        <f t="shared" si="26"/>
        <v>26.407371738749781</v>
      </c>
      <c r="S24" s="194">
        <f t="shared" si="26"/>
        <v>25.302048677989845</v>
      </c>
      <c r="T24" s="194">
        <f t="shared" si="26"/>
        <v>24</v>
      </c>
      <c r="U24" s="196">
        <f t="shared" si="26"/>
        <v>8.0000000000000002E-3</v>
      </c>
      <c r="V24" s="197">
        <f t="shared" si="26"/>
        <v>1.42E-3</v>
      </c>
      <c r="W24" s="197">
        <f t="shared" si="26"/>
        <v>1.3500000000000001E-3</v>
      </c>
      <c r="X24" s="197">
        <f t="shared" si="26"/>
        <v>1.24E-3</v>
      </c>
      <c r="Y24" s="185">
        <f t="shared" si="26"/>
        <v>1.23E-3</v>
      </c>
      <c r="Z24" s="197">
        <f t="shared" si="26"/>
        <v>1.2199999999999999E-3</v>
      </c>
      <c r="AA24" s="186">
        <f t="shared" si="26"/>
        <v>1.2199999999999999E-3</v>
      </c>
      <c r="AB24" s="1036"/>
      <c r="AC24" s="1036"/>
      <c r="AD24" s="1036"/>
      <c r="AE24" s="1036"/>
      <c r="AF24" s="1036"/>
      <c r="AG24" s="1036"/>
      <c r="AH24" s="1036"/>
      <c r="AI24" s="198">
        <f t="shared" si="26"/>
        <v>27</v>
      </c>
      <c r="AJ24" s="192">
        <f t="shared" si="26"/>
        <v>28.5</v>
      </c>
      <c r="AK24" s="192">
        <f t="shared" si="26"/>
        <v>30</v>
      </c>
      <c r="AL24" s="192">
        <f t="shared" si="26"/>
        <v>30</v>
      </c>
      <c r="AM24" s="199">
        <f t="shared" si="26"/>
        <v>30</v>
      </c>
      <c r="AN24" s="192">
        <f t="shared" si="26"/>
        <v>30</v>
      </c>
      <c r="AO24" s="200">
        <f t="shared" si="26"/>
        <v>30</v>
      </c>
      <c r="AP24" s="874"/>
      <c r="AQ24" s="875"/>
      <c r="AR24" s="875"/>
      <c r="AS24" s="875"/>
      <c r="AT24" s="875"/>
      <c r="AU24" s="875"/>
      <c r="AV24" s="876"/>
      <c r="AW24" s="198">
        <f t="shared" si="26"/>
        <v>4.2</v>
      </c>
      <c r="AX24" s="201">
        <f t="shared" si="26"/>
        <v>2.96</v>
      </c>
      <c r="AY24" s="104"/>
    </row>
    <row r="25" spans="1:51" x14ac:dyDescent="0.3">
      <c r="A25" s="936"/>
      <c r="B25" s="877" t="s">
        <v>270</v>
      </c>
      <c r="C25" s="202">
        <v>1</v>
      </c>
      <c r="D25" s="202" t="s">
        <v>18</v>
      </c>
      <c r="E25" s="202">
        <v>2020</v>
      </c>
      <c r="F25" s="203" t="s">
        <v>19</v>
      </c>
      <c r="G25" s="92">
        <f t="shared" ref="G25:G28" si="27">H25+((I25-H25)/($I$2-$H$2))*($G$2-$H$2)</f>
        <v>390.474522850639</v>
      </c>
      <c r="H25" s="93">
        <f t="shared" ref="H25:H28" si="28">I25+((J25-I25)/($J$2-$I$2))*($H$2-$I$2)</f>
        <v>363.33391700227622</v>
      </c>
      <c r="I25" s="204">
        <f>384/1.1422</f>
        <v>336.19331115391344</v>
      </c>
      <c r="J25" s="204">
        <f>322/1.1422</f>
        <v>281.91209945718788</v>
      </c>
      <c r="K25" s="93">
        <f t="shared" ref="K25:K32" si="29">J25+((L25-J25)/(2050-2040))*(2045-2040)</f>
        <v>257.39800385221503</v>
      </c>
      <c r="L25" s="204">
        <f>266/1.1422</f>
        <v>232.88390824724215</v>
      </c>
      <c r="M25" s="95">
        <f t="shared" ref="M25:M32" si="30">K25+((L25-K25)/(2050-2045))*(2060-2045)</f>
        <v>183.85571703729639</v>
      </c>
      <c r="N25" s="93">
        <f t="shared" ref="N25:N28" si="31">O25+((P25-O25)/($P$2-$O$2))*($N$2-$O$2)</f>
        <v>7.8094904570127808</v>
      </c>
      <c r="O25" s="93">
        <f t="shared" ref="O25:O28" si="32">P25+((Q25-P25)/($Q$2-$P$2))*($O$2-$P$2)</f>
        <v>7.2666783400455248</v>
      </c>
      <c r="P25" s="204">
        <f t="shared" ref="P25:Q28" si="33">I25*0.02</f>
        <v>6.7238662230782689</v>
      </c>
      <c r="Q25" s="204">
        <f t="shared" si="33"/>
        <v>5.6382419891437578</v>
      </c>
      <c r="R25" s="93">
        <f t="shared" ref="R25:R28" si="34">Q25+((S25-Q25)/(2050-2040))*(2045-2040)</f>
        <v>5.147960077044301</v>
      </c>
      <c r="S25" s="204">
        <f t="shared" ref="S25:S28" si="35">L25*0.02</f>
        <v>4.6576781649448433</v>
      </c>
      <c r="T25" s="95">
        <f t="shared" ref="T25:T32" si="36">R25+((S25-R25)/(2050-2045))*(2060-2045)</f>
        <v>3.6771143407459279</v>
      </c>
      <c r="U25" s="205"/>
      <c r="V25" s="202"/>
      <c r="W25" s="202"/>
      <c r="X25" s="202"/>
      <c r="Y25" s="204"/>
      <c r="Z25" s="202"/>
      <c r="AA25" s="206"/>
      <c r="AB25" s="204"/>
      <c r="AC25" s="204"/>
      <c r="AD25" s="204"/>
      <c r="AE25" s="204"/>
      <c r="AF25" s="204"/>
      <c r="AG25" s="204"/>
      <c r="AH25" s="204"/>
      <c r="AI25" s="99">
        <v>25</v>
      </c>
      <c r="AJ25" s="100">
        <v>25</v>
      </c>
      <c r="AK25" s="202">
        <v>25</v>
      </c>
      <c r="AL25" s="202">
        <v>25</v>
      </c>
      <c r="AM25" s="101">
        <v>25</v>
      </c>
      <c r="AN25" s="207">
        <v>25</v>
      </c>
      <c r="AO25" s="103">
        <v>25</v>
      </c>
      <c r="AP25" s="880">
        <v>1</v>
      </c>
      <c r="AQ25" s="881"/>
      <c r="AR25" s="881"/>
      <c r="AS25" s="881"/>
      <c r="AT25" s="881"/>
      <c r="AU25" s="881"/>
      <c r="AV25" s="882"/>
      <c r="AW25" s="205"/>
      <c r="AX25" s="21"/>
      <c r="AY25" s="104" t="s">
        <v>260</v>
      </c>
    </row>
    <row r="26" spans="1:51" x14ac:dyDescent="0.3">
      <c r="A26" s="936"/>
      <c r="B26" s="937"/>
      <c r="C26" s="208">
        <v>1</v>
      </c>
      <c r="D26" s="208" t="s">
        <v>18</v>
      </c>
      <c r="E26" s="208">
        <v>2020</v>
      </c>
      <c r="F26" s="203" t="s">
        <v>19</v>
      </c>
      <c r="G26" s="106">
        <f t="shared" si="27"/>
        <v>637.36648572929437</v>
      </c>
      <c r="H26" s="107">
        <f t="shared" si="28"/>
        <v>592.71581159166522</v>
      </c>
      <c r="I26" s="209">
        <f>626/1.1422</f>
        <v>548.06513745403606</v>
      </c>
      <c r="J26" s="209">
        <f>524/1.1422</f>
        <v>458.76378917877776</v>
      </c>
      <c r="K26" s="107">
        <f t="shared" si="29"/>
        <v>419.36613552792852</v>
      </c>
      <c r="L26" s="209">
        <f>434/1.1422</f>
        <v>379.96848187707928</v>
      </c>
      <c r="M26" s="109">
        <f t="shared" si="30"/>
        <v>301.17317457538081</v>
      </c>
      <c r="N26" s="107">
        <f t="shared" si="31"/>
        <v>12.747329714585886</v>
      </c>
      <c r="O26" s="107">
        <f t="shared" si="32"/>
        <v>11.854316231833304</v>
      </c>
      <c r="P26" s="209">
        <f t="shared" si="33"/>
        <v>10.961302749080721</v>
      </c>
      <c r="Q26" s="209">
        <f t="shared" si="33"/>
        <v>9.1752757835755556</v>
      </c>
      <c r="R26" s="107">
        <f t="shared" si="34"/>
        <v>8.3873227105585713</v>
      </c>
      <c r="S26" s="209">
        <f t="shared" si="35"/>
        <v>7.599369637541586</v>
      </c>
      <c r="T26" s="109">
        <f t="shared" si="36"/>
        <v>6.0234634915076155</v>
      </c>
      <c r="U26" s="210"/>
      <c r="V26" s="208"/>
      <c r="W26" s="208"/>
      <c r="X26" s="208"/>
      <c r="Y26" s="209"/>
      <c r="Z26" s="208"/>
      <c r="AA26" s="211"/>
      <c r="AB26" s="1037"/>
      <c r="AC26" s="1037"/>
      <c r="AD26" s="1037"/>
      <c r="AE26" s="1037"/>
      <c r="AF26" s="1037"/>
      <c r="AG26" s="1037"/>
      <c r="AH26" s="1037"/>
      <c r="AI26" s="210"/>
      <c r="AJ26" s="208"/>
      <c r="AK26" s="208"/>
      <c r="AL26" s="208"/>
      <c r="AM26" s="209"/>
      <c r="AN26" s="208"/>
      <c r="AO26" s="211"/>
      <c r="AP26" s="883"/>
      <c r="AQ26" s="884"/>
      <c r="AR26" s="884"/>
      <c r="AS26" s="884"/>
      <c r="AT26" s="884"/>
      <c r="AU26" s="884"/>
      <c r="AV26" s="885"/>
      <c r="AW26" s="210"/>
      <c r="AX26" s="24"/>
      <c r="AY26" s="104" t="s">
        <v>261</v>
      </c>
    </row>
    <row r="27" spans="1:51" x14ac:dyDescent="0.3">
      <c r="A27" s="936"/>
      <c r="B27" s="937"/>
      <c r="C27" s="208">
        <v>1</v>
      </c>
      <c r="D27" s="208" t="s">
        <v>18</v>
      </c>
      <c r="E27" s="208">
        <v>2020</v>
      </c>
      <c r="F27" s="203" t="s">
        <v>19</v>
      </c>
      <c r="G27" s="106">
        <f t="shared" si="27"/>
        <v>337.06881456837669</v>
      </c>
      <c r="H27" s="107">
        <f t="shared" si="28"/>
        <v>307.73945018385564</v>
      </c>
      <c r="I27" s="209">
        <f>318/1.1422</f>
        <v>278.41008579933458</v>
      </c>
      <c r="J27" s="209">
        <f>251/1.1422</f>
        <v>219.75135703029241</v>
      </c>
      <c r="K27" s="107">
        <f t="shared" si="29"/>
        <v>195.23726142531956</v>
      </c>
      <c r="L27" s="209">
        <f>195/1.1422</f>
        <v>170.72316582034668</v>
      </c>
      <c r="M27" s="109">
        <f t="shared" si="30"/>
        <v>121.69497461040092</v>
      </c>
      <c r="N27" s="107">
        <f t="shared" si="31"/>
        <v>6.7413762913675344</v>
      </c>
      <c r="O27" s="107">
        <f t="shared" si="32"/>
        <v>6.1547890036771129</v>
      </c>
      <c r="P27" s="209">
        <f t="shared" si="33"/>
        <v>5.5682017159866914</v>
      </c>
      <c r="Q27" s="209">
        <f t="shared" si="33"/>
        <v>4.3950271406058485</v>
      </c>
      <c r="R27" s="107">
        <f t="shared" si="34"/>
        <v>3.9047452285063908</v>
      </c>
      <c r="S27" s="209">
        <f t="shared" si="35"/>
        <v>3.4144633164069336</v>
      </c>
      <c r="T27" s="109">
        <f t="shared" si="36"/>
        <v>2.433899492208019</v>
      </c>
      <c r="U27" s="210"/>
      <c r="V27" s="208"/>
      <c r="W27" s="208"/>
      <c r="X27" s="208"/>
      <c r="Y27" s="209"/>
      <c r="Z27" s="208"/>
      <c r="AA27" s="211"/>
      <c r="AB27" s="1037"/>
      <c r="AC27" s="1037"/>
      <c r="AD27" s="1037"/>
      <c r="AE27" s="1037"/>
      <c r="AF27" s="1037"/>
      <c r="AG27" s="1037"/>
      <c r="AH27" s="1037"/>
      <c r="AI27" s="210"/>
      <c r="AJ27" s="208"/>
      <c r="AK27" s="208"/>
      <c r="AL27" s="208"/>
      <c r="AM27" s="209"/>
      <c r="AN27" s="208"/>
      <c r="AO27" s="211"/>
      <c r="AP27" s="883"/>
      <c r="AQ27" s="884"/>
      <c r="AR27" s="884"/>
      <c r="AS27" s="884"/>
      <c r="AT27" s="884"/>
      <c r="AU27" s="884"/>
      <c r="AV27" s="885"/>
      <c r="AW27" s="210"/>
      <c r="AX27" s="24"/>
      <c r="AY27" s="104" t="s">
        <v>262</v>
      </c>
    </row>
    <row r="28" spans="1:51" x14ac:dyDescent="0.3">
      <c r="A28" s="936"/>
      <c r="B28" s="937"/>
      <c r="C28" s="208">
        <v>1</v>
      </c>
      <c r="D28" s="208" t="s">
        <v>18</v>
      </c>
      <c r="E28" s="208">
        <v>2020</v>
      </c>
      <c r="F28" s="203" t="s">
        <v>19</v>
      </c>
      <c r="G28" s="106">
        <f t="shared" si="27"/>
        <v>548.06513745403595</v>
      </c>
      <c r="H28" s="107">
        <f t="shared" si="28"/>
        <v>500.78795307301692</v>
      </c>
      <c r="I28" s="209">
        <f>518/1.1422</f>
        <v>453.51076869199784</v>
      </c>
      <c r="J28" s="209">
        <f>410/1.1422</f>
        <v>358.95639992995967</v>
      </c>
      <c r="K28" s="107">
        <f t="shared" si="29"/>
        <v>318.68324286464713</v>
      </c>
      <c r="L28" s="209">
        <f>318/1.1422</f>
        <v>278.41008579933458</v>
      </c>
      <c r="M28" s="109">
        <f t="shared" si="30"/>
        <v>197.86377166870949</v>
      </c>
      <c r="N28" s="107">
        <f t="shared" si="31"/>
        <v>10.961302749080723</v>
      </c>
      <c r="O28" s="107">
        <f t="shared" si="32"/>
        <v>10.01575906146034</v>
      </c>
      <c r="P28" s="209">
        <f t="shared" si="33"/>
        <v>9.0702153738399574</v>
      </c>
      <c r="Q28" s="209">
        <f t="shared" si="33"/>
        <v>7.1791279985991938</v>
      </c>
      <c r="R28" s="107">
        <f t="shared" si="34"/>
        <v>6.3736648572929422</v>
      </c>
      <c r="S28" s="209">
        <f t="shared" si="35"/>
        <v>5.5682017159866914</v>
      </c>
      <c r="T28" s="109">
        <f t="shared" si="36"/>
        <v>3.95727543337419</v>
      </c>
      <c r="U28" s="210"/>
      <c r="V28" s="208"/>
      <c r="W28" s="208"/>
      <c r="X28" s="208"/>
      <c r="Y28" s="209"/>
      <c r="Z28" s="208"/>
      <c r="AA28" s="211"/>
      <c r="AB28" s="1037"/>
      <c r="AC28" s="1037"/>
      <c r="AD28" s="1037"/>
      <c r="AE28" s="1037"/>
      <c r="AF28" s="1037"/>
      <c r="AG28" s="1037"/>
      <c r="AH28" s="1037"/>
      <c r="AI28" s="210"/>
      <c r="AJ28" s="208"/>
      <c r="AK28" s="208"/>
      <c r="AL28" s="208"/>
      <c r="AM28" s="209"/>
      <c r="AN28" s="208"/>
      <c r="AO28" s="211"/>
      <c r="AP28" s="883"/>
      <c r="AQ28" s="884"/>
      <c r="AR28" s="884"/>
      <c r="AS28" s="884"/>
      <c r="AT28" s="884"/>
      <c r="AU28" s="884"/>
      <c r="AV28" s="885"/>
      <c r="AW28" s="210"/>
      <c r="AX28" s="24"/>
      <c r="AY28" s="104" t="s">
        <v>263</v>
      </c>
    </row>
    <row r="29" spans="1:51" x14ac:dyDescent="0.3">
      <c r="A29" s="936"/>
      <c r="B29" s="937"/>
      <c r="C29" s="208">
        <v>8</v>
      </c>
      <c r="D29" s="208" t="s">
        <v>45</v>
      </c>
      <c r="E29" s="208">
        <v>2021</v>
      </c>
      <c r="F29" s="203" t="s">
        <v>19</v>
      </c>
      <c r="G29" s="212">
        <f>530</f>
        <v>530</v>
      </c>
      <c r="H29" s="209"/>
      <c r="I29" s="209"/>
      <c r="J29" s="209"/>
      <c r="K29" s="209"/>
      <c r="L29" s="209"/>
      <c r="M29" s="211"/>
      <c r="N29" s="209">
        <v>13.3</v>
      </c>
      <c r="O29" s="209"/>
      <c r="P29" s="209"/>
      <c r="Q29" s="209"/>
      <c r="R29" s="209"/>
      <c r="S29" s="209"/>
      <c r="T29" s="211"/>
      <c r="U29" s="210">
        <v>0</v>
      </c>
      <c r="V29" s="208"/>
      <c r="W29" s="208"/>
      <c r="X29" s="208"/>
      <c r="Y29" s="209"/>
      <c r="Z29" s="208"/>
      <c r="AA29" s="211"/>
      <c r="AB29" s="1037"/>
      <c r="AC29" s="1037"/>
      <c r="AD29" s="1037"/>
      <c r="AE29" s="1037"/>
      <c r="AF29" s="1037"/>
      <c r="AG29" s="1037"/>
      <c r="AH29" s="1037"/>
      <c r="AI29" s="210">
        <v>30</v>
      </c>
      <c r="AJ29" s="208"/>
      <c r="AK29" s="208"/>
      <c r="AL29" s="208"/>
      <c r="AM29" s="209"/>
      <c r="AN29" s="208"/>
      <c r="AO29" s="211"/>
      <c r="AP29" s="883"/>
      <c r="AQ29" s="884"/>
      <c r="AR29" s="884"/>
      <c r="AS29" s="884"/>
      <c r="AT29" s="884"/>
      <c r="AU29" s="884"/>
      <c r="AV29" s="885"/>
      <c r="AW29" s="210">
        <v>3.7</v>
      </c>
      <c r="AX29" s="24">
        <v>2.5</v>
      </c>
      <c r="AY29" s="116" t="s">
        <v>271</v>
      </c>
    </row>
    <row r="30" spans="1:51" x14ac:dyDescent="0.3">
      <c r="A30" s="936"/>
      <c r="B30" s="937"/>
      <c r="C30" s="208">
        <v>8</v>
      </c>
      <c r="D30" s="208" t="s">
        <v>45</v>
      </c>
      <c r="E30" s="208">
        <v>2021</v>
      </c>
      <c r="F30" s="203" t="s">
        <v>19</v>
      </c>
      <c r="G30" s="212">
        <f>800</f>
        <v>800</v>
      </c>
      <c r="H30" s="209"/>
      <c r="I30" s="209"/>
      <c r="J30" s="209"/>
      <c r="K30" s="209"/>
      <c r="L30" s="209"/>
      <c r="M30" s="211"/>
      <c r="N30" s="209">
        <v>13.3</v>
      </c>
      <c r="O30" s="209"/>
      <c r="P30" s="209"/>
      <c r="Q30" s="209"/>
      <c r="R30" s="209"/>
      <c r="S30" s="209"/>
      <c r="T30" s="211"/>
      <c r="U30" s="210">
        <v>0</v>
      </c>
      <c r="V30" s="208"/>
      <c r="W30" s="208"/>
      <c r="X30" s="208"/>
      <c r="Y30" s="209"/>
      <c r="Z30" s="208"/>
      <c r="AA30" s="211"/>
      <c r="AB30" s="1037"/>
      <c r="AC30" s="1037"/>
      <c r="AD30" s="1037"/>
      <c r="AE30" s="1037"/>
      <c r="AF30" s="1037"/>
      <c r="AG30" s="1037"/>
      <c r="AH30" s="1037"/>
      <c r="AI30" s="210">
        <v>30</v>
      </c>
      <c r="AJ30" s="208"/>
      <c r="AK30" s="208"/>
      <c r="AL30" s="208"/>
      <c r="AM30" s="209"/>
      <c r="AN30" s="208"/>
      <c r="AO30" s="211"/>
      <c r="AP30" s="883"/>
      <c r="AQ30" s="884"/>
      <c r="AR30" s="884"/>
      <c r="AS30" s="884"/>
      <c r="AT30" s="884"/>
      <c r="AU30" s="884"/>
      <c r="AV30" s="885"/>
      <c r="AW30" s="210">
        <v>3.7</v>
      </c>
      <c r="AX30" s="24">
        <v>2.5</v>
      </c>
      <c r="AY30" s="116" t="s">
        <v>272</v>
      </c>
    </row>
    <row r="31" spans="1:51" x14ac:dyDescent="0.3">
      <c r="A31" s="936"/>
      <c r="B31" s="937"/>
      <c r="C31" s="208">
        <v>4</v>
      </c>
      <c r="D31" s="208" t="s">
        <v>31</v>
      </c>
      <c r="E31" s="208">
        <v>2022</v>
      </c>
      <c r="F31" s="203" t="s">
        <v>19</v>
      </c>
      <c r="G31" s="212">
        <v>509.47</v>
      </c>
      <c r="H31" s="209">
        <v>428.52</v>
      </c>
      <c r="I31" s="209">
        <v>347.56</v>
      </c>
      <c r="J31" s="209">
        <v>290.58</v>
      </c>
      <c r="K31" s="209">
        <v>277.79000000000002</v>
      </c>
      <c r="L31" s="209">
        <f>265</f>
        <v>265</v>
      </c>
      <c r="M31" s="109">
        <f t="shared" si="30"/>
        <v>239.41999999999996</v>
      </c>
      <c r="N31" s="209">
        <f>G31*0.0201</f>
        <v>10.240347</v>
      </c>
      <c r="O31" s="209">
        <f>H31*0.022</f>
        <v>9.4274399999999989</v>
      </c>
      <c r="P31" s="209">
        <f>I31*0.0248</f>
        <v>8.6194880000000005</v>
      </c>
      <c r="Q31" s="209">
        <f>J31*0.0252</f>
        <v>7.322616</v>
      </c>
      <c r="R31" s="209">
        <f>K31*0.0253</f>
        <v>7.0280870000000002</v>
      </c>
      <c r="S31" s="209">
        <f>L31*0.0253</f>
        <v>6.7044999999999995</v>
      </c>
      <c r="T31" s="109">
        <f t="shared" si="36"/>
        <v>6.057325999999998</v>
      </c>
      <c r="U31" s="210"/>
      <c r="V31" s="208"/>
      <c r="W31" s="208"/>
      <c r="X31" s="208"/>
      <c r="Y31" s="209"/>
      <c r="Z31" s="208"/>
      <c r="AA31" s="211"/>
      <c r="AB31" s="1037"/>
      <c r="AC31" s="1037"/>
      <c r="AD31" s="1037"/>
      <c r="AE31" s="1037"/>
      <c r="AF31" s="1037"/>
      <c r="AG31" s="1037"/>
      <c r="AH31" s="1037"/>
      <c r="AI31" s="210">
        <v>35</v>
      </c>
      <c r="AJ31" s="208">
        <v>37.5</v>
      </c>
      <c r="AK31" s="208">
        <v>40</v>
      </c>
      <c r="AL31" s="208">
        <v>40</v>
      </c>
      <c r="AM31" s="213">
        <v>40</v>
      </c>
      <c r="AN31" s="213">
        <v>40</v>
      </c>
      <c r="AO31" s="118">
        <v>40</v>
      </c>
      <c r="AP31" s="883"/>
      <c r="AQ31" s="884"/>
      <c r="AR31" s="884"/>
      <c r="AS31" s="884"/>
      <c r="AT31" s="884"/>
      <c r="AU31" s="884"/>
      <c r="AV31" s="885"/>
      <c r="AW31" s="210"/>
      <c r="AX31" s="24"/>
      <c r="AY31" s="104" t="s">
        <v>273</v>
      </c>
    </row>
    <row r="32" spans="1:51" x14ac:dyDescent="0.3">
      <c r="A32" s="936"/>
      <c r="B32" s="938"/>
      <c r="C32" s="214">
        <v>7</v>
      </c>
      <c r="D32" s="214" t="s">
        <v>42</v>
      </c>
      <c r="E32" s="214">
        <v>2020</v>
      </c>
      <c r="F32" s="203" t="s">
        <v>19</v>
      </c>
      <c r="G32" s="212">
        <v>650</v>
      </c>
      <c r="H32" s="107">
        <f>G32+((I32-G32)/($I$2-$G$2))*($H$2-$G$2)</f>
        <v>600</v>
      </c>
      <c r="I32" s="209">
        <v>550</v>
      </c>
      <c r="J32" s="209">
        <v>500</v>
      </c>
      <c r="K32" s="107">
        <f t="shared" si="29"/>
        <v>475</v>
      </c>
      <c r="L32" s="209">
        <v>450</v>
      </c>
      <c r="M32" s="211">
        <f t="shared" si="30"/>
        <v>400</v>
      </c>
      <c r="N32" s="215">
        <v>12</v>
      </c>
      <c r="O32" s="122">
        <f>N32+((P32-N32)/($I$2-$G$2))*($H$2-$G$2)</f>
        <v>12</v>
      </c>
      <c r="P32" s="215">
        <v>12</v>
      </c>
      <c r="Q32" s="215">
        <v>12</v>
      </c>
      <c r="R32" s="107">
        <f>Q32+((S32-Q32)/(2050-2040))*(2045-2040)</f>
        <v>12</v>
      </c>
      <c r="S32" s="215">
        <v>12</v>
      </c>
      <c r="T32" s="109">
        <f t="shared" si="36"/>
        <v>12</v>
      </c>
      <c r="U32" s="216"/>
      <c r="V32" s="214"/>
      <c r="W32" s="214"/>
      <c r="X32" s="214"/>
      <c r="Y32" s="209"/>
      <c r="Z32" s="214"/>
      <c r="AA32" s="211"/>
      <c r="AB32" s="1037"/>
      <c r="AC32" s="1037"/>
      <c r="AD32" s="1037"/>
      <c r="AE32" s="1037"/>
      <c r="AF32" s="1037"/>
      <c r="AG32" s="1037"/>
      <c r="AH32" s="1037"/>
      <c r="AI32" s="216"/>
      <c r="AJ32" s="214"/>
      <c r="AK32" s="214"/>
      <c r="AL32" s="214"/>
      <c r="AM32" s="209"/>
      <c r="AN32" s="214"/>
      <c r="AO32" s="211"/>
      <c r="AP32" s="886"/>
      <c r="AQ32" s="887"/>
      <c r="AR32" s="887"/>
      <c r="AS32" s="887"/>
      <c r="AT32" s="887"/>
      <c r="AU32" s="887"/>
      <c r="AV32" s="888"/>
      <c r="AW32" s="216"/>
      <c r="AX32" s="27"/>
      <c r="AY32" s="116" t="s">
        <v>266</v>
      </c>
    </row>
    <row r="33" spans="1:51" ht="15" customHeight="1" x14ac:dyDescent="0.3">
      <c r="A33" s="936"/>
      <c r="B33" s="217" t="s">
        <v>267</v>
      </c>
      <c r="C33" s="218"/>
      <c r="D33" s="218"/>
      <c r="E33" s="218"/>
      <c r="F33" s="218"/>
      <c r="G33" s="219">
        <f>MIN(G25:G32)</f>
        <v>337.06881456837669</v>
      </c>
      <c r="H33" s="220">
        <f t="shared" ref="H33:AX33" si="37">MIN(H25:H32)</f>
        <v>307.73945018385564</v>
      </c>
      <c r="I33" s="220">
        <f t="shared" si="37"/>
        <v>278.41008579933458</v>
      </c>
      <c r="J33" s="220">
        <f t="shared" si="37"/>
        <v>219.75135703029241</v>
      </c>
      <c r="K33" s="220">
        <f t="shared" si="37"/>
        <v>195.23726142531956</v>
      </c>
      <c r="L33" s="220">
        <f t="shared" si="37"/>
        <v>170.72316582034668</v>
      </c>
      <c r="M33" s="221">
        <f t="shared" si="37"/>
        <v>121.69497461040092</v>
      </c>
      <c r="N33" s="220">
        <f>MIN(N25:N32)</f>
        <v>6.7413762913675344</v>
      </c>
      <c r="O33" s="220">
        <f t="shared" si="37"/>
        <v>6.1547890036771129</v>
      </c>
      <c r="P33" s="220">
        <f t="shared" si="37"/>
        <v>5.5682017159866914</v>
      </c>
      <c r="Q33" s="220">
        <f t="shared" si="37"/>
        <v>4.3950271406058485</v>
      </c>
      <c r="R33" s="220">
        <f t="shared" si="37"/>
        <v>3.9047452285063908</v>
      </c>
      <c r="S33" s="220">
        <f t="shared" si="37"/>
        <v>3.4144633164069336</v>
      </c>
      <c r="T33" s="221">
        <f t="shared" si="37"/>
        <v>2.433899492208019</v>
      </c>
      <c r="U33" s="222">
        <f t="shared" si="37"/>
        <v>0</v>
      </c>
      <c r="V33" s="218"/>
      <c r="W33" s="218"/>
      <c r="X33" s="218"/>
      <c r="Y33" s="220"/>
      <c r="Z33" s="218"/>
      <c r="AA33" s="221"/>
      <c r="AB33" s="220"/>
      <c r="AC33" s="220"/>
      <c r="AD33" s="220"/>
      <c r="AE33" s="220"/>
      <c r="AF33" s="220"/>
      <c r="AG33" s="220"/>
      <c r="AH33" s="220"/>
      <c r="AI33" s="222">
        <f t="shared" si="37"/>
        <v>25</v>
      </c>
      <c r="AJ33" s="218">
        <f t="shared" si="37"/>
        <v>25</v>
      </c>
      <c r="AK33" s="218">
        <f t="shared" si="37"/>
        <v>25</v>
      </c>
      <c r="AL33" s="218">
        <f t="shared" si="37"/>
        <v>25</v>
      </c>
      <c r="AM33" s="218">
        <f t="shared" si="37"/>
        <v>25</v>
      </c>
      <c r="AN33" s="218">
        <f t="shared" si="37"/>
        <v>25</v>
      </c>
      <c r="AO33" s="223">
        <f t="shared" si="37"/>
        <v>25</v>
      </c>
      <c r="AP33" s="865">
        <v>1</v>
      </c>
      <c r="AQ33" s="866"/>
      <c r="AR33" s="866"/>
      <c r="AS33" s="866"/>
      <c r="AT33" s="866"/>
      <c r="AU33" s="866"/>
      <c r="AV33" s="867"/>
      <c r="AW33" s="222">
        <f t="shared" si="37"/>
        <v>3.7</v>
      </c>
      <c r="AX33" s="223">
        <f t="shared" si="37"/>
        <v>2.5</v>
      </c>
      <c r="AY33" s="104"/>
    </row>
    <row r="34" spans="1:51" ht="15" customHeight="1" x14ac:dyDescent="0.3">
      <c r="A34" s="936"/>
      <c r="B34" s="224" t="s">
        <v>268</v>
      </c>
      <c r="C34" s="225"/>
      <c r="D34" s="225"/>
      <c r="E34" s="225"/>
      <c r="F34" s="225"/>
      <c r="G34" s="226">
        <f>MEDIAN(G25:G32)</f>
        <v>539.03256872701797</v>
      </c>
      <c r="H34" s="227">
        <f t="shared" ref="H34:AX34" si="38">MEDIAN(H25:H32)</f>
        <v>464.65397653650848</v>
      </c>
      <c r="I34" s="227">
        <f t="shared" si="38"/>
        <v>400.53538434599892</v>
      </c>
      <c r="J34" s="227">
        <f t="shared" si="38"/>
        <v>324.76819996497983</v>
      </c>
      <c r="K34" s="227">
        <f t="shared" si="38"/>
        <v>298.23662143232355</v>
      </c>
      <c r="L34" s="227">
        <f t="shared" si="38"/>
        <v>271.70504289966732</v>
      </c>
      <c r="M34" s="228">
        <f t="shared" si="38"/>
        <v>218.64188583435472</v>
      </c>
      <c r="N34" s="227">
        <f t="shared" si="38"/>
        <v>11.480651374540361</v>
      </c>
      <c r="O34" s="227">
        <f t="shared" si="38"/>
        <v>9.7215995307301704</v>
      </c>
      <c r="P34" s="227">
        <f t="shared" si="38"/>
        <v>8.8448516869199789</v>
      </c>
      <c r="Q34" s="227">
        <f t="shared" si="38"/>
        <v>7.2508719992995969</v>
      </c>
      <c r="R34" s="227">
        <f t="shared" si="38"/>
        <v>6.7008759286464716</v>
      </c>
      <c r="S34" s="227">
        <f t="shared" si="38"/>
        <v>6.1363508579933459</v>
      </c>
      <c r="T34" s="228">
        <f t="shared" si="38"/>
        <v>4.9903694624409027</v>
      </c>
      <c r="U34" s="229">
        <f t="shared" si="38"/>
        <v>0</v>
      </c>
      <c r="V34" s="225"/>
      <c r="W34" s="225"/>
      <c r="X34" s="225"/>
      <c r="Y34" s="227"/>
      <c r="Z34" s="225"/>
      <c r="AA34" s="228"/>
      <c r="AB34" s="1038"/>
      <c r="AC34" s="1038"/>
      <c r="AD34" s="1038"/>
      <c r="AE34" s="1038"/>
      <c r="AF34" s="1038"/>
      <c r="AG34" s="1038"/>
      <c r="AH34" s="1038"/>
      <c r="AI34" s="229">
        <f t="shared" si="38"/>
        <v>30</v>
      </c>
      <c r="AJ34" s="225">
        <f t="shared" si="38"/>
        <v>31.25</v>
      </c>
      <c r="AK34" s="225">
        <f t="shared" si="38"/>
        <v>32.5</v>
      </c>
      <c r="AL34" s="225">
        <f t="shared" si="38"/>
        <v>32.5</v>
      </c>
      <c r="AM34" s="225">
        <f t="shared" si="38"/>
        <v>32.5</v>
      </c>
      <c r="AN34" s="225">
        <f t="shared" si="38"/>
        <v>32.5</v>
      </c>
      <c r="AO34" s="230">
        <f t="shared" si="38"/>
        <v>32.5</v>
      </c>
      <c r="AP34" s="868"/>
      <c r="AQ34" s="869"/>
      <c r="AR34" s="869"/>
      <c r="AS34" s="869"/>
      <c r="AT34" s="869"/>
      <c r="AU34" s="869"/>
      <c r="AV34" s="870"/>
      <c r="AW34" s="229">
        <f t="shared" si="38"/>
        <v>3.7</v>
      </c>
      <c r="AX34" s="230">
        <f t="shared" si="38"/>
        <v>2.5</v>
      </c>
      <c r="AY34" s="104"/>
    </row>
    <row r="35" spans="1:51" ht="16.2" customHeight="1" x14ac:dyDescent="0.3">
      <c r="A35" s="936"/>
      <c r="B35" s="231" t="s">
        <v>269</v>
      </c>
      <c r="C35" s="232"/>
      <c r="D35" s="232"/>
      <c r="E35" s="232"/>
      <c r="F35" s="232"/>
      <c r="G35" s="226">
        <f>MAX(G25:G32)</f>
        <v>800</v>
      </c>
      <c r="H35" s="227">
        <f t="shared" ref="H35:AX35" si="39">MAX(H25:H32)</f>
        <v>600</v>
      </c>
      <c r="I35" s="227">
        <f t="shared" si="39"/>
        <v>550</v>
      </c>
      <c r="J35" s="227">
        <f t="shared" si="39"/>
        <v>500</v>
      </c>
      <c r="K35" s="227">
        <f t="shared" si="39"/>
        <v>475</v>
      </c>
      <c r="L35" s="227">
        <f t="shared" si="39"/>
        <v>450</v>
      </c>
      <c r="M35" s="228">
        <f t="shared" si="39"/>
        <v>400</v>
      </c>
      <c r="N35" s="233">
        <f t="shared" si="39"/>
        <v>13.3</v>
      </c>
      <c r="O35" s="233">
        <f t="shared" si="39"/>
        <v>12</v>
      </c>
      <c r="P35" s="233">
        <f t="shared" si="39"/>
        <v>12</v>
      </c>
      <c r="Q35" s="233">
        <f t="shared" si="39"/>
        <v>12</v>
      </c>
      <c r="R35" s="227">
        <f t="shared" si="39"/>
        <v>12</v>
      </c>
      <c r="S35" s="233">
        <f t="shared" si="39"/>
        <v>12</v>
      </c>
      <c r="T35" s="228">
        <f t="shared" si="39"/>
        <v>12</v>
      </c>
      <c r="U35" s="234">
        <f t="shared" si="39"/>
        <v>0</v>
      </c>
      <c r="V35" s="232"/>
      <c r="W35" s="232"/>
      <c r="X35" s="232"/>
      <c r="Y35" s="227"/>
      <c r="Z35" s="232"/>
      <c r="AA35" s="228"/>
      <c r="AB35" s="1038"/>
      <c r="AC35" s="1038"/>
      <c r="AD35" s="1038"/>
      <c r="AE35" s="1038"/>
      <c r="AF35" s="1038"/>
      <c r="AG35" s="1038"/>
      <c r="AH35" s="1038"/>
      <c r="AI35" s="234">
        <f t="shared" si="39"/>
        <v>35</v>
      </c>
      <c r="AJ35" s="232">
        <f t="shared" si="39"/>
        <v>37.5</v>
      </c>
      <c r="AK35" s="232">
        <f t="shared" si="39"/>
        <v>40</v>
      </c>
      <c r="AL35" s="232">
        <f t="shared" si="39"/>
        <v>40</v>
      </c>
      <c r="AM35" s="232">
        <f t="shared" si="39"/>
        <v>40</v>
      </c>
      <c r="AN35" s="232">
        <f t="shared" si="39"/>
        <v>40</v>
      </c>
      <c r="AO35" s="235">
        <f t="shared" si="39"/>
        <v>40</v>
      </c>
      <c r="AP35" s="868"/>
      <c r="AQ35" s="869"/>
      <c r="AR35" s="869"/>
      <c r="AS35" s="869"/>
      <c r="AT35" s="869"/>
      <c r="AU35" s="869"/>
      <c r="AV35" s="870"/>
      <c r="AW35" s="234">
        <f t="shared" si="39"/>
        <v>3.7</v>
      </c>
      <c r="AX35" s="235">
        <f t="shared" si="39"/>
        <v>2.5</v>
      </c>
      <c r="AY35" s="104"/>
    </row>
    <row r="36" spans="1:51" x14ac:dyDescent="0.3">
      <c r="A36" s="936"/>
      <c r="B36" s="919" t="s">
        <v>274</v>
      </c>
      <c r="C36" s="236">
        <v>4</v>
      </c>
      <c r="D36" s="236" t="s">
        <v>31</v>
      </c>
      <c r="E36" s="236">
        <v>2022</v>
      </c>
      <c r="F36" s="237" t="s">
        <v>19</v>
      </c>
      <c r="G36" s="238">
        <v>957.47</v>
      </c>
      <c r="H36" s="239">
        <v>797.07</v>
      </c>
      <c r="I36" s="239">
        <v>636.66</v>
      </c>
      <c r="J36" s="239">
        <f>525.16</f>
        <v>525.16</v>
      </c>
      <c r="K36" s="239">
        <v>500.27</v>
      </c>
      <c r="L36" s="239">
        <f>475.38</f>
        <v>475.38</v>
      </c>
      <c r="M36" s="95">
        <f>K36+((L36-K36)/(2050-2045))*(2060-2045)</f>
        <v>425.6</v>
      </c>
      <c r="N36" s="239">
        <f>G36*0.0115</f>
        <v>11.010904999999999</v>
      </c>
      <c r="O36" s="239">
        <f>H36*0.0126</f>
        <v>10.043082</v>
      </c>
      <c r="P36" s="239">
        <f>I36*0.0142</f>
        <v>9.0405720000000009</v>
      </c>
      <c r="Q36" s="239">
        <f>J36*0.0156</f>
        <v>8.1924959999999984</v>
      </c>
      <c r="R36" s="239">
        <f>K36*0.0158</f>
        <v>7.9042660000000007</v>
      </c>
      <c r="S36" s="239">
        <f>L36*0.0161</f>
        <v>7.6536179999999998</v>
      </c>
      <c r="T36" s="95">
        <f>R36+((S36-R36)/(2050-2045))*(2060-2045)</f>
        <v>7.1523219999999981</v>
      </c>
      <c r="U36" s="240"/>
      <c r="V36" s="236"/>
      <c r="W36" s="236"/>
      <c r="X36" s="236"/>
      <c r="Y36" s="239"/>
      <c r="Z36" s="236"/>
      <c r="AA36" s="241"/>
      <c r="AB36" s="239"/>
      <c r="AC36" s="239"/>
      <c r="AD36" s="239"/>
      <c r="AE36" s="239"/>
      <c r="AF36" s="239"/>
      <c r="AG36" s="239"/>
      <c r="AH36" s="239"/>
      <c r="AI36" s="240">
        <v>35</v>
      </c>
      <c r="AJ36" s="236">
        <v>37.5</v>
      </c>
      <c r="AK36" s="236">
        <v>40</v>
      </c>
      <c r="AL36" s="236">
        <v>40</v>
      </c>
      <c r="AM36" s="242">
        <v>40</v>
      </c>
      <c r="AN36" s="236">
        <v>40</v>
      </c>
      <c r="AO36" s="103">
        <v>40</v>
      </c>
      <c r="AP36" s="921">
        <v>1</v>
      </c>
      <c r="AQ36" s="922"/>
      <c r="AR36" s="922"/>
      <c r="AS36" s="922"/>
      <c r="AT36" s="922"/>
      <c r="AU36" s="922"/>
      <c r="AV36" s="923"/>
      <c r="AW36" s="240"/>
      <c r="AX36" s="30"/>
      <c r="AY36" s="104" t="s">
        <v>275</v>
      </c>
    </row>
    <row r="37" spans="1:51" ht="15" customHeight="1" x14ac:dyDescent="0.3">
      <c r="A37" s="936"/>
      <c r="B37" s="939"/>
      <c r="C37" s="243">
        <v>8</v>
      </c>
      <c r="D37" s="243" t="s">
        <v>45</v>
      </c>
      <c r="E37" s="243">
        <v>2021</v>
      </c>
      <c r="F37" s="237" t="s">
        <v>19</v>
      </c>
      <c r="G37" s="244">
        <v>1000</v>
      </c>
      <c r="H37" s="245"/>
      <c r="I37" s="245"/>
      <c r="J37" s="245"/>
      <c r="K37" s="245"/>
      <c r="L37" s="245"/>
      <c r="M37" s="246"/>
      <c r="N37" s="245">
        <v>26</v>
      </c>
      <c r="O37" s="245"/>
      <c r="P37" s="245"/>
      <c r="Q37" s="245"/>
      <c r="R37" s="245"/>
      <c r="S37" s="245"/>
      <c r="T37" s="246"/>
      <c r="U37" s="247">
        <v>0</v>
      </c>
      <c r="V37" s="243"/>
      <c r="W37" s="243"/>
      <c r="X37" s="243"/>
      <c r="Y37" s="245"/>
      <c r="Z37" s="243"/>
      <c r="AA37" s="246"/>
      <c r="AB37" s="1027"/>
      <c r="AC37" s="1027"/>
      <c r="AD37" s="1027"/>
      <c r="AE37" s="1027"/>
      <c r="AF37" s="1027"/>
      <c r="AG37" s="1027"/>
      <c r="AH37" s="1027"/>
      <c r="AI37" s="247">
        <v>30</v>
      </c>
      <c r="AJ37" s="243"/>
      <c r="AK37" s="243"/>
      <c r="AL37" s="243"/>
      <c r="AM37" s="245"/>
      <c r="AN37" s="243"/>
      <c r="AO37" s="246"/>
      <c r="AP37" s="924"/>
      <c r="AQ37" s="925"/>
      <c r="AR37" s="925"/>
      <c r="AS37" s="925"/>
      <c r="AT37" s="925"/>
      <c r="AU37" s="925"/>
      <c r="AV37" s="926"/>
      <c r="AW37" s="247">
        <v>3.4</v>
      </c>
      <c r="AX37" s="33">
        <v>2.2000000000000002</v>
      </c>
      <c r="AY37" s="104" t="s">
        <v>276</v>
      </c>
    </row>
    <row r="38" spans="1:51" ht="16.2" customHeight="1" x14ac:dyDescent="0.3">
      <c r="A38" s="936"/>
      <c r="B38" s="920"/>
      <c r="C38" s="248">
        <v>8</v>
      </c>
      <c r="D38" s="248" t="s">
        <v>45</v>
      </c>
      <c r="E38" s="248">
        <v>2021</v>
      </c>
      <c r="F38" s="237" t="s">
        <v>19</v>
      </c>
      <c r="G38" s="244">
        <v>1600</v>
      </c>
      <c r="H38" s="245"/>
      <c r="I38" s="245"/>
      <c r="J38" s="245"/>
      <c r="K38" s="245"/>
      <c r="L38" s="245"/>
      <c r="M38" s="246"/>
      <c r="N38" s="249">
        <v>26</v>
      </c>
      <c r="O38" s="249"/>
      <c r="P38" s="249"/>
      <c r="Q38" s="249"/>
      <c r="R38" s="245"/>
      <c r="S38" s="249"/>
      <c r="T38" s="246"/>
      <c r="U38" s="250">
        <v>0</v>
      </c>
      <c r="V38" s="248"/>
      <c r="W38" s="248"/>
      <c r="X38" s="248"/>
      <c r="Y38" s="245"/>
      <c r="Z38" s="248"/>
      <c r="AA38" s="246"/>
      <c r="AB38" s="1027"/>
      <c r="AC38" s="1027"/>
      <c r="AD38" s="1027"/>
      <c r="AE38" s="1027"/>
      <c r="AF38" s="1027"/>
      <c r="AG38" s="1027"/>
      <c r="AH38" s="1027"/>
      <c r="AI38" s="250">
        <v>30</v>
      </c>
      <c r="AJ38" s="248"/>
      <c r="AK38" s="248"/>
      <c r="AL38" s="248"/>
      <c r="AM38" s="245"/>
      <c r="AN38" s="248"/>
      <c r="AO38" s="246"/>
      <c r="AP38" s="924"/>
      <c r="AQ38" s="925"/>
      <c r="AR38" s="925"/>
      <c r="AS38" s="925"/>
      <c r="AT38" s="925"/>
      <c r="AU38" s="925"/>
      <c r="AV38" s="926"/>
      <c r="AW38" s="250">
        <v>3.4</v>
      </c>
      <c r="AX38" s="36">
        <v>2.2000000000000002</v>
      </c>
      <c r="AY38" s="104" t="s">
        <v>277</v>
      </c>
    </row>
    <row r="39" spans="1:51" x14ac:dyDescent="0.3">
      <c r="A39" s="936"/>
      <c r="B39" s="251" t="s">
        <v>267</v>
      </c>
      <c r="C39" s="252"/>
      <c r="D39" s="252"/>
      <c r="E39" s="252"/>
      <c r="F39" s="252"/>
      <c r="G39" s="253">
        <f>MIN(G36:G38)</f>
        <v>957.47</v>
      </c>
      <c r="H39" s="254">
        <f t="shared" ref="H39:AO39" si="40">MIN(H36:H38)</f>
        <v>797.07</v>
      </c>
      <c r="I39" s="254">
        <f t="shared" si="40"/>
        <v>636.66</v>
      </c>
      <c r="J39" s="254">
        <f t="shared" si="40"/>
        <v>525.16</v>
      </c>
      <c r="K39" s="254">
        <f t="shared" si="40"/>
        <v>500.27</v>
      </c>
      <c r="L39" s="254">
        <f t="shared" si="40"/>
        <v>475.38</v>
      </c>
      <c r="M39" s="255">
        <f t="shared" si="40"/>
        <v>425.6</v>
      </c>
      <c r="N39" s="254">
        <f t="shared" si="40"/>
        <v>11.010904999999999</v>
      </c>
      <c r="O39" s="254">
        <f t="shared" si="40"/>
        <v>10.043082</v>
      </c>
      <c r="P39" s="254">
        <f t="shared" si="40"/>
        <v>9.0405720000000009</v>
      </c>
      <c r="Q39" s="254">
        <f t="shared" si="40"/>
        <v>8.1924959999999984</v>
      </c>
      <c r="R39" s="254">
        <f t="shared" si="40"/>
        <v>7.9042660000000007</v>
      </c>
      <c r="S39" s="254">
        <f t="shared" si="40"/>
        <v>7.6536179999999998</v>
      </c>
      <c r="T39" s="255">
        <f t="shared" si="40"/>
        <v>7.1523219999999981</v>
      </c>
      <c r="U39" s="256">
        <f t="shared" si="40"/>
        <v>0</v>
      </c>
      <c r="V39" s="252"/>
      <c r="W39" s="252"/>
      <c r="X39" s="252"/>
      <c r="Y39" s="254"/>
      <c r="Z39" s="252"/>
      <c r="AA39" s="255"/>
      <c r="AB39" s="254"/>
      <c r="AC39" s="254"/>
      <c r="AD39" s="254"/>
      <c r="AE39" s="254"/>
      <c r="AF39" s="254"/>
      <c r="AG39" s="254"/>
      <c r="AH39" s="254"/>
      <c r="AI39" s="256">
        <f t="shared" si="40"/>
        <v>30</v>
      </c>
      <c r="AJ39" s="252">
        <f t="shared" si="40"/>
        <v>37.5</v>
      </c>
      <c r="AK39" s="252">
        <f t="shared" si="40"/>
        <v>40</v>
      </c>
      <c r="AL39" s="252">
        <f t="shared" si="40"/>
        <v>40</v>
      </c>
      <c r="AM39" s="257">
        <f t="shared" si="40"/>
        <v>40</v>
      </c>
      <c r="AN39" s="257">
        <f t="shared" si="40"/>
        <v>40</v>
      </c>
      <c r="AO39" s="258">
        <f t="shared" si="40"/>
        <v>40</v>
      </c>
      <c r="AP39" s="927">
        <v>1</v>
      </c>
      <c r="AQ39" s="928"/>
      <c r="AR39" s="928"/>
      <c r="AS39" s="928"/>
      <c r="AT39" s="928"/>
      <c r="AU39" s="928"/>
      <c r="AV39" s="929"/>
      <c r="AW39" s="256">
        <f>MIN(AW36:AW38)</f>
        <v>3.4</v>
      </c>
      <c r="AX39" s="259">
        <f>MIN(AX36:AX38)</f>
        <v>2.2000000000000002</v>
      </c>
      <c r="AY39" s="104"/>
    </row>
    <row r="40" spans="1:51" x14ac:dyDescent="0.3">
      <c r="A40" s="936"/>
      <c r="B40" s="260" t="s">
        <v>268</v>
      </c>
      <c r="C40" s="261"/>
      <c r="D40" s="261"/>
      <c r="E40" s="261"/>
      <c r="F40" s="261"/>
      <c r="G40" s="262">
        <f>MEDIAN(G36:G38)</f>
        <v>1000</v>
      </c>
      <c r="H40" s="263">
        <f t="shared" ref="H40:AO40" si="41">MEDIAN(H36:H38)</f>
        <v>797.07</v>
      </c>
      <c r="I40" s="263">
        <f t="shared" si="41"/>
        <v>636.66</v>
      </c>
      <c r="J40" s="263">
        <f t="shared" si="41"/>
        <v>525.16</v>
      </c>
      <c r="K40" s="263">
        <f t="shared" si="41"/>
        <v>500.27</v>
      </c>
      <c r="L40" s="263">
        <f t="shared" si="41"/>
        <v>475.38</v>
      </c>
      <c r="M40" s="264">
        <f t="shared" si="41"/>
        <v>425.6</v>
      </c>
      <c r="N40" s="263">
        <f t="shared" si="41"/>
        <v>26</v>
      </c>
      <c r="O40" s="263">
        <f t="shared" si="41"/>
        <v>10.043082</v>
      </c>
      <c r="P40" s="263">
        <f t="shared" si="41"/>
        <v>9.0405720000000009</v>
      </c>
      <c r="Q40" s="263">
        <f t="shared" si="41"/>
        <v>8.1924959999999984</v>
      </c>
      <c r="R40" s="263">
        <f t="shared" si="41"/>
        <v>7.9042660000000007</v>
      </c>
      <c r="S40" s="263">
        <f t="shared" si="41"/>
        <v>7.6536179999999998</v>
      </c>
      <c r="T40" s="264">
        <f t="shared" si="41"/>
        <v>7.1523219999999981</v>
      </c>
      <c r="U40" s="265">
        <f t="shared" si="41"/>
        <v>0</v>
      </c>
      <c r="V40" s="261"/>
      <c r="W40" s="261"/>
      <c r="X40" s="261"/>
      <c r="Y40" s="263"/>
      <c r="Z40" s="261"/>
      <c r="AA40" s="264"/>
      <c r="AB40" s="1039"/>
      <c r="AC40" s="1039"/>
      <c r="AD40" s="1039"/>
      <c r="AE40" s="1039"/>
      <c r="AF40" s="1039"/>
      <c r="AG40" s="1039"/>
      <c r="AH40" s="1039"/>
      <c r="AI40" s="265">
        <f t="shared" si="41"/>
        <v>30</v>
      </c>
      <c r="AJ40" s="261">
        <f t="shared" si="41"/>
        <v>37.5</v>
      </c>
      <c r="AK40" s="261">
        <f t="shared" si="41"/>
        <v>40</v>
      </c>
      <c r="AL40" s="261">
        <f t="shared" si="41"/>
        <v>40</v>
      </c>
      <c r="AM40" s="266">
        <f t="shared" si="41"/>
        <v>40</v>
      </c>
      <c r="AN40" s="266">
        <f t="shared" si="41"/>
        <v>40</v>
      </c>
      <c r="AO40" s="267">
        <f t="shared" si="41"/>
        <v>40</v>
      </c>
      <c r="AP40" s="930"/>
      <c r="AQ40" s="931"/>
      <c r="AR40" s="931"/>
      <c r="AS40" s="931"/>
      <c r="AT40" s="931"/>
      <c r="AU40" s="931"/>
      <c r="AV40" s="932"/>
      <c r="AW40" s="265">
        <f>MEDIAN(AW36:AW38)</f>
        <v>3.4</v>
      </c>
      <c r="AX40" s="268">
        <f>MEDIAN(AX36:AX38)</f>
        <v>2.2000000000000002</v>
      </c>
      <c r="AY40" s="104"/>
    </row>
    <row r="41" spans="1:51" x14ac:dyDescent="0.3">
      <c r="A41" s="936"/>
      <c r="B41" s="269" t="s">
        <v>269</v>
      </c>
      <c r="C41" s="261"/>
      <c r="D41" s="261"/>
      <c r="E41" s="261"/>
      <c r="F41" s="261"/>
      <c r="G41" s="270">
        <f>MAX(G36:G38)</f>
        <v>1600</v>
      </c>
      <c r="H41" s="271">
        <f t="shared" ref="H41:AO41" si="42">MAX(H36:H38)</f>
        <v>797.07</v>
      </c>
      <c r="I41" s="271">
        <f t="shared" si="42"/>
        <v>636.66</v>
      </c>
      <c r="J41" s="271">
        <f>MAX(J36:J38)</f>
        <v>525.16</v>
      </c>
      <c r="K41" s="271">
        <f t="shared" si="42"/>
        <v>500.27</v>
      </c>
      <c r="L41" s="271">
        <f t="shared" si="42"/>
        <v>475.38</v>
      </c>
      <c r="M41" s="272">
        <f t="shared" si="42"/>
        <v>425.6</v>
      </c>
      <c r="N41" s="271">
        <f t="shared" si="42"/>
        <v>26</v>
      </c>
      <c r="O41" s="271">
        <f t="shared" si="42"/>
        <v>10.043082</v>
      </c>
      <c r="P41" s="271">
        <f t="shared" si="42"/>
        <v>9.0405720000000009</v>
      </c>
      <c r="Q41" s="271">
        <f t="shared" si="42"/>
        <v>8.1924959999999984</v>
      </c>
      <c r="R41" s="271">
        <f t="shared" si="42"/>
        <v>7.9042660000000007</v>
      </c>
      <c r="S41" s="271">
        <f t="shared" si="42"/>
        <v>7.6536179999999998</v>
      </c>
      <c r="T41" s="272">
        <f t="shared" si="42"/>
        <v>7.1523219999999981</v>
      </c>
      <c r="U41" s="273">
        <f t="shared" si="42"/>
        <v>0</v>
      </c>
      <c r="V41" s="274"/>
      <c r="W41" s="274"/>
      <c r="X41" s="274"/>
      <c r="Y41" s="271"/>
      <c r="Z41" s="274"/>
      <c r="AA41" s="272"/>
      <c r="AB41" s="271"/>
      <c r="AC41" s="271"/>
      <c r="AD41" s="271"/>
      <c r="AE41" s="271"/>
      <c r="AF41" s="271"/>
      <c r="AG41" s="271"/>
      <c r="AH41" s="271"/>
      <c r="AI41" s="273">
        <f t="shared" si="42"/>
        <v>35</v>
      </c>
      <c r="AJ41" s="274">
        <f t="shared" si="42"/>
        <v>37.5</v>
      </c>
      <c r="AK41" s="274">
        <f t="shared" si="42"/>
        <v>40</v>
      </c>
      <c r="AL41" s="274">
        <f t="shared" si="42"/>
        <v>40</v>
      </c>
      <c r="AM41" s="275">
        <f t="shared" si="42"/>
        <v>40</v>
      </c>
      <c r="AN41" s="275">
        <f t="shared" si="42"/>
        <v>40</v>
      </c>
      <c r="AO41" s="276">
        <f t="shared" si="42"/>
        <v>40</v>
      </c>
      <c r="AP41" s="940"/>
      <c r="AQ41" s="941"/>
      <c r="AR41" s="941"/>
      <c r="AS41" s="941"/>
      <c r="AT41" s="941"/>
      <c r="AU41" s="941"/>
      <c r="AV41" s="942"/>
      <c r="AW41" s="273">
        <f>MAX(AW36:AW38)</f>
        <v>3.4</v>
      </c>
      <c r="AX41" s="277">
        <f>MAX(AX36:AX38)</f>
        <v>2.2000000000000002</v>
      </c>
      <c r="AY41" s="104"/>
    </row>
    <row r="42" spans="1:51" ht="15" customHeight="1" x14ac:dyDescent="0.3">
      <c r="A42" s="936"/>
      <c r="B42" s="943" t="s">
        <v>24</v>
      </c>
      <c r="C42" s="278">
        <v>4</v>
      </c>
      <c r="D42" s="279" t="s">
        <v>31</v>
      </c>
      <c r="E42" s="279">
        <v>2022</v>
      </c>
      <c r="F42" s="280" t="s">
        <v>19</v>
      </c>
      <c r="G42" s="281">
        <f>3845.51</f>
        <v>3845.51</v>
      </c>
      <c r="H42" s="281">
        <v>3845.51</v>
      </c>
      <c r="I42" s="281">
        <v>3845.51</v>
      </c>
      <c r="J42" s="281">
        <v>3845.51</v>
      </c>
      <c r="K42" s="281">
        <v>3845.51</v>
      </c>
      <c r="L42" s="281">
        <v>3845.51</v>
      </c>
      <c r="M42" s="95">
        <v>3845.51</v>
      </c>
      <c r="N42" s="281">
        <f t="shared" ref="N42:Q43" si="43">G42*0.016</f>
        <v>61.528160000000007</v>
      </c>
      <c r="O42" s="281">
        <f t="shared" si="43"/>
        <v>61.528160000000007</v>
      </c>
      <c r="P42" s="281">
        <f t="shared" si="43"/>
        <v>61.528160000000007</v>
      </c>
      <c r="Q42" s="281">
        <f t="shared" si="43"/>
        <v>61.528160000000007</v>
      </c>
      <c r="R42" s="282">
        <v>61.53</v>
      </c>
      <c r="S42" s="281">
        <f t="shared" ref="S42:S43" si="44">L42*0.016</f>
        <v>61.528160000000007</v>
      </c>
      <c r="T42" s="283">
        <v>61.53</v>
      </c>
      <c r="U42" s="284">
        <f t="shared" ref="U42:AA43" si="45">3.5*0.001</f>
        <v>3.5000000000000001E-3</v>
      </c>
      <c r="V42" s="285">
        <f t="shared" si="45"/>
        <v>3.5000000000000001E-3</v>
      </c>
      <c r="W42" s="285">
        <f t="shared" si="45"/>
        <v>3.5000000000000001E-3</v>
      </c>
      <c r="X42" s="285">
        <f t="shared" si="45"/>
        <v>3.5000000000000001E-3</v>
      </c>
      <c r="Y42" s="285">
        <f t="shared" si="45"/>
        <v>3.5000000000000001E-3</v>
      </c>
      <c r="Z42" s="285">
        <f t="shared" si="45"/>
        <v>3.5000000000000001E-3</v>
      </c>
      <c r="AA42" s="286">
        <f t="shared" si="45"/>
        <v>3.5000000000000001E-3</v>
      </c>
      <c r="AB42" s="286"/>
      <c r="AC42" s="286"/>
      <c r="AD42" s="286"/>
      <c r="AE42" s="286"/>
      <c r="AF42" s="286"/>
      <c r="AG42" s="286"/>
      <c r="AH42" s="286"/>
      <c r="AI42" s="278">
        <v>40</v>
      </c>
      <c r="AJ42" s="279">
        <v>40</v>
      </c>
      <c r="AK42" s="279">
        <v>40</v>
      </c>
      <c r="AL42" s="279">
        <v>40</v>
      </c>
      <c r="AM42" s="279">
        <v>40</v>
      </c>
      <c r="AN42" s="279">
        <v>40</v>
      </c>
      <c r="AO42" s="287">
        <v>40</v>
      </c>
      <c r="AP42" s="288">
        <v>33</v>
      </c>
      <c r="AQ42" s="288">
        <v>33</v>
      </c>
      <c r="AR42" s="288">
        <v>33</v>
      </c>
      <c r="AS42" s="288">
        <v>33</v>
      </c>
      <c r="AT42" s="288">
        <v>33</v>
      </c>
      <c r="AU42" s="288">
        <v>33</v>
      </c>
      <c r="AV42" s="118">
        <v>33</v>
      </c>
      <c r="AW42" s="278"/>
      <c r="AX42" s="7"/>
      <c r="AY42" s="104" t="s">
        <v>278</v>
      </c>
    </row>
    <row r="43" spans="1:51" ht="15" customHeight="1" x14ac:dyDescent="0.3">
      <c r="A43" s="936"/>
      <c r="B43" s="944"/>
      <c r="C43" s="289">
        <v>4</v>
      </c>
      <c r="D43" s="290" t="s">
        <v>31</v>
      </c>
      <c r="E43" s="290">
        <v>2022</v>
      </c>
      <c r="F43" s="291" t="s">
        <v>19</v>
      </c>
      <c r="G43" s="282">
        <v>3845.51</v>
      </c>
      <c r="H43" s="282">
        <v>3845.51</v>
      </c>
      <c r="I43" s="282">
        <v>3845.51</v>
      </c>
      <c r="J43" s="282">
        <v>3845.51</v>
      </c>
      <c r="K43" s="282">
        <v>3845.51</v>
      </c>
      <c r="L43" s="282">
        <v>3845.51</v>
      </c>
      <c r="M43" s="109">
        <v>3845.51</v>
      </c>
      <c r="N43" s="282">
        <f t="shared" si="43"/>
        <v>61.528160000000007</v>
      </c>
      <c r="O43" s="282">
        <f t="shared" si="43"/>
        <v>61.528160000000007</v>
      </c>
      <c r="P43" s="282">
        <f t="shared" si="43"/>
        <v>61.528160000000007</v>
      </c>
      <c r="Q43" s="282">
        <f t="shared" si="43"/>
        <v>61.528160000000007</v>
      </c>
      <c r="R43" s="282">
        <v>62.53</v>
      </c>
      <c r="S43" s="282">
        <f t="shared" si="44"/>
        <v>61.528160000000007</v>
      </c>
      <c r="T43" s="292">
        <v>61.53</v>
      </c>
      <c r="U43" s="293">
        <f t="shared" si="45"/>
        <v>3.5000000000000001E-3</v>
      </c>
      <c r="V43" s="294">
        <f t="shared" si="45"/>
        <v>3.5000000000000001E-3</v>
      </c>
      <c r="W43" s="294">
        <f t="shared" si="45"/>
        <v>3.5000000000000001E-3</v>
      </c>
      <c r="X43" s="294">
        <f t="shared" si="45"/>
        <v>3.5000000000000001E-3</v>
      </c>
      <c r="Y43" s="294">
        <f t="shared" si="45"/>
        <v>3.5000000000000001E-3</v>
      </c>
      <c r="Z43" s="294">
        <f t="shared" si="45"/>
        <v>3.5000000000000001E-3</v>
      </c>
      <c r="AA43" s="295">
        <f t="shared" si="45"/>
        <v>3.5000000000000001E-3</v>
      </c>
      <c r="AB43" s="295"/>
      <c r="AC43" s="295"/>
      <c r="AD43" s="295"/>
      <c r="AE43" s="295"/>
      <c r="AF43" s="295"/>
      <c r="AG43" s="295"/>
      <c r="AH43" s="295"/>
      <c r="AI43" s="289">
        <v>40</v>
      </c>
      <c r="AJ43" s="290">
        <v>40</v>
      </c>
      <c r="AK43" s="290">
        <v>40</v>
      </c>
      <c r="AL43" s="290">
        <v>40</v>
      </c>
      <c r="AM43" s="290">
        <v>40</v>
      </c>
      <c r="AN43" s="290">
        <v>40</v>
      </c>
      <c r="AO43" s="296">
        <v>40</v>
      </c>
      <c r="AP43" s="288">
        <v>33</v>
      </c>
      <c r="AQ43" s="288">
        <v>33</v>
      </c>
      <c r="AR43" s="288">
        <v>33</v>
      </c>
      <c r="AS43" s="288">
        <v>33</v>
      </c>
      <c r="AT43" s="288">
        <v>33</v>
      </c>
      <c r="AU43" s="288">
        <v>33</v>
      </c>
      <c r="AV43" s="118">
        <v>33</v>
      </c>
      <c r="AW43" s="289"/>
      <c r="AX43" s="11"/>
      <c r="AY43" s="104" t="s">
        <v>279</v>
      </c>
    </row>
    <row r="44" spans="1:51" ht="16.2" customHeight="1" x14ac:dyDescent="0.3">
      <c r="A44" s="936"/>
      <c r="B44" s="944"/>
      <c r="C44" s="289">
        <v>8</v>
      </c>
      <c r="D44" s="290" t="s">
        <v>45</v>
      </c>
      <c r="E44" s="290">
        <v>2021</v>
      </c>
      <c r="F44" s="291" t="s">
        <v>19</v>
      </c>
      <c r="G44" s="282">
        <f>1600</f>
        <v>1600</v>
      </c>
      <c r="H44" s="107">
        <f>1600</f>
        <v>1600</v>
      </c>
      <c r="I44" s="107">
        <f>1600</f>
        <v>1600</v>
      </c>
      <c r="J44" s="107">
        <f>1600</f>
        <v>1600</v>
      </c>
      <c r="K44" s="107">
        <f>1600</f>
        <v>1600</v>
      </c>
      <c r="L44" s="107">
        <f>1600</f>
        <v>1600</v>
      </c>
      <c r="M44" s="109">
        <f>1600</f>
        <v>1600</v>
      </c>
      <c r="N44" s="282">
        <v>32</v>
      </c>
      <c r="O44" s="107">
        <v>32</v>
      </c>
      <c r="P44" s="107">
        <v>32</v>
      </c>
      <c r="Q44" s="107">
        <v>32</v>
      </c>
      <c r="R44" s="107">
        <v>32</v>
      </c>
      <c r="S44" s="107">
        <v>32</v>
      </c>
      <c r="T44" s="107">
        <v>32</v>
      </c>
      <c r="U44" s="293">
        <f t="shared" ref="U44:AA45" si="46">0.0045</f>
        <v>4.4999999999999997E-3</v>
      </c>
      <c r="V44" s="295">
        <f t="shared" si="46"/>
        <v>4.4999999999999997E-3</v>
      </c>
      <c r="W44" s="295">
        <f t="shared" si="46"/>
        <v>4.4999999999999997E-3</v>
      </c>
      <c r="X44" s="295">
        <f t="shared" si="46"/>
        <v>4.4999999999999997E-3</v>
      </c>
      <c r="Y44" s="295">
        <f t="shared" si="46"/>
        <v>4.4999999999999997E-3</v>
      </c>
      <c r="Z44" s="295">
        <f t="shared" si="46"/>
        <v>4.4999999999999997E-3</v>
      </c>
      <c r="AA44" s="295">
        <f t="shared" si="46"/>
        <v>4.4999999999999997E-3</v>
      </c>
      <c r="AB44" s="295"/>
      <c r="AC44" s="295"/>
      <c r="AD44" s="295"/>
      <c r="AE44" s="295"/>
      <c r="AF44" s="295"/>
      <c r="AG44" s="295"/>
      <c r="AH44" s="295"/>
      <c r="AI44" s="289">
        <v>40</v>
      </c>
      <c r="AJ44" s="297">
        <v>40</v>
      </c>
      <c r="AK44" s="297">
        <v>40</v>
      </c>
      <c r="AL44" s="297">
        <v>40</v>
      </c>
      <c r="AM44" s="297">
        <v>40</v>
      </c>
      <c r="AN44" s="297">
        <v>40</v>
      </c>
      <c r="AO44" s="296">
        <v>40</v>
      </c>
      <c r="AP44" s="288">
        <v>45</v>
      </c>
      <c r="AQ44" s="282"/>
      <c r="AR44" s="282"/>
      <c r="AS44" s="282"/>
      <c r="AT44" s="282"/>
      <c r="AU44" s="282"/>
      <c r="AV44" s="298"/>
      <c r="AW44" s="289">
        <v>7.4</v>
      </c>
      <c r="AX44" s="11">
        <v>6.2</v>
      </c>
      <c r="AY44" s="104" t="s">
        <v>280</v>
      </c>
    </row>
    <row r="45" spans="1:51" x14ac:dyDescent="0.3">
      <c r="A45" s="936"/>
      <c r="B45" s="944"/>
      <c r="C45" s="289">
        <v>8</v>
      </c>
      <c r="D45" s="290" t="s">
        <v>45</v>
      </c>
      <c r="E45" s="290">
        <v>2021</v>
      </c>
      <c r="F45" s="291" t="s">
        <v>19</v>
      </c>
      <c r="G45" s="282">
        <f>2200</f>
        <v>2200</v>
      </c>
      <c r="H45" s="107">
        <f>2200</f>
        <v>2200</v>
      </c>
      <c r="I45" s="107">
        <f>2200</f>
        <v>2200</v>
      </c>
      <c r="J45" s="107">
        <f>2200</f>
        <v>2200</v>
      </c>
      <c r="K45" s="107">
        <f>2200</f>
        <v>2200</v>
      </c>
      <c r="L45" s="107">
        <f>2200</f>
        <v>2200</v>
      </c>
      <c r="M45" s="109">
        <f>2200</f>
        <v>2200</v>
      </c>
      <c r="N45" s="282">
        <v>32</v>
      </c>
      <c r="O45" s="107">
        <v>32</v>
      </c>
      <c r="P45" s="107">
        <v>32</v>
      </c>
      <c r="Q45" s="107">
        <v>32</v>
      </c>
      <c r="R45" s="107">
        <v>32</v>
      </c>
      <c r="S45" s="107">
        <v>32</v>
      </c>
      <c r="T45" s="107">
        <v>32</v>
      </c>
      <c r="U45" s="293">
        <f t="shared" si="46"/>
        <v>4.4999999999999997E-3</v>
      </c>
      <c r="V45" s="295">
        <f t="shared" si="46"/>
        <v>4.4999999999999997E-3</v>
      </c>
      <c r="W45" s="295">
        <f t="shared" si="46"/>
        <v>4.4999999999999997E-3</v>
      </c>
      <c r="X45" s="295">
        <f t="shared" si="46"/>
        <v>4.4999999999999997E-3</v>
      </c>
      <c r="Y45" s="295">
        <f t="shared" si="46"/>
        <v>4.4999999999999997E-3</v>
      </c>
      <c r="Z45" s="295">
        <f t="shared" si="46"/>
        <v>4.4999999999999997E-3</v>
      </c>
      <c r="AA45" s="295">
        <f t="shared" si="46"/>
        <v>4.4999999999999997E-3</v>
      </c>
      <c r="AB45" s="295"/>
      <c r="AC45" s="295"/>
      <c r="AD45" s="295"/>
      <c r="AE45" s="295"/>
      <c r="AF45" s="295"/>
      <c r="AG45" s="295"/>
      <c r="AH45" s="295"/>
      <c r="AI45" s="289">
        <v>40</v>
      </c>
      <c r="AJ45" s="297">
        <v>40</v>
      </c>
      <c r="AK45" s="297">
        <v>40</v>
      </c>
      <c r="AL45" s="297">
        <v>40</v>
      </c>
      <c r="AM45" s="297">
        <v>40</v>
      </c>
      <c r="AN45" s="297">
        <v>40</v>
      </c>
      <c r="AO45" s="296">
        <v>40</v>
      </c>
      <c r="AP45" s="288">
        <v>45</v>
      </c>
      <c r="AQ45" s="282"/>
      <c r="AR45" s="282"/>
      <c r="AS45" s="282"/>
      <c r="AT45" s="282"/>
      <c r="AU45" s="282"/>
      <c r="AV45" s="298"/>
      <c r="AW45" s="289">
        <v>7.4</v>
      </c>
      <c r="AX45" s="11">
        <v>6.2</v>
      </c>
      <c r="AY45" s="104" t="s">
        <v>281</v>
      </c>
    </row>
    <row r="46" spans="1:51" x14ac:dyDescent="0.3">
      <c r="A46" s="936"/>
      <c r="B46" s="944"/>
      <c r="C46" s="289">
        <v>8</v>
      </c>
      <c r="D46" s="290" t="s">
        <v>45</v>
      </c>
      <c r="E46" s="290">
        <v>2021</v>
      </c>
      <c r="F46" s="291" t="s">
        <v>19</v>
      </c>
      <c r="G46" s="282">
        <f>1500</f>
        <v>1500</v>
      </c>
      <c r="H46" s="107">
        <f>1500</f>
        <v>1500</v>
      </c>
      <c r="I46" s="107">
        <f>1500</f>
        <v>1500</v>
      </c>
      <c r="J46" s="107">
        <f>1500</f>
        <v>1500</v>
      </c>
      <c r="K46" s="107">
        <f>1500</f>
        <v>1500</v>
      </c>
      <c r="L46" s="107">
        <f>1500</f>
        <v>1500</v>
      </c>
      <c r="M46" s="109">
        <f>1500</f>
        <v>1500</v>
      </c>
      <c r="N46" s="282">
        <v>22</v>
      </c>
      <c r="O46" s="107">
        <v>22</v>
      </c>
      <c r="P46" s="107">
        <v>22</v>
      </c>
      <c r="Q46" s="107">
        <v>22</v>
      </c>
      <c r="R46" s="107">
        <v>22</v>
      </c>
      <c r="S46" s="107">
        <v>22</v>
      </c>
      <c r="T46" s="107">
        <v>22</v>
      </c>
      <c r="U46" s="293">
        <v>4.0000000000000001E-3</v>
      </c>
      <c r="V46" s="295">
        <v>4.0000000000000001E-3</v>
      </c>
      <c r="W46" s="295">
        <v>4.0000000000000001E-3</v>
      </c>
      <c r="X46" s="295">
        <v>4.0000000000000001E-3</v>
      </c>
      <c r="Y46" s="295">
        <v>4.0000000000000001E-3</v>
      </c>
      <c r="Z46" s="295">
        <v>4.0000000000000001E-3</v>
      </c>
      <c r="AA46" s="295">
        <v>4.0000000000000001E-3</v>
      </c>
      <c r="AB46" s="295"/>
      <c r="AC46" s="295"/>
      <c r="AD46" s="295"/>
      <c r="AE46" s="295"/>
      <c r="AF46" s="295"/>
      <c r="AG46" s="295"/>
      <c r="AH46" s="295"/>
      <c r="AI46" s="289">
        <v>30</v>
      </c>
      <c r="AJ46" s="297">
        <v>30</v>
      </c>
      <c r="AK46" s="297">
        <v>30</v>
      </c>
      <c r="AL46" s="297">
        <v>30</v>
      </c>
      <c r="AM46" s="297">
        <v>30</v>
      </c>
      <c r="AN46" s="297">
        <v>30</v>
      </c>
      <c r="AO46" s="296">
        <v>30</v>
      </c>
      <c r="AP46" s="288">
        <v>46</v>
      </c>
      <c r="AQ46" s="282"/>
      <c r="AR46" s="282"/>
      <c r="AS46" s="282"/>
      <c r="AT46" s="282"/>
      <c r="AU46" s="282"/>
      <c r="AV46" s="298"/>
      <c r="AW46" s="289">
        <v>7.4</v>
      </c>
      <c r="AX46" s="11">
        <v>6.2</v>
      </c>
      <c r="AY46" s="104" t="s">
        <v>282</v>
      </c>
    </row>
    <row r="47" spans="1:51" x14ac:dyDescent="0.3">
      <c r="A47" s="936"/>
      <c r="B47" s="945"/>
      <c r="C47" s="299">
        <v>8</v>
      </c>
      <c r="D47" s="300" t="s">
        <v>45</v>
      </c>
      <c r="E47" s="300">
        <v>2021</v>
      </c>
      <c r="F47" s="301" t="s">
        <v>19</v>
      </c>
      <c r="G47" s="302">
        <f>2000</f>
        <v>2000</v>
      </c>
      <c r="H47" s="122">
        <f>2000</f>
        <v>2000</v>
      </c>
      <c r="I47" s="122">
        <f>2000</f>
        <v>2000</v>
      </c>
      <c r="J47" s="122">
        <f>2000</f>
        <v>2000</v>
      </c>
      <c r="K47" s="122">
        <f>2000</f>
        <v>2000</v>
      </c>
      <c r="L47" s="122">
        <f>2000</f>
        <v>2000</v>
      </c>
      <c r="M47" s="303">
        <f>2000</f>
        <v>2000</v>
      </c>
      <c r="N47" s="302">
        <v>22</v>
      </c>
      <c r="O47" s="122">
        <v>22</v>
      </c>
      <c r="P47" s="122">
        <v>22</v>
      </c>
      <c r="Q47" s="122">
        <v>22</v>
      </c>
      <c r="R47" s="122">
        <v>22</v>
      </c>
      <c r="S47" s="122">
        <v>22</v>
      </c>
      <c r="T47" s="122">
        <v>22</v>
      </c>
      <c r="U47" s="304">
        <v>4.0000000000000001E-3</v>
      </c>
      <c r="V47" s="305">
        <v>4.0000000000000001E-3</v>
      </c>
      <c r="W47" s="305">
        <v>4.0000000000000001E-3</v>
      </c>
      <c r="X47" s="305">
        <v>4.0000000000000001E-3</v>
      </c>
      <c r="Y47" s="305">
        <v>4.0000000000000001E-3</v>
      </c>
      <c r="Z47" s="305">
        <v>4.0000000000000001E-3</v>
      </c>
      <c r="AA47" s="305">
        <v>4.0000000000000001E-3</v>
      </c>
      <c r="AB47" s="305"/>
      <c r="AC47" s="305"/>
      <c r="AD47" s="305"/>
      <c r="AE47" s="305"/>
      <c r="AF47" s="305"/>
      <c r="AG47" s="305"/>
      <c r="AH47" s="305"/>
      <c r="AI47" s="299">
        <v>30</v>
      </c>
      <c r="AJ47" s="306">
        <v>30</v>
      </c>
      <c r="AK47" s="306">
        <v>30</v>
      </c>
      <c r="AL47" s="306">
        <v>30</v>
      </c>
      <c r="AM47" s="306">
        <v>30</v>
      </c>
      <c r="AN47" s="306">
        <v>30</v>
      </c>
      <c r="AO47" s="307">
        <v>30</v>
      </c>
      <c r="AP47" s="308">
        <v>46</v>
      </c>
      <c r="AQ47" s="302"/>
      <c r="AR47" s="302"/>
      <c r="AS47" s="302"/>
      <c r="AT47" s="302"/>
      <c r="AU47" s="302"/>
      <c r="AV47" s="309"/>
      <c r="AW47" s="299">
        <v>7.4</v>
      </c>
      <c r="AX47" s="18">
        <v>6.2</v>
      </c>
      <c r="AY47" s="104" t="s">
        <v>283</v>
      </c>
    </row>
    <row r="48" spans="1:51" x14ac:dyDescent="0.3">
      <c r="A48" s="936"/>
      <c r="B48" s="310" t="s">
        <v>267</v>
      </c>
      <c r="C48" s="311"/>
      <c r="D48" s="311"/>
      <c r="E48" s="311"/>
      <c r="F48" s="311"/>
      <c r="G48" s="312">
        <f>MIN(G42:G47)</f>
        <v>1500</v>
      </c>
      <c r="H48" s="313">
        <f t="shared" ref="H48:AX48" si="47">MIN(H42:H47)</f>
        <v>1500</v>
      </c>
      <c r="I48" s="313">
        <f t="shared" si="47"/>
        <v>1500</v>
      </c>
      <c r="J48" s="313">
        <f t="shared" si="47"/>
        <v>1500</v>
      </c>
      <c r="K48" s="313">
        <f t="shared" si="47"/>
        <v>1500</v>
      </c>
      <c r="L48" s="313">
        <f t="shared" si="47"/>
        <v>1500</v>
      </c>
      <c r="M48" s="314">
        <f t="shared" si="47"/>
        <v>1500</v>
      </c>
      <c r="N48" s="313">
        <f t="shared" si="47"/>
        <v>22</v>
      </c>
      <c r="O48" s="313">
        <f t="shared" si="47"/>
        <v>22</v>
      </c>
      <c r="P48" s="313">
        <f t="shared" si="47"/>
        <v>22</v>
      </c>
      <c r="Q48" s="313">
        <f t="shared" si="47"/>
        <v>22</v>
      </c>
      <c r="R48" s="313">
        <f t="shared" si="47"/>
        <v>22</v>
      </c>
      <c r="S48" s="313">
        <f t="shared" si="47"/>
        <v>22</v>
      </c>
      <c r="T48" s="314">
        <f t="shared" si="47"/>
        <v>22</v>
      </c>
      <c r="U48" s="315">
        <f t="shared" si="47"/>
        <v>3.5000000000000001E-3</v>
      </c>
      <c r="V48" s="316">
        <f t="shared" si="47"/>
        <v>3.5000000000000001E-3</v>
      </c>
      <c r="W48" s="316">
        <f t="shared" si="47"/>
        <v>3.5000000000000001E-3</v>
      </c>
      <c r="X48" s="316">
        <f t="shared" si="47"/>
        <v>3.5000000000000001E-3</v>
      </c>
      <c r="Y48" s="316">
        <f t="shared" si="47"/>
        <v>3.5000000000000001E-3</v>
      </c>
      <c r="Z48" s="316">
        <f t="shared" si="47"/>
        <v>3.5000000000000001E-3</v>
      </c>
      <c r="AA48" s="316">
        <f t="shared" si="47"/>
        <v>3.5000000000000001E-3</v>
      </c>
      <c r="AB48" s="316"/>
      <c r="AC48" s="316"/>
      <c r="AD48" s="316"/>
      <c r="AE48" s="316"/>
      <c r="AF48" s="316"/>
      <c r="AG48" s="316"/>
      <c r="AH48" s="316"/>
      <c r="AI48" s="317">
        <f t="shared" si="47"/>
        <v>30</v>
      </c>
      <c r="AJ48" s="318">
        <f t="shared" si="47"/>
        <v>30</v>
      </c>
      <c r="AK48" s="318">
        <f t="shared" si="47"/>
        <v>30</v>
      </c>
      <c r="AL48" s="318">
        <f t="shared" si="47"/>
        <v>30</v>
      </c>
      <c r="AM48" s="319">
        <f t="shared" si="47"/>
        <v>30</v>
      </c>
      <c r="AN48" s="318">
        <f t="shared" si="47"/>
        <v>30</v>
      </c>
      <c r="AO48" s="320">
        <f t="shared" si="47"/>
        <v>30</v>
      </c>
      <c r="AP48" s="313">
        <f>MIN(AP42:AP47)</f>
        <v>33</v>
      </c>
      <c r="AQ48" s="313"/>
      <c r="AR48" s="313"/>
      <c r="AS48" s="313"/>
      <c r="AT48" s="313"/>
      <c r="AU48" s="313"/>
      <c r="AV48" s="314"/>
      <c r="AW48" s="317">
        <f t="shared" si="47"/>
        <v>7.4</v>
      </c>
      <c r="AX48" s="321">
        <f t="shared" si="47"/>
        <v>6.2</v>
      </c>
      <c r="AY48" s="104"/>
    </row>
    <row r="49" spans="1:56" x14ac:dyDescent="0.3">
      <c r="A49" s="936"/>
      <c r="B49" s="322" t="s">
        <v>268</v>
      </c>
      <c r="C49" s="311"/>
      <c r="D49" s="311"/>
      <c r="E49" s="311"/>
      <c r="F49" s="311"/>
      <c r="G49" s="323">
        <f>MEDIAN(G42:G47)</f>
        <v>2100</v>
      </c>
      <c r="H49" s="324">
        <f>MEDIAN(H42:H47)</f>
        <v>2100</v>
      </c>
      <c r="I49" s="324">
        <f t="shared" ref="I49:AX49" si="48">MEDIAN(I42:I47)</f>
        <v>2100</v>
      </c>
      <c r="J49" s="324">
        <f t="shared" si="48"/>
        <v>2100</v>
      </c>
      <c r="K49" s="324">
        <f t="shared" si="48"/>
        <v>2100</v>
      </c>
      <c r="L49" s="324">
        <f t="shared" si="48"/>
        <v>2100</v>
      </c>
      <c r="M49" s="325">
        <f t="shared" si="48"/>
        <v>2100</v>
      </c>
      <c r="N49" s="324">
        <f t="shared" si="48"/>
        <v>32</v>
      </c>
      <c r="O49" s="324">
        <f t="shared" si="48"/>
        <v>32</v>
      </c>
      <c r="P49" s="324">
        <f t="shared" si="48"/>
        <v>32</v>
      </c>
      <c r="Q49" s="324">
        <f t="shared" si="48"/>
        <v>32</v>
      </c>
      <c r="R49" s="324">
        <f t="shared" si="48"/>
        <v>32</v>
      </c>
      <c r="S49" s="324">
        <f t="shared" si="48"/>
        <v>32</v>
      </c>
      <c r="T49" s="325">
        <f t="shared" si="48"/>
        <v>32</v>
      </c>
      <c r="U49" s="326">
        <f t="shared" si="48"/>
        <v>4.0000000000000001E-3</v>
      </c>
      <c r="V49" s="327">
        <f t="shared" si="48"/>
        <v>4.0000000000000001E-3</v>
      </c>
      <c r="W49" s="327">
        <f t="shared" si="48"/>
        <v>4.0000000000000001E-3</v>
      </c>
      <c r="X49" s="327">
        <f t="shared" si="48"/>
        <v>4.0000000000000001E-3</v>
      </c>
      <c r="Y49" s="327">
        <f t="shared" si="48"/>
        <v>4.0000000000000001E-3</v>
      </c>
      <c r="Z49" s="327">
        <f t="shared" si="48"/>
        <v>4.0000000000000001E-3</v>
      </c>
      <c r="AA49" s="327">
        <f t="shared" si="48"/>
        <v>4.0000000000000001E-3</v>
      </c>
      <c r="AB49" s="327"/>
      <c r="AC49" s="327"/>
      <c r="AD49" s="327"/>
      <c r="AE49" s="327"/>
      <c r="AF49" s="327"/>
      <c r="AG49" s="327"/>
      <c r="AH49" s="327"/>
      <c r="AI49" s="328">
        <f t="shared" si="48"/>
        <v>40</v>
      </c>
      <c r="AJ49" s="311">
        <f t="shared" si="48"/>
        <v>40</v>
      </c>
      <c r="AK49" s="311">
        <f t="shared" si="48"/>
        <v>40</v>
      </c>
      <c r="AL49" s="311">
        <f t="shared" si="48"/>
        <v>40</v>
      </c>
      <c r="AM49" s="329">
        <f t="shared" si="48"/>
        <v>40</v>
      </c>
      <c r="AN49" s="311">
        <f t="shared" si="48"/>
        <v>40</v>
      </c>
      <c r="AO49" s="330">
        <f t="shared" si="48"/>
        <v>40</v>
      </c>
      <c r="AP49" s="324">
        <f>MEDIAN(AP42:AP47)</f>
        <v>45</v>
      </c>
      <c r="AQ49" s="324"/>
      <c r="AR49" s="324"/>
      <c r="AS49" s="324"/>
      <c r="AT49" s="324"/>
      <c r="AU49" s="324"/>
      <c r="AV49" s="325"/>
      <c r="AW49" s="328">
        <f t="shared" si="48"/>
        <v>7.4</v>
      </c>
      <c r="AX49" s="331">
        <f t="shared" si="48"/>
        <v>6.2</v>
      </c>
      <c r="AY49" s="104"/>
    </row>
    <row r="50" spans="1:56" x14ac:dyDescent="0.3">
      <c r="A50" s="936"/>
      <c r="B50" s="332" t="s">
        <v>269</v>
      </c>
      <c r="C50" s="333"/>
      <c r="D50" s="333"/>
      <c r="E50" s="333"/>
      <c r="F50" s="333"/>
      <c r="G50" s="334">
        <f>MAX(G42:G47)</f>
        <v>3845.51</v>
      </c>
      <c r="H50" s="335">
        <f t="shared" ref="H50:AX50" si="49">MAX(H42:H47)</f>
        <v>3845.51</v>
      </c>
      <c r="I50" s="335">
        <f t="shared" si="49"/>
        <v>3845.51</v>
      </c>
      <c r="J50" s="335">
        <f t="shared" si="49"/>
        <v>3845.51</v>
      </c>
      <c r="K50" s="335">
        <f t="shared" si="49"/>
        <v>3845.51</v>
      </c>
      <c r="L50" s="335">
        <f t="shared" si="49"/>
        <v>3845.51</v>
      </c>
      <c r="M50" s="336">
        <f t="shared" si="49"/>
        <v>3845.51</v>
      </c>
      <c r="N50" s="335">
        <f t="shared" si="49"/>
        <v>61.528160000000007</v>
      </c>
      <c r="O50" s="335">
        <f t="shared" si="49"/>
        <v>61.528160000000007</v>
      </c>
      <c r="P50" s="335">
        <f t="shared" si="49"/>
        <v>61.528160000000007</v>
      </c>
      <c r="Q50" s="335">
        <f t="shared" si="49"/>
        <v>61.528160000000007</v>
      </c>
      <c r="R50" s="335">
        <f t="shared" si="49"/>
        <v>62.53</v>
      </c>
      <c r="S50" s="335">
        <f t="shared" si="49"/>
        <v>61.528160000000007</v>
      </c>
      <c r="T50" s="336">
        <f t="shared" si="49"/>
        <v>61.53</v>
      </c>
      <c r="U50" s="337">
        <f t="shared" si="49"/>
        <v>4.4999999999999997E-3</v>
      </c>
      <c r="V50" s="338">
        <f t="shared" si="49"/>
        <v>4.4999999999999997E-3</v>
      </c>
      <c r="W50" s="338">
        <f t="shared" si="49"/>
        <v>4.4999999999999997E-3</v>
      </c>
      <c r="X50" s="338">
        <f t="shared" si="49"/>
        <v>4.4999999999999997E-3</v>
      </c>
      <c r="Y50" s="338">
        <f t="shared" si="49"/>
        <v>4.4999999999999997E-3</v>
      </c>
      <c r="Z50" s="338">
        <f t="shared" si="49"/>
        <v>4.4999999999999997E-3</v>
      </c>
      <c r="AA50" s="338">
        <f t="shared" si="49"/>
        <v>4.4999999999999997E-3</v>
      </c>
      <c r="AB50" s="338"/>
      <c r="AC50" s="338"/>
      <c r="AD50" s="338"/>
      <c r="AE50" s="338"/>
      <c r="AF50" s="338"/>
      <c r="AG50" s="338"/>
      <c r="AH50" s="338"/>
      <c r="AI50" s="339">
        <f t="shared" si="49"/>
        <v>40</v>
      </c>
      <c r="AJ50" s="333">
        <f t="shared" si="49"/>
        <v>40</v>
      </c>
      <c r="AK50" s="333">
        <f t="shared" si="49"/>
        <v>40</v>
      </c>
      <c r="AL50" s="333">
        <f t="shared" si="49"/>
        <v>40</v>
      </c>
      <c r="AM50" s="340">
        <f t="shared" si="49"/>
        <v>40</v>
      </c>
      <c r="AN50" s="333">
        <f t="shared" si="49"/>
        <v>40</v>
      </c>
      <c r="AO50" s="341">
        <f t="shared" si="49"/>
        <v>40</v>
      </c>
      <c r="AP50" s="335">
        <f t="shared" si="49"/>
        <v>46</v>
      </c>
      <c r="AQ50" s="335"/>
      <c r="AR50" s="335"/>
      <c r="AS50" s="335"/>
      <c r="AT50" s="335"/>
      <c r="AU50" s="335"/>
      <c r="AV50" s="336"/>
      <c r="AW50" s="339">
        <f t="shared" si="49"/>
        <v>7.4</v>
      </c>
      <c r="AX50" s="342">
        <f t="shared" si="49"/>
        <v>6.2</v>
      </c>
      <c r="AY50" s="104"/>
    </row>
    <row r="51" spans="1:56" ht="15" customHeight="1" x14ac:dyDescent="0.3">
      <c r="A51" s="936"/>
      <c r="B51" s="343" t="s">
        <v>29</v>
      </c>
      <c r="C51" s="344">
        <v>4</v>
      </c>
      <c r="D51" s="344" t="s">
        <v>31</v>
      </c>
      <c r="E51" s="344">
        <v>2022</v>
      </c>
      <c r="F51" s="345" t="s">
        <v>19</v>
      </c>
      <c r="G51" s="346">
        <f t="shared" ref="G51:M51" si="50">7940.45</f>
        <v>7940.45</v>
      </c>
      <c r="H51" s="347">
        <f t="shared" si="50"/>
        <v>7940.45</v>
      </c>
      <c r="I51" s="347">
        <f t="shared" si="50"/>
        <v>7940.45</v>
      </c>
      <c r="J51" s="347">
        <f t="shared" si="50"/>
        <v>7940.45</v>
      </c>
      <c r="K51" s="347">
        <f t="shared" si="50"/>
        <v>7940.45</v>
      </c>
      <c r="L51" s="347">
        <f t="shared" si="50"/>
        <v>7940.45</v>
      </c>
      <c r="M51" s="348">
        <f t="shared" si="50"/>
        <v>7940.45</v>
      </c>
      <c r="N51" s="347">
        <f t="shared" ref="N51:T51" si="51">G51*0.014</f>
        <v>111.16630000000001</v>
      </c>
      <c r="O51" s="347">
        <f t="shared" si="51"/>
        <v>111.16630000000001</v>
      </c>
      <c r="P51" s="347">
        <f t="shared" si="51"/>
        <v>111.16630000000001</v>
      </c>
      <c r="Q51" s="347">
        <f t="shared" si="51"/>
        <v>111.16630000000001</v>
      </c>
      <c r="R51" s="347">
        <f t="shared" si="51"/>
        <v>111.16630000000001</v>
      </c>
      <c r="S51" s="347">
        <f t="shared" si="51"/>
        <v>111.16630000000001</v>
      </c>
      <c r="T51" s="349">
        <f t="shared" si="51"/>
        <v>111.16630000000001</v>
      </c>
      <c r="U51" s="350">
        <f t="shared" ref="U51:AA51" si="52">3.5*0.001</f>
        <v>3.5000000000000001E-3</v>
      </c>
      <c r="V51" s="351">
        <f t="shared" si="52"/>
        <v>3.5000000000000001E-3</v>
      </c>
      <c r="W51" s="351">
        <f t="shared" si="52"/>
        <v>3.5000000000000001E-3</v>
      </c>
      <c r="X51" s="351">
        <f t="shared" si="52"/>
        <v>3.5000000000000001E-3</v>
      </c>
      <c r="Y51" s="351">
        <f t="shared" si="52"/>
        <v>3.5000000000000001E-3</v>
      </c>
      <c r="Z51" s="351">
        <f t="shared" si="52"/>
        <v>3.5000000000000001E-3</v>
      </c>
      <c r="AA51" s="352">
        <f t="shared" si="52"/>
        <v>3.5000000000000001E-3</v>
      </c>
      <c r="AB51" s="352"/>
      <c r="AC51" s="352"/>
      <c r="AD51" s="352"/>
      <c r="AE51" s="352"/>
      <c r="AF51" s="352"/>
      <c r="AG51" s="352"/>
      <c r="AH51" s="352"/>
      <c r="AI51" s="353">
        <v>40</v>
      </c>
      <c r="AJ51" s="354">
        <v>40</v>
      </c>
      <c r="AK51" s="354">
        <v>40</v>
      </c>
      <c r="AL51" s="354">
        <v>40</v>
      </c>
      <c r="AM51" s="354">
        <v>40</v>
      </c>
      <c r="AN51" s="354">
        <v>40</v>
      </c>
      <c r="AO51" s="355">
        <v>40</v>
      </c>
      <c r="AP51" s="356">
        <v>33</v>
      </c>
      <c r="AQ51" s="356">
        <v>33</v>
      </c>
      <c r="AR51" s="356">
        <v>33</v>
      </c>
      <c r="AS51" s="356">
        <v>33</v>
      </c>
      <c r="AT51" s="357">
        <v>33</v>
      </c>
      <c r="AU51" s="356">
        <v>33</v>
      </c>
      <c r="AV51" s="95">
        <v>33</v>
      </c>
      <c r="AW51" s="353"/>
      <c r="AX51" s="358"/>
      <c r="AY51" s="104"/>
    </row>
    <row r="52" spans="1:56" x14ac:dyDescent="0.3">
      <c r="A52" s="936"/>
      <c r="B52" s="847" t="s">
        <v>32</v>
      </c>
      <c r="C52" s="359">
        <v>4</v>
      </c>
      <c r="D52" s="360" t="s">
        <v>31</v>
      </c>
      <c r="E52" s="360">
        <v>2022</v>
      </c>
      <c r="F52" s="361" t="s">
        <v>19</v>
      </c>
      <c r="G52" s="362">
        <f>880</f>
        <v>880</v>
      </c>
      <c r="H52" s="363">
        <v>855</v>
      </c>
      <c r="I52" s="363">
        <f>830</f>
        <v>830</v>
      </c>
      <c r="J52" s="363">
        <v>815</v>
      </c>
      <c r="K52" s="363">
        <v>807.5</v>
      </c>
      <c r="L52" s="363">
        <f>800</f>
        <v>800</v>
      </c>
      <c r="M52" s="95">
        <f>K52+((L52-K52)/(2050-2045))*(2060-2045)</f>
        <v>785</v>
      </c>
      <c r="N52" s="363">
        <f>G52*0.0333</f>
        <v>29.304000000000002</v>
      </c>
      <c r="O52" s="363">
        <f>H52*0.0334</f>
        <v>28.556999999999999</v>
      </c>
      <c r="P52" s="363">
        <f>I52*0.0335</f>
        <v>27.805000000000003</v>
      </c>
      <c r="Q52" s="363">
        <f>J52*0.033</f>
        <v>26.895</v>
      </c>
      <c r="R52" s="363">
        <f>K52*0.0328</f>
        <v>26.486000000000001</v>
      </c>
      <c r="S52" s="363">
        <f>L52*0.0325</f>
        <v>26</v>
      </c>
      <c r="T52" s="95">
        <f>R52+((S52-R52)/(2050-2045))*(2060-2045)</f>
        <v>25.027999999999999</v>
      </c>
      <c r="U52" s="364">
        <f>4.4*0.001</f>
        <v>4.4000000000000003E-3</v>
      </c>
      <c r="V52" s="365">
        <f>4.3*0.001</f>
        <v>4.3E-3</v>
      </c>
      <c r="W52" s="365">
        <f>4.2*0.001</f>
        <v>4.2000000000000006E-3</v>
      </c>
      <c r="X52" s="365">
        <f>4.1*0.001</f>
        <v>4.0999999999999995E-3</v>
      </c>
      <c r="Y52" s="365">
        <f>4.05*0.001</f>
        <v>4.0499999999999998E-3</v>
      </c>
      <c r="Z52" s="365">
        <f>4*0.001</f>
        <v>4.0000000000000001E-3</v>
      </c>
      <c r="AA52" s="366">
        <f>Y52+((Z52-Y52)/(2050-2045))*(2060-2045)</f>
        <v>3.9000000000000007E-3</v>
      </c>
      <c r="AB52" s="286"/>
      <c r="AC52" s="286"/>
      <c r="AD52" s="286"/>
      <c r="AE52" s="286"/>
      <c r="AF52" s="286"/>
      <c r="AG52" s="286"/>
      <c r="AH52" s="286"/>
      <c r="AI52" s="359">
        <v>25</v>
      </c>
      <c r="AJ52" s="360">
        <v>25</v>
      </c>
      <c r="AK52" s="360">
        <v>25</v>
      </c>
      <c r="AL52" s="360">
        <v>25</v>
      </c>
      <c r="AM52" s="367">
        <v>25</v>
      </c>
      <c r="AN52" s="367">
        <v>25</v>
      </c>
      <c r="AO52" s="368">
        <v>25</v>
      </c>
      <c r="AP52" s="367">
        <v>56</v>
      </c>
      <c r="AQ52" s="367">
        <v>57</v>
      </c>
      <c r="AR52" s="367">
        <v>58</v>
      </c>
      <c r="AS52" s="367">
        <v>59</v>
      </c>
      <c r="AT52" s="367">
        <v>60</v>
      </c>
      <c r="AU52" s="367">
        <v>60</v>
      </c>
      <c r="AV52" s="103">
        <v>60</v>
      </c>
      <c r="AW52" s="359"/>
      <c r="AX52" s="369"/>
      <c r="AY52" s="104" t="s">
        <v>284</v>
      </c>
    </row>
    <row r="53" spans="1:56" ht="15" customHeight="1" x14ac:dyDescent="0.3">
      <c r="A53" s="936"/>
      <c r="B53" s="848"/>
      <c r="C53" s="370">
        <v>8</v>
      </c>
      <c r="D53" s="371" t="s">
        <v>45</v>
      </c>
      <c r="E53" s="371">
        <v>2021</v>
      </c>
      <c r="F53" s="372" t="s">
        <v>19</v>
      </c>
      <c r="G53" s="373">
        <v>800</v>
      </c>
      <c r="H53" s="107">
        <v>800</v>
      </c>
      <c r="I53" s="107">
        <v>800</v>
      </c>
      <c r="J53" s="107">
        <v>800</v>
      </c>
      <c r="K53" s="107">
        <v>800</v>
      </c>
      <c r="L53" s="107">
        <v>800</v>
      </c>
      <c r="M53" s="109">
        <v>800</v>
      </c>
      <c r="N53" s="374">
        <v>20</v>
      </c>
      <c r="O53" s="107">
        <v>20</v>
      </c>
      <c r="P53" s="107">
        <v>20</v>
      </c>
      <c r="Q53" s="107">
        <v>20</v>
      </c>
      <c r="R53" s="107">
        <v>20</v>
      </c>
      <c r="S53" s="107">
        <v>20</v>
      </c>
      <c r="T53" s="107">
        <v>20</v>
      </c>
      <c r="U53" s="375">
        <v>3.0000000000000001E-3</v>
      </c>
      <c r="V53" s="295">
        <v>3.0000000000000001E-3</v>
      </c>
      <c r="W53" s="295">
        <v>3.0000000000000001E-3</v>
      </c>
      <c r="X53" s="295">
        <v>3.0000000000000001E-3</v>
      </c>
      <c r="Y53" s="295">
        <v>3.0000000000000001E-3</v>
      </c>
      <c r="Z53" s="295">
        <v>3.0000000000000001E-3</v>
      </c>
      <c r="AA53" s="295">
        <v>3.0000000000000001E-3</v>
      </c>
      <c r="AB53" s="295"/>
      <c r="AC53" s="295"/>
      <c r="AD53" s="295"/>
      <c r="AE53" s="295"/>
      <c r="AF53" s="295"/>
      <c r="AG53" s="295"/>
      <c r="AH53" s="295"/>
      <c r="AI53" s="370">
        <v>30</v>
      </c>
      <c r="AJ53" s="297">
        <v>30</v>
      </c>
      <c r="AK53" s="297">
        <v>30</v>
      </c>
      <c r="AL53" s="297">
        <v>30</v>
      </c>
      <c r="AM53" s="297">
        <v>30</v>
      </c>
      <c r="AN53" s="297">
        <v>30</v>
      </c>
      <c r="AO53" s="296">
        <v>30</v>
      </c>
      <c r="AP53" s="376">
        <v>60</v>
      </c>
      <c r="AQ53" s="377">
        <v>60.5</v>
      </c>
      <c r="AR53" s="376">
        <v>61</v>
      </c>
      <c r="AS53" s="376">
        <v>62</v>
      </c>
      <c r="AT53" s="378">
        <v>62</v>
      </c>
      <c r="AU53" s="378">
        <v>62</v>
      </c>
      <c r="AV53" s="118">
        <v>62</v>
      </c>
      <c r="AW53" s="370">
        <v>7</v>
      </c>
      <c r="AX53" s="379">
        <v>5.8</v>
      </c>
      <c r="AY53" s="104" t="s">
        <v>264</v>
      </c>
    </row>
    <row r="54" spans="1:56" x14ac:dyDescent="0.3">
      <c r="A54" s="936"/>
      <c r="B54" s="849"/>
      <c r="C54" s="380">
        <v>8</v>
      </c>
      <c r="D54" s="381" t="s">
        <v>45</v>
      </c>
      <c r="E54" s="381">
        <v>2021</v>
      </c>
      <c r="F54" s="372" t="s">
        <v>19</v>
      </c>
      <c r="G54" s="382">
        <v>1100</v>
      </c>
      <c r="H54" s="122">
        <v>1100</v>
      </c>
      <c r="I54" s="122">
        <v>1100</v>
      </c>
      <c r="J54" s="122">
        <v>1100</v>
      </c>
      <c r="K54" s="122">
        <v>1100</v>
      </c>
      <c r="L54" s="122">
        <v>1100</v>
      </c>
      <c r="M54" s="303">
        <v>1100</v>
      </c>
      <c r="N54" s="383">
        <v>20</v>
      </c>
      <c r="O54" s="122">
        <v>20</v>
      </c>
      <c r="P54" s="122">
        <v>20</v>
      </c>
      <c r="Q54" s="122">
        <v>20</v>
      </c>
      <c r="R54" s="122">
        <v>20</v>
      </c>
      <c r="S54" s="122">
        <v>20</v>
      </c>
      <c r="T54" s="122">
        <v>20</v>
      </c>
      <c r="U54" s="384">
        <v>3.0000000000000001E-3</v>
      </c>
      <c r="V54" s="305">
        <v>3.0000000000000001E-3</v>
      </c>
      <c r="W54" s="305">
        <v>3.0000000000000001E-3</v>
      </c>
      <c r="X54" s="305">
        <v>3.0000000000000001E-3</v>
      </c>
      <c r="Y54" s="305">
        <v>3.0000000000000001E-3</v>
      </c>
      <c r="Z54" s="305">
        <v>3.0000000000000001E-3</v>
      </c>
      <c r="AA54" s="305">
        <v>3.0000000000000001E-3</v>
      </c>
      <c r="AB54" s="305"/>
      <c r="AC54" s="305"/>
      <c r="AD54" s="305"/>
      <c r="AE54" s="305"/>
      <c r="AF54" s="305"/>
      <c r="AG54" s="305"/>
      <c r="AH54" s="305"/>
      <c r="AI54" s="380">
        <v>30</v>
      </c>
      <c r="AJ54" s="306">
        <v>30</v>
      </c>
      <c r="AK54" s="306">
        <v>30</v>
      </c>
      <c r="AL54" s="306">
        <v>30</v>
      </c>
      <c r="AM54" s="306">
        <v>30</v>
      </c>
      <c r="AN54" s="306">
        <v>30</v>
      </c>
      <c r="AO54" s="307">
        <v>30</v>
      </c>
      <c r="AP54" s="385">
        <v>60</v>
      </c>
      <c r="AQ54" s="377">
        <v>60.5</v>
      </c>
      <c r="AR54" s="385">
        <v>61</v>
      </c>
      <c r="AS54" s="385">
        <v>62</v>
      </c>
      <c r="AT54" s="378">
        <v>62</v>
      </c>
      <c r="AU54" s="386">
        <v>62</v>
      </c>
      <c r="AV54" s="118">
        <v>62</v>
      </c>
      <c r="AW54" s="380">
        <v>7</v>
      </c>
      <c r="AX54" s="387">
        <v>5.8</v>
      </c>
      <c r="AY54" s="104" t="s">
        <v>265</v>
      </c>
    </row>
    <row r="55" spans="1:56" x14ac:dyDescent="0.3">
      <c r="A55" s="936"/>
      <c r="B55" s="388" t="s">
        <v>267</v>
      </c>
      <c r="C55" s="389"/>
      <c r="D55" s="390"/>
      <c r="E55" s="390"/>
      <c r="F55" s="390"/>
      <c r="G55" s="391">
        <f>MIN(G52:G54)</f>
        <v>800</v>
      </c>
      <c r="H55" s="392">
        <f t="shared" ref="H55:AX55" si="53">MIN(H52:H54)</f>
        <v>800</v>
      </c>
      <c r="I55" s="392">
        <f t="shared" si="53"/>
        <v>800</v>
      </c>
      <c r="J55" s="392">
        <f t="shared" si="53"/>
        <v>800</v>
      </c>
      <c r="K55" s="392">
        <f t="shared" si="53"/>
        <v>800</v>
      </c>
      <c r="L55" s="392">
        <f t="shared" si="53"/>
        <v>800</v>
      </c>
      <c r="M55" s="393">
        <f t="shared" si="53"/>
        <v>785</v>
      </c>
      <c r="N55" s="392">
        <f t="shared" si="53"/>
        <v>20</v>
      </c>
      <c r="O55" s="392">
        <f t="shared" si="53"/>
        <v>20</v>
      </c>
      <c r="P55" s="392">
        <f t="shared" si="53"/>
        <v>20</v>
      </c>
      <c r="Q55" s="392">
        <f t="shared" si="53"/>
        <v>20</v>
      </c>
      <c r="R55" s="392">
        <f t="shared" si="53"/>
        <v>20</v>
      </c>
      <c r="S55" s="392">
        <f t="shared" si="53"/>
        <v>20</v>
      </c>
      <c r="T55" s="393">
        <f t="shared" si="53"/>
        <v>20</v>
      </c>
      <c r="U55" s="394">
        <f t="shared" si="53"/>
        <v>3.0000000000000001E-3</v>
      </c>
      <c r="V55" s="395">
        <f t="shared" si="53"/>
        <v>3.0000000000000001E-3</v>
      </c>
      <c r="W55" s="395">
        <f t="shared" si="53"/>
        <v>3.0000000000000001E-3</v>
      </c>
      <c r="X55" s="395">
        <f t="shared" si="53"/>
        <v>3.0000000000000001E-3</v>
      </c>
      <c r="Y55" s="395">
        <f t="shared" si="53"/>
        <v>3.0000000000000001E-3</v>
      </c>
      <c r="Z55" s="395">
        <f t="shared" si="53"/>
        <v>3.0000000000000001E-3</v>
      </c>
      <c r="AA55" s="396">
        <f t="shared" si="53"/>
        <v>3.0000000000000001E-3</v>
      </c>
      <c r="AB55" s="395"/>
      <c r="AC55" s="395"/>
      <c r="AD55" s="395"/>
      <c r="AE55" s="395"/>
      <c r="AF55" s="395"/>
      <c r="AG55" s="395"/>
      <c r="AH55" s="395"/>
      <c r="AI55" s="389">
        <f t="shared" si="53"/>
        <v>25</v>
      </c>
      <c r="AJ55" s="390">
        <f t="shared" si="53"/>
        <v>25</v>
      </c>
      <c r="AK55" s="390">
        <f t="shared" si="53"/>
        <v>25</v>
      </c>
      <c r="AL55" s="390">
        <f t="shared" si="53"/>
        <v>25</v>
      </c>
      <c r="AM55" s="397">
        <f t="shared" si="53"/>
        <v>25</v>
      </c>
      <c r="AN55" s="397">
        <f t="shared" si="53"/>
        <v>25</v>
      </c>
      <c r="AO55" s="398">
        <f t="shared" si="53"/>
        <v>25</v>
      </c>
      <c r="AP55" s="397">
        <f>MIN(AP52:AP54)</f>
        <v>56</v>
      </c>
      <c r="AQ55" s="397">
        <f t="shared" si="53"/>
        <v>57</v>
      </c>
      <c r="AR55" s="397">
        <f t="shared" si="53"/>
        <v>58</v>
      </c>
      <c r="AS55" s="397">
        <f t="shared" si="53"/>
        <v>59</v>
      </c>
      <c r="AT55" s="397">
        <f t="shared" si="53"/>
        <v>60</v>
      </c>
      <c r="AU55" s="397">
        <f t="shared" si="53"/>
        <v>60</v>
      </c>
      <c r="AV55" s="398">
        <f t="shared" si="53"/>
        <v>60</v>
      </c>
      <c r="AW55" s="389">
        <f t="shared" si="53"/>
        <v>7</v>
      </c>
      <c r="AX55" s="399">
        <f t="shared" si="53"/>
        <v>5.8</v>
      </c>
      <c r="AY55" s="104"/>
      <c r="BD55" t="s">
        <v>238</v>
      </c>
    </row>
    <row r="56" spans="1:56" x14ac:dyDescent="0.3">
      <c r="A56" s="936"/>
      <c r="B56" s="400" t="s">
        <v>268</v>
      </c>
      <c r="C56" s="401"/>
      <c r="D56" s="402"/>
      <c r="E56" s="402"/>
      <c r="F56" s="402"/>
      <c r="G56" s="403">
        <f>MEDIAN(G52:G54)</f>
        <v>880</v>
      </c>
      <c r="H56" s="404">
        <f t="shared" ref="H56:AX56" si="54">MEDIAN(H52:H54)</f>
        <v>855</v>
      </c>
      <c r="I56" s="404">
        <f t="shared" si="54"/>
        <v>830</v>
      </c>
      <c r="J56" s="404">
        <f t="shared" si="54"/>
        <v>815</v>
      </c>
      <c r="K56" s="404">
        <f t="shared" si="54"/>
        <v>807.5</v>
      </c>
      <c r="L56" s="404">
        <f t="shared" si="54"/>
        <v>800</v>
      </c>
      <c r="M56" s="405">
        <f t="shared" si="54"/>
        <v>800</v>
      </c>
      <c r="N56" s="404">
        <f t="shared" si="54"/>
        <v>20</v>
      </c>
      <c r="O56" s="404">
        <f t="shared" si="54"/>
        <v>20</v>
      </c>
      <c r="P56" s="404">
        <f t="shared" si="54"/>
        <v>20</v>
      </c>
      <c r="Q56" s="404">
        <f t="shared" si="54"/>
        <v>20</v>
      </c>
      <c r="R56" s="404">
        <f t="shared" si="54"/>
        <v>20</v>
      </c>
      <c r="S56" s="404">
        <f t="shared" si="54"/>
        <v>20</v>
      </c>
      <c r="T56" s="405">
        <f>MEDIAN(T52:T54)</f>
        <v>20</v>
      </c>
      <c r="U56" s="406">
        <f t="shared" si="54"/>
        <v>3.0000000000000001E-3</v>
      </c>
      <c r="V56" s="407">
        <f t="shared" si="54"/>
        <v>3.0000000000000001E-3</v>
      </c>
      <c r="W56" s="407">
        <f t="shared" si="54"/>
        <v>3.0000000000000001E-3</v>
      </c>
      <c r="X56" s="407">
        <f t="shared" si="54"/>
        <v>3.0000000000000001E-3</v>
      </c>
      <c r="Y56" s="407">
        <f t="shared" si="54"/>
        <v>3.0000000000000001E-3</v>
      </c>
      <c r="Z56" s="407">
        <f t="shared" si="54"/>
        <v>3.0000000000000001E-3</v>
      </c>
      <c r="AA56" s="408">
        <f t="shared" si="54"/>
        <v>3.0000000000000001E-3</v>
      </c>
      <c r="AB56" s="1040"/>
      <c r="AC56" s="1040"/>
      <c r="AD56" s="1040"/>
      <c r="AE56" s="1040"/>
      <c r="AF56" s="1040"/>
      <c r="AG56" s="1040"/>
      <c r="AH56" s="1040"/>
      <c r="AI56" s="401">
        <f t="shared" si="54"/>
        <v>30</v>
      </c>
      <c r="AJ56" s="402">
        <f t="shared" si="54"/>
        <v>30</v>
      </c>
      <c r="AK56" s="402">
        <f t="shared" si="54"/>
        <v>30</v>
      </c>
      <c r="AL56" s="402">
        <f t="shared" si="54"/>
        <v>30</v>
      </c>
      <c r="AM56" s="402">
        <f t="shared" si="54"/>
        <v>30</v>
      </c>
      <c r="AN56" s="402">
        <f t="shared" si="54"/>
        <v>30</v>
      </c>
      <c r="AO56" s="409">
        <f t="shared" si="54"/>
        <v>30</v>
      </c>
      <c r="AP56" s="410">
        <f t="shared" si="54"/>
        <v>60</v>
      </c>
      <c r="AQ56" s="410">
        <f t="shared" si="54"/>
        <v>60.5</v>
      </c>
      <c r="AR56" s="410">
        <f t="shared" si="54"/>
        <v>61</v>
      </c>
      <c r="AS56" s="410">
        <f t="shared" si="54"/>
        <v>62</v>
      </c>
      <c r="AT56" s="410">
        <f t="shared" si="54"/>
        <v>62</v>
      </c>
      <c r="AU56" s="410">
        <f t="shared" si="54"/>
        <v>62</v>
      </c>
      <c r="AV56" s="411">
        <f t="shared" si="54"/>
        <v>62</v>
      </c>
      <c r="AW56" s="401">
        <f t="shared" si="54"/>
        <v>7</v>
      </c>
      <c r="AX56" s="409">
        <f t="shared" si="54"/>
        <v>5.8</v>
      </c>
      <c r="AY56" s="104"/>
    </row>
    <row r="57" spans="1:56" x14ac:dyDescent="0.3">
      <c r="A57" s="936"/>
      <c r="B57" s="412" t="s">
        <v>269</v>
      </c>
      <c r="C57" s="413"/>
      <c r="D57" s="414"/>
      <c r="E57" s="414"/>
      <c r="F57" s="414"/>
      <c r="G57" s="415">
        <f>MAX(G52:G54)</f>
        <v>1100</v>
      </c>
      <c r="H57" s="416">
        <f t="shared" ref="H57:AX57" si="55">MAX(H52:H54)</f>
        <v>1100</v>
      </c>
      <c r="I57" s="416">
        <f t="shared" si="55"/>
        <v>1100</v>
      </c>
      <c r="J57" s="416">
        <f t="shared" si="55"/>
        <v>1100</v>
      </c>
      <c r="K57" s="416">
        <f t="shared" si="55"/>
        <v>1100</v>
      </c>
      <c r="L57" s="416">
        <f t="shared" si="55"/>
        <v>1100</v>
      </c>
      <c r="M57" s="417">
        <f t="shared" si="55"/>
        <v>1100</v>
      </c>
      <c r="N57" s="416">
        <f t="shared" si="55"/>
        <v>29.304000000000002</v>
      </c>
      <c r="O57" s="416">
        <f t="shared" si="55"/>
        <v>28.556999999999999</v>
      </c>
      <c r="P57" s="416">
        <f t="shared" si="55"/>
        <v>27.805000000000003</v>
      </c>
      <c r="Q57" s="416">
        <f t="shared" si="55"/>
        <v>26.895</v>
      </c>
      <c r="R57" s="416">
        <f t="shared" si="55"/>
        <v>26.486000000000001</v>
      </c>
      <c r="S57" s="416">
        <f t="shared" si="55"/>
        <v>26</v>
      </c>
      <c r="T57" s="417">
        <f t="shared" si="55"/>
        <v>25.027999999999999</v>
      </c>
      <c r="U57" s="418">
        <f t="shared" si="55"/>
        <v>4.4000000000000003E-3</v>
      </c>
      <c r="V57" s="419">
        <f t="shared" si="55"/>
        <v>4.3E-3</v>
      </c>
      <c r="W57" s="419">
        <f t="shared" si="55"/>
        <v>4.2000000000000006E-3</v>
      </c>
      <c r="X57" s="419">
        <f t="shared" si="55"/>
        <v>4.0999999999999995E-3</v>
      </c>
      <c r="Y57" s="419">
        <f t="shared" si="55"/>
        <v>4.0499999999999998E-3</v>
      </c>
      <c r="Z57" s="419">
        <f t="shared" si="55"/>
        <v>4.0000000000000001E-3</v>
      </c>
      <c r="AA57" s="420">
        <f t="shared" si="55"/>
        <v>3.9000000000000007E-3</v>
      </c>
      <c r="AB57" s="419"/>
      <c r="AC57" s="419"/>
      <c r="AD57" s="419"/>
      <c r="AE57" s="419"/>
      <c r="AF57" s="419"/>
      <c r="AG57" s="419"/>
      <c r="AH57" s="419"/>
      <c r="AI57" s="413">
        <f t="shared" si="55"/>
        <v>30</v>
      </c>
      <c r="AJ57" s="414">
        <f t="shared" si="55"/>
        <v>30</v>
      </c>
      <c r="AK57" s="414">
        <f t="shared" si="55"/>
        <v>30</v>
      </c>
      <c r="AL57" s="414">
        <f t="shared" si="55"/>
        <v>30</v>
      </c>
      <c r="AM57" s="414">
        <f t="shared" si="55"/>
        <v>30</v>
      </c>
      <c r="AN57" s="414">
        <f t="shared" si="55"/>
        <v>30</v>
      </c>
      <c r="AO57" s="421">
        <f t="shared" si="55"/>
        <v>30</v>
      </c>
      <c r="AP57" s="422">
        <f t="shared" si="55"/>
        <v>60</v>
      </c>
      <c r="AQ57" s="422">
        <f t="shared" si="55"/>
        <v>60.5</v>
      </c>
      <c r="AR57" s="422">
        <f t="shared" si="55"/>
        <v>61</v>
      </c>
      <c r="AS57" s="422">
        <f t="shared" si="55"/>
        <v>62</v>
      </c>
      <c r="AT57" s="422">
        <f t="shared" si="55"/>
        <v>62</v>
      </c>
      <c r="AU57" s="422">
        <f t="shared" si="55"/>
        <v>62</v>
      </c>
      <c r="AV57" s="423">
        <f t="shared" si="55"/>
        <v>62</v>
      </c>
      <c r="AW57" s="413">
        <f t="shared" si="55"/>
        <v>7</v>
      </c>
      <c r="AX57" s="421">
        <f t="shared" si="55"/>
        <v>5.8</v>
      </c>
      <c r="AY57" s="104"/>
    </row>
    <row r="58" spans="1:56" x14ac:dyDescent="0.3">
      <c r="A58" s="936"/>
      <c r="B58" s="424" t="s">
        <v>97</v>
      </c>
      <c r="C58" s="425">
        <v>4</v>
      </c>
      <c r="D58" s="426" t="s">
        <v>31</v>
      </c>
      <c r="E58" s="426">
        <v>2022</v>
      </c>
      <c r="F58" s="427" t="s">
        <v>19</v>
      </c>
      <c r="G58" s="428">
        <v>144.88</v>
      </c>
      <c r="H58" s="429">
        <v>121.52</v>
      </c>
      <c r="I58" s="429">
        <v>98.15</v>
      </c>
      <c r="J58" s="429">
        <v>90.55</v>
      </c>
      <c r="K58" s="429">
        <v>90.28</v>
      </c>
      <c r="L58" s="429">
        <v>90.01</v>
      </c>
      <c r="M58" s="348">
        <f>K58+((L58-K58)/(2050-2045))*(2060-2045)</f>
        <v>89.470000000000013</v>
      </c>
      <c r="N58" s="429">
        <f>G58*0.01</f>
        <v>1.4488000000000001</v>
      </c>
      <c r="O58" s="429">
        <f>H58*0.0105</f>
        <v>1.27596</v>
      </c>
      <c r="P58" s="429">
        <f>I58*0.011</f>
        <v>1.07965</v>
      </c>
      <c r="Q58" s="429">
        <f>J58*0.0135</f>
        <v>1.2224249999999999</v>
      </c>
      <c r="R58" s="429">
        <f>K58*0.0135</f>
        <v>1.21878</v>
      </c>
      <c r="S58" s="429">
        <f>L58*0.014</f>
        <v>1.26014</v>
      </c>
      <c r="T58" s="348">
        <f>R58+((S58-R58)/(2050-2045))*(2060-2045)</f>
        <v>1.3428600000000002</v>
      </c>
      <c r="U58" s="430"/>
      <c r="V58" s="430"/>
      <c r="W58" s="430"/>
      <c r="X58" s="430"/>
      <c r="Y58" s="429"/>
      <c r="Z58" s="430"/>
      <c r="AA58" s="431"/>
      <c r="AB58" s="429"/>
      <c r="AC58" s="429"/>
      <c r="AD58" s="429"/>
      <c r="AE58" s="429"/>
      <c r="AF58" s="429"/>
      <c r="AG58" s="429"/>
      <c r="AH58" s="429"/>
      <c r="AI58" s="432">
        <v>30</v>
      </c>
      <c r="AJ58" s="430">
        <v>30</v>
      </c>
      <c r="AK58" s="430">
        <v>30</v>
      </c>
      <c r="AL58" s="430">
        <v>30</v>
      </c>
      <c r="AM58" s="433">
        <v>30</v>
      </c>
      <c r="AN58" s="430">
        <v>30</v>
      </c>
      <c r="AO58" s="434">
        <f>AM58+((AN58-AM58)/(2050-2045))*(2060-2045)</f>
        <v>30</v>
      </c>
      <c r="AP58" s="430"/>
      <c r="AQ58" s="430"/>
      <c r="AR58" s="430"/>
      <c r="AS58" s="430"/>
      <c r="AT58" s="429"/>
      <c r="AU58" s="430"/>
      <c r="AV58" s="431"/>
      <c r="AW58" s="435"/>
      <c r="AX58" s="436"/>
      <c r="AY58" s="104" t="s">
        <v>285</v>
      </c>
    </row>
    <row r="59" spans="1:56" x14ac:dyDescent="0.3">
      <c r="A59" s="437"/>
      <c r="B59" s="438"/>
      <c r="C59" s="439"/>
      <c r="D59" s="439"/>
      <c r="E59" s="439"/>
      <c r="F59" s="439"/>
      <c r="G59" s="440"/>
      <c r="H59" s="441"/>
      <c r="I59" s="441"/>
      <c r="J59" s="441"/>
      <c r="K59" s="441"/>
      <c r="L59" s="442"/>
      <c r="M59" s="441"/>
      <c r="N59" s="440"/>
      <c r="O59" s="441"/>
      <c r="P59" s="441"/>
      <c r="Q59" s="441"/>
      <c r="R59" s="441"/>
      <c r="S59" s="441"/>
      <c r="T59" s="441"/>
      <c r="U59" s="443"/>
      <c r="V59" s="444"/>
      <c r="W59" s="444"/>
      <c r="X59" s="444"/>
      <c r="Y59" s="441"/>
      <c r="Z59" s="444"/>
      <c r="AA59" s="441"/>
      <c r="AB59" s="441"/>
      <c r="AC59" s="441"/>
      <c r="AD59" s="441"/>
      <c r="AE59" s="441"/>
      <c r="AF59" s="441"/>
      <c r="AG59" s="441"/>
      <c r="AH59" s="441"/>
      <c r="AI59" s="445"/>
      <c r="AJ59" s="439"/>
      <c r="AK59" s="439"/>
      <c r="AL59" s="439"/>
      <c r="AM59" s="441"/>
      <c r="AN59" s="439"/>
      <c r="AO59" s="441"/>
      <c r="AP59" s="440"/>
      <c r="AQ59" s="441"/>
      <c r="AR59" s="441"/>
      <c r="AS59" s="441"/>
      <c r="AT59" s="441"/>
      <c r="AU59" s="441"/>
      <c r="AV59" s="441"/>
      <c r="AW59" s="445"/>
      <c r="AX59" s="446"/>
      <c r="AY59" s="104"/>
    </row>
    <row r="60" spans="1:56" x14ac:dyDescent="0.3">
      <c r="A60" s="917" t="s">
        <v>286</v>
      </c>
      <c r="B60" s="854" t="s">
        <v>9</v>
      </c>
      <c r="C60" s="90">
        <v>6</v>
      </c>
      <c r="D60" s="90" t="s">
        <v>39</v>
      </c>
      <c r="E60" s="90">
        <v>2020</v>
      </c>
      <c r="F60" s="91" t="s">
        <v>19</v>
      </c>
      <c r="G60" s="447">
        <f t="shared" ref="G60:G62" si="56">(3480)/1.1422</f>
        <v>3046.7518823323408</v>
      </c>
      <c r="H60" s="93">
        <f t="shared" ref="H60:H62" si="57">G60+((I60-G60)/($I$2-$G$2))*($H$2-$G$2)</f>
        <v>2512.694799509718</v>
      </c>
      <c r="I60" s="94">
        <f>(2260)/1.1422</f>
        <v>1978.637716687095</v>
      </c>
      <c r="J60" s="93">
        <f t="shared" ref="J60:J62" si="58">I60+((L60-I60)/(2050-2030))*(2040-2030)</f>
        <v>1742.2517947819997</v>
      </c>
      <c r="K60" s="93">
        <f t="shared" ref="K60:K63" si="59">J60+((L60-J60)/(2050-2040))*(2045-2040)</f>
        <v>1624.0588338294519</v>
      </c>
      <c r="L60" s="94">
        <f>(1720)/1.1422</f>
        <v>1505.8658728769042</v>
      </c>
      <c r="M60" s="95">
        <f t="shared" ref="M60:M64" si="60">K60+((L60-K60)/(2050-2045))*(2060-2045)</f>
        <v>1269.4799509718086</v>
      </c>
      <c r="N60" s="93">
        <f t="shared" ref="N60:N62" si="61">G60*0.02*$BC$6</f>
        <v>82.181377862728752</v>
      </c>
      <c r="O60" s="93">
        <f>H60*0.02*$BC$6</f>
        <v>67.776021398284911</v>
      </c>
      <c r="P60" s="93">
        <f>I60*0.02*$BC$6</f>
        <v>53.370664933841077</v>
      </c>
      <c r="Q60" s="93">
        <f>J60*0.02*$BC$6</f>
        <v>46.994523547939721</v>
      </c>
      <c r="R60" s="93">
        <f>K60*0.02*$BC$6</f>
        <v>43.806452854989026</v>
      </c>
      <c r="S60" s="93">
        <f>L60*0.02*$BC$6</f>
        <v>40.618382162038351</v>
      </c>
      <c r="T60" s="93">
        <f>M60*0.02*$BC$6</f>
        <v>34.242240776136974</v>
      </c>
      <c r="U60" s="448">
        <f t="shared" ref="U60:U62" si="62">((15)/1.1422)*0.001</f>
        <v>1.3132551216949746E-2</v>
      </c>
      <c r="V60" s="286">
        <f t="shared" ref="V60:V62" si="63">U60+((W60-U60)/(2050-2030))*(2040-2030)</f>
        <v>1.0943792680791455E-2</v>
      </c>
      <c r="W60" s="449">
        <f t="shared" ref="W60:W62" si="64">((10)/1.1422)*0.001</f>
        <v>8.7550341446331632E-3</v>
      </c>
      <c r="X60" s="286">
        <f t="shared" ref="X60:X62" si="65">W60+((Z60-W60)/(2050-2030))*(2040-2030)</f>
        <v>8.7550341446331632E-3</v>
      </c>
      <c r="Y60" s="286">
        <f t="shared" ref="Y60:Y62" si="66">X60+((Z60-X60)/(2050-2040))*(2045-2040)</f>
        <v>8.7550341446331632E-3</v>
      </c>
      <c r="Z60" s="449">
        <f t="shared" ref="Z60:Z62" si="67">((10)/1.1422)*0.001</f>
        <v>8.7550341446331632E-3</v>
      </c>
      <c r="AA60" s="366">
        <f t="shared" ref="AA60:AA62" si="68">Y60+((Z60-Y60)/(2050-2045))*(2060-2045)</f>
        <v>8.7550341446331632E-3</v>
      </c>
      <c r="AB60" s="286"/>
      <c r="AC60" s="286"/>
      <c r="AD60" s="286"/>
      <c r="AE60" s="286"/>
      <c r="AF60" s="286"/>
      <c r="AG60" s="286"/>
      <c r="AH60" s="286"/>
      <c r="AI60" s="96"/>
      <c r="AJ60" s="97"/>
      <c r="AK60" s="97"/>
      <c r="AL60" s="97"/>
      <c r="AM60" s="94"/>
      <c r="AN60" s="97"/>
      <c r="AO60" s="98"/>
      <c r="AP60" s="856">
        <v>1</v>
      </c>
      <c r="AQ60" s="857"/>
      <c r="AR60" s="857"/>
      <c r="AS60" s="857"/>
      <c r="AT60" s="857"/>
      <c r="AU60" s="857"/>
      <c r="AV60" s="858"/>
      <c r="AW60" s="826" t="s">
        <v>287</v>
      </c>
      <c r="AX60" s="827"/>
      <c r="AY60" s="104" t="s">
        <v>288</v>
      </c>
    </row>
    <row r="61" spans="1:56" x14ac:dyDescent="0.3">
      <c r="A61" s="917"/>
      <c r="B61" s="855"/>
      <c r="C61" s="105">
        <v>6</v>
      </c>
      <c r="D61" s="105" t="s">
        <v>39</v>
      </c>
      <c r="E61" s="105">
        <v>2020</v>
      </c>
      <c r="F61" s="91" t="s">
        <v>19</v>
      </c>
      <c r="G61" s="113">
        <f t="shared" si="56"/>
        <v>3046.7518823323408</v>
      </c>
      <c r="H61" s="107">
        <f t="shared" si="57"/>
        <v>2503.9397653650849</v>
      </c>
      <c r="I61" s="108">
        <f>(2240)/1.1422</f>
        <v>1961.1276483978286</v>
      </c>
      <c r="J61" s="107">
        <f t="shared" si="58"/>
        <v>1654.7014533356678</v>
      </c>
      <c r="K61" s="107">
        <f t="shared" si="59"/>
        <v>1501.4883558045876</v>
      </c>
      <c r="L61" s="108">
        <f>(1540)/1.1422</f>
        <v>1348.2752582735072</v>
      </c>
      <c r="M61" s="109">
        <f t="shared" si="60"/>
        <v>1041.8490632113464</v>
      </c>
      <c r="N61" s="107">
        <f t="shared" si="61"/>
        <v>82.181377862728752</v>
      </c>
      <c r="O61" s="107">
        <f>H61*0.02*$BC$6</f>
        <v>67.539868013621899</v>
      </c>
      <c r="P61" s="107">
        <f>I61*0.02*$BC$6</f>
        <v>52.898358164515052</v>
      </c>
      <c r="Q61" s="107">
        <f>J61*0.02*$BC$6</f>
        <v>44.632989701309569</v>
      </c>
      <c r="R61" s="107">
        <f>K61*0.02*$BC$6</f>
        <v>40.500305469706845</v>
      </c>
      <c r="S61" s="107">
        <f>L61*0.02*$BC$6</f>
        <v>36.3676212381041</v>
      </c>
      <c r="T61" s="107">
        <f>M61*0.02*$BC$6</f>
        <v>28.10225277489862</v>
      </c>
      <c r="U61" s="450">
        <f t="shared" si="62"/>
        <v>1.3132551216949746E-2</v>
      </c>
      <c r="V61" s="295">
        <f t="shared" si="63"/>
        <v>1.0943792680791455E-2</v>
      </c>
      <c r="W61" s="451">
        <f t="shared" si="64"/>
        <v>8.7550341446331632E-3</v>
      </c>
      <c r="X61" s="295">
        <f t="shared" si="65"/>
        <v>8.7550341446331632E-3</v>
      </c>
      <c r="Y61" s="295">
        <f t="shared" si="66"/>
        <v>8.7550341446331632E-3</v>
      </c>
      <c r="Z61" s="451">
        <f t="shared" si="67"/>
        <v>8.7550341446331632E-3</v>
      </c>
      <c r="AA61" s="452">
        <f t="shared" si="68"/>
        <v>8.7550341446331632E-3</v>
      </c>
      <c r="AB61" s="1041"/>
      <c r="AC61" s="1041"/>
      <c r="AD61" s="1041"/>
      <c r="AE61" s="1041"/>
      <c r="AF61" s="1041"/>
      <c r="AG61" s="1041"/>
      <c r="AH61" s="1041"/>
      <c r="AI61" s="110"/>
      <c r="AJ61" s="111"/>
      <c r="AK61" s="111"/>
      <c r="AL61" s="111"/>
      <c r="AM61" s="108"/>
      <c r="AN61" s="111"/>
      <c r="AO61" s="112"/>
      <c r="AP61" s="859"/>
      <c r="AQ61" s="860"/>
      <c r="AR61" s="860"/>
      <c r="AS61" s="860"/>
      <c r="AT61" s="860"/>
      <c r="AU61" s="860"/>
      <c r="AV61" s="861"/>
      <c r="AW61" s="828" t="s">
        <v>287</v>
      </c>
      <c r="AX61" s="829"/>
      <c r="AY61" s="104" t="s">
        <v>289</v>
      </c>
    </row>
    <row r="62" spans="1:56" x14ac:dyDescent="0.3">
      <c r="A62" s="917"/>
      <c r="B62" s="855"/>
      <c r="C62" s="105">
        <v>6</v>
      </c>
      <c r="D62" s="105" t="s">
        <v>39</v>
      </c>
      <c r="E62" s="105">
        <v>2020</v>
      </c>
      <c r="F62" s="91" t="s">
        <v>19</v>
      </c>
      <c r="G62" s="113">
        <f t="shared" si="56"/>
        <v>3046.7518823323408</v>
      </c>
      <c r="H62" s="107">
        <f t="shared" si="57"/>
        <v>2495.1847312204513</v>
      </c>
      <c r="I62" s="108">
        <f>(2220)/1.1422</f>
        <v>1943.6175801085622</v>
      </c>
      <c r="J62" s="107">
        <f t="shared" si="58"/>
        <v>1637.1913850464016</v>
      </c>
      <c r="K62" s="107">
        <f t="shared" si="59"/>
        <v>1483.9782875153212</v>
      </c>
      <c r="L62" s="108">
        <f>(1520)/1.1422</f>
        <v>1330.7651899842408</v>
      </c>
      <c r="M62" s="109">
        <f t="shared" si="60"/>
        <v>1024.33899492208</v>
      </c>
      <c r="N62" s="107">
        <f t="shared" si="61"/>
        <v>82.181377862728752</v>
      </c>
      <c r="O62" s="107">
        <f>H62*0.02*$BC$6</f>
        <v>67.303714628958872</v>
      </c>
      <c r="P62" s="107">
        <f>I62*0.02*$BC$6</f>
        <v>52.42605139518902</v>
      </c>
      <c r="Q62" s="107">
        <f>J62*0.02*$BC$6</f>
        <v>44.160682931983544</v>
      </c>
      <c r="R62" s="107">
        <f>K62*0.02*$BC$6</f>
        <v>40.027998700380806</v>
      </c>
      <c r="S62" s="107">
        <f>L62*0.02*$BC$6</f>
        <v>35.895314468778075</v>
      </c>
      <c r="T62" s="107">
        <f>M62*0.02*$BC$6</f>
        <v>27.629946005572592</v>
      </c>
      <c r="U62" s="450">
        <f t="shared" si="62"/>
        <v>1.3132551216949746E-2</v>
      </c>
      <c r="V62" s="295">
        <f t="shared" si="63"/>
        <v>1.0943792680791455E-2</v>
      </c>
      <c r="W62" s="451">
        <f t="shared" si="64"/>
        <v>8.7550341446331632E-3</v>
      </c>
      <c r="X62" s="295">
        <f t="shared" si="65"/>
        <v>8.7550341446331632E-3</v>
      </c>
      <c r="Y62" s="295">
        <f t="shared" si="66"/>
        <v>8.7550341446331632E-3</v>
      </c>
      <c r="Z62" s="451">
        <f t="shared" si="67"/>
        <v>8.7550341446331632E-3</v>
      </c>
      <c r="AA62" s="452">
        <f t="shared" si="68"/>
        <v>8.7550341446331632E-3</v>
      </c>
      <c r="AB62" s="1041"/>
      <c r="AC62" s="1041"/>
      <c r="AD62" s="1041"/>
      <c r="AE62" s="1041"/>
      <c r="AF62" s="1041"/>
      <c r="AG62" s="1041"/>
      <c r="AH62" s="1041"/>
      <c r="AI62" s="110"/>
      <c r="AJ62" s="111"/>
      <c r="AK62" s="111"/>
      <c r="AL62" s="111"/>
      <c r="AM62" s="108"/>
      <c r="AN62" s="111"/>
      <c r="AO62" s="112"/>
      <c r="AP62" s="859"/>
      <c r="AQ62" s="860"/>
      <c r="AR62" s="860"/>
      <c r="AS62" s="860"/>
      <c r="AT62" s="860"/>
      <c r="AU62" s="860"/>
      <c r="AV62" s="861"/>
      <c r="AW62" s="828" t="s">
        <v>287</v>
      </c>
      <c r="AX62" s="829"/>
      <c r="AY62" s="104" t="s">
        <v>290</v>
      </c>
    </row>
    <row r="63" spans="1:56" x14ac:dyDescent="0.3">
      <c r="A63" s="917"/>
      <c r="B63" s="855"/>
      <c r="C63" s="105">
        <v>9</v>
      </c>
      <c r="D63" s="105" t="s">
        <v>50</v>
      </c>
      <c r="E63" s="105">
        <v>2021</v>
      </c>
      <c r="F63" s="91" t="s">
        <v>19</v>
      </c>
      <c r="G63" s="113">
        <f>2590</f>
        <v>2590</v>
      </c>
      <c r="H63" s="107">
        <f>$G$63+(($L$63-$G$63)/(2050-2020))*(2025-2020)</f>
        <v>2372.5</v>
      </c>
      <c r="I63" s="107">
        <f>$G$63+(($L$63-$G$63)/(2050-2020))*(2030-2020)</f>
        <v>2155</v>
      </c>
      <c r="J63" s="107">
        <f>$G$63+(($L$63-$G$63)/(2050-2020))*(2040-2020)</f>
        <v>1720</v>
      </c>
      <c r="K63" s="107">
        <f t="shared" si="59"/>
        <v>1502.5</v>
      </c>
      <c r="L63" s="108">
        <f>1285</f>
        <v>1285</v>
      </c>
      <c r="M63" s="109">
        <f t="shared" si="60"/>
        <v>850</v>
      </c>
      <c r="N63" s="108">
        <f>93</f>
        <v>93</v>
      </c>
      <c r="O63" s="107">
        <f>N63+((P63-N63)/(2030-2020))*(2025-2020)</f>
        <v>85.166666666666657</v>
      </c>
      <c r="P63" s="107">
        <f>N63+((S63-N63)/(2050-2020))*(2030-2020)</f>
        <v>77.333333333333329</v>
      </c>
      <c r="Q63" s="107">
        <f>P63+((S63-P63)/(2050-2030))*(2040-2030)</f>
        <v>61.666666666666664</v>
      </c>
      <c r="R63" s="107">
        <f>Q63+((S63-Q63)/(2050-2040))*(2045-2040)</f>
        <v>53.833333333333329</v>
      </c>
      <c r="S63" s="108">
        <f>46</f>
        <v>46</v>
      </c>
      <c r="T63" s="109">
        <f t="shared" ref="T63:T64" si="69">R63+((S63-R63)/(2050-2045))*(2060-2045)</f>
        <v>30.333333333333343</v>
      </c>
      <c r="U63" s="450"/>
      <c r="V63" s="451"/>
      <c r="W63" s="451"/>
      <c r="X63" s="451"/>
      <c r="Y63" s="108"/>
      <c r="Z63" s="451"/>
      <c r="AA63" s="112"/>
      <c r="AB63" s="1032"/>
      <c r="AC63" s="1032"/>
      <c r="AD63" s="1032"/>
      <c r="AE63" s="1032"/>
      <c r="AF63" s="1032"/>
      <c r="AG63" s="1032"/>
      <c r="AH63" s="1032"/>
      <c r="AI63" s="110"/>
      <c r="AJ63" s="111"/>
      <c r="AK63" s="111"/>
      <c r="AL63" s="111"/>
      <c r="AM63" s="108"/>
      <c r="AN63" s="111"/>
      <c r="AO63" s="112"/>
      <c r="AP63" s="859"/>
      <c r="AQ63" s="860"/>
      <c r="AR63" s="860"/>
      <c r="AS63" s="860"/>
      <c r="AT63" s="860"/>
      <c r="AU63" s="860"/>
      <c r="AV63" s="861"/>
      <c r="AW63" s="110"/>
      <c r="AX63" s="46"/>
      <c r="AY63" s="116"/>
    </row>
    <row r="64" spans="1:56" x14ac:dyDescent="0.3">
      <c r="A64" s="917"/>
      <c r="B64" s="855"/>
      <c r="C64" s="105">
        <v>5</v>
      </c>
      <c r="D64" s="105" t="s">
        <v>35</v>
      </c>
      <c r="E64" s="105">
        <v>2021</v>
      </c>
      <c r="F64" s="91" t="s">
        <v>19</v>
      </c>
      <c r="G64" s="113">
        <f>2440</f>
        <v>2440</v>
      </c>
      <c r="H64" s="108">
        <f>2200</f>
        <v>2200</v>
      </c>
      <c r="I64" s="108">
        <f>2200</f>
        <v>2200</v>
      </c>
      <c r="J64" s="108">
        <f>1900</f>
        <v>1900</v>
      </c>
      <c r="K64" s="108">
        <v>1850</v>
      </c>
      <c r="L64" s="108">
        <f>1800</f>
        <v>1800</v>
      </c>
      <c r="M64" s="109">
        <f t="shared" si="60"/>
        <v>1700</v>
      </c>
      <c r="N64" s="108">
        <f>80</f>
        <v>80</v>
      </c>
      <c r="O64" s="108">
        <f>77</f>
        <v>77</v>
      </c>
      <c r="P64" s="108">
        <f>75</f>
        <v>75</v>
      </c>
      <c r="Q64" s="108">
        <f>65</f>
        <v>65</v>
      </c>
      <c r="R64" s="108">
        <v>63</v>
      </c>
      <c r="S64" s="108">
        <f>60</f>
        <v>60</v>
      </c>
      <c r="T64" s="109">
        <f t="shared" si="69"/>
        <v>54</v>
      </c>
      <c r="U64" s="450"/>
      <c r="V64" s="451"/>
      <c r="W64" s="451"/>
      <c r="X64" s="451"/>
      <c r="Y64" s="108"/>
      <c r="Z64" s="451"/>
      <c r="AA64" s="112"/>
      <c r="AB64" s="1032"/>
      <c r="AC64" s="1032"/>
      <c r="AD64" s="1032"/>
      <c r="AE64" s="1032"/>
      <c r="AF64" s="1032"/>
      <c r="AG64" s="1032"/>
      <c r="AH64" s="1032"/>
      <c r="AI64" s="110">
        <v>25</v>
      </c>
      <c r="AJ64" s="111">
        <v>25</v>
      </c>
      <c r="AK64" s="111">
        <v>25</v>
      </c>
      <c r="AL64" s="111">
        <v>25</v>
      </c>
      <c r="AM64" s="117">
        <v>25</v>
      </c>
      <c r="AN64" s="111">
        <v>25</v>
      </c>
      <c r="AO64" s="109">
        <v>25</v>
      </c>
      <c r="AP64" s="859"/>
      <c r="AQ64" s="860"/>
      <c r="AR64" s="860"/>
      <c r="AS64" s="860"/>
      <c r="AT64" s="860"/>
      <c r="AU64" s="860"/>
      <c r="AV64" s="861"/>
      <c r="AW64" s="110"/>
      <c r="AX64" s="46"/>
      <c r="AY64" s="116" t="s">
        <v>291</v>
      </c>
    </row>
    <row r="65" spans="1:51" x14ac:dyDescent="0.3">
      <c r="A65" s="917"/>
      <c r="B65" s="855"/>
      <c r="C65" s="105">
        <v>23</v>
      </c>
      <c r="D65" s="105" t="s">
        <v>88</v>
      </c>
      <c r="E65" s="105">
        <v>2021</v>
      </c>
      <c r="F65" s="91" t="s">
        <v>19</v>
      </c>
      <c r="G65" s="113">
        <v>2736</v>
      </c>
      <c r="H65" s="108">
        <v>2419</v>
      </c>
      <c r="I65" s="108">
        <v>2102</v>
      </c>
      <c r="J65" s="108">
        <v>1900</v>
      </c>
      <c r="K65" s="108">
        <v>1800</v>
      </c>
      <c r="L65" s="108">
        <v>1700</v>
      </c>
      <c r="M65" s="112">
        <v>1700</v>
      </c>
      <c r="N65" s="108">
        <f>G65*0.03</f>
        <v>82.08</v>
      </c>
      <c r="O65" s="108">
        <f t="shared" ref="O65:T65" si="70">H65*0.03</f>
        <v>72.569999999999993</v>
      </c>
      <c r="P65" s="108">
        <f t="shared" si="70"/>
        <v>63.059999999999995</v>
      </c>
      <c r="Q65" s="108">
        <f t="shared" si="70"/>
        <v>57</v>
      </c>
      <c r="R65" s="108">
        <f t="shared" si="70"/>
        <v>54</v>
      </c>
      <c r="S65" s="108">
        <f t="shared" si="70"/>
        <v>51</v>
      </c>
      <c r="T65" s="112">
        <f t="shared" si="70"/>
        <v>51</v>
      </c>
      <c r="U65" s="450"/>
      <c r="V65" s="451"/>
      <c r="W65" s="451"/>
      <c r="X65" s="451"/>
      <c r="Y65" s="108"/>
      <c r="Z65" s="451"/>
      <c r="AA65" s="112"/>
      <c r="AB65" s="1032"/>
      <c r="AC65" s="1032"/>
      <c r="AD65" s="1032"/>
      <c r="AE65" s="1032"/>
      <c r="AF65" s="1032"/>
      <c r="AG65" s="1032"/>
      <c r="AH65" s="1032"/>
      <c r="AI65" s="110">
        <v>25</v>
      </c>
      <c r="AJ65" s="111">
        <v>25</v>
      </c>
      <c r="AK65" s="111">
        <v>25</v>
      </c>
      <c r="AL65" s="111">
        <v>25</v>
      </c>
      <c r="AM65" s="117">
        <v>25</v>
      </c>
      <c r="AN65" s="117">
        <v>25</v>
      </c>
      <c r="AO65" s="453">
        <v>25</v>
      </c>
      <c r="AP65" s="859"/>
      <c r="AQ65" s="860"/>
      <c r="AR65" s="860"/>
      <c r="AS65" s="860"/>
      <c r="AT65" s="860"/>
      <c r="AU65" s="860"/>
      <c r="AV65" s="861"/>
      <c r="AW65" s="110"/>
      <c r="AX65" s="46"/>
      <c r="AY65" s="116"/>
    </row>
    <row r="66" spans="1:51" x14ac:dyDescent="0.3">
      <c r="A66" s="917"/>
      <c r="B66" s="918"/>
      <c r="C66" s="120">
        <v>13</v>
      </c>
      <c r="D66" s="120" t="s">
        <v>63</v>
      </c>
      <c r="E66" s="120">
        <v>2020</v>
      </c>
      <c r="F66" s="91" t="s">
        <v>19</v>
      </c>
      <c r="G66" s="113">
        <v>2304.59</v>
      </c>
      <c r="H66" s="108"/>
      <c r="I66" s="108"/>
      <c r="J66" s="108"/>
      <c r="K66" s="108"/>
      <c r="L66" s="108"/>
      <c r="M66" s="112"/>
      <c r="N66" s="122">
        <f>G66*0.02*$BC$6</f>
        <v>62.162719159028271</v>
      </c>
      <c r="O66" s="121"/>
      <c r="P66" s="121"/>
      <c r="Q66" s="121"/>
      <c r="R66" s="108"/>
      <c r="S66" s="121"/>
      <c r="T66" s="112"/>
      <c r="U66" s="454"/>
      <c r="V66" s="455"/>
      <c r="W66" s="455"/>
      <c r="X66" s="455"/>
      <c r="Y66" s="108"/>
      <c r="Z66" s="455"/>
      <c r="AA66" s="112"/>
      <c r="AB66" s="1032"/>
      <c r="AC66" s="1032"/>
      <c r="AD66" s="1032"/>
      <c r="AE66" s="1032"/>
      <c r="AF66" s="1032"/>
      <c r="AG66" s="1032"/>
      <c r="AH66" s="1032"/>
      <c r="AI66" s="123"/>
      <c r="AJ66" s="124"/>
      <c r="AK66" s="124"/>
      <c r="AL66" s="124"/>
      <c r="AM66" s="108"/>
      <c r="AN66" s="124"/>
      <c r="AO66" s="112"/>
      <c r="AP66" s="859"/>
      <c r="AQ66" s="860"/>
      <c r="AR66" s="860"/>
      <c r="AS66" s="860"/>
      <c r="AT66" s="860"/>
      <c r="AU66" s="860"/>
      <c r="AV66" s="861"/>
      <c r="AW66" s="123"/>
      <c r="AX66" s="51"/>
      <c r="AY66" s="116"/>
    </row>
    <row r="67" spans="1:51" x14ac:dyDescent="0.3">
      <c r="A67" s="917"/>
      <c r="B67" s="125" t="s">
        <v>267</v>
      </c>
      <c r="C67" s="126"/>
      <c r="D67" s="126"/>
      <c r="E67" s="126"/>
      <c r="F67" s="126"/>
      <c r="G67" s="127">
        <f>MIN(G60:G66)</f>
        <v>2304.59</v>
      </c>
      <c r="H67" s="128">
        <f t="shared" ref="H67:AO67" si="71">MIN(H60:H66)</f>
        <v>2200</v>
      </c>
      <c r="I67" s="128">
        <f t="shared" si="71"/>
        <v>1943.6175801085622</v>
      </c>
      <c r="J67" s="128">
        <f t="shared" si="71"/>
        <v>1637.1913850464016</v>
      </c>
      <c r="K67" s="128">
        <f t="shared" si="71"/>
        <v>1483.9782875153212</v>
      </c>
      <c r="L67" s="128">
        <f t="shared" si="71"/>
        <v>1285</v>
      </c>
      <c r="M67" s="456">
        <f t="shared" si="71"/>
        <v>850</v>
      </c>
      <c r="N67" s="128">
        <f t="shared" si="71"/>
        <v>62.162719159028271</v>
      </c>
      <c r="O67" s="128">
        <f t="shared" si="71"/>
        <v>67.303714628958872</v>
      </c>
      <c r="P67" s="128">
        <f t="shared" si="71"/>
        <v>52.42605139518902</v>
      </c>
      <c r="Q67" s="128">
        <f t="shared" si="71"/>
        <v>44.160682931983544</v>
      </c>
      <c r="R67" s="128">
        <f t="shared" si="71"/>
        <v>40.027998700380806</v>
      </c>
      <c r="S67" s="128">
        <f t="shared" si="71"/>
        <v>35.895314468778075</v>
      </c>
      <c r="T67" s="456">
        <f t="shared" si="71"/>
        <v>27.629946005572592</v>
      </c>
      <c r="U67" s="457">
        <f t="shared" si="71"/>
        <v>1.3132551216949746E-2</v>
      </c>
      <c r="V67" s="458">
        <f t="shared" si="71"/>
        <v>1.0943792680791455E-2</v>
      </c>
      <c r="W67" s="458">
        <f t="shared" si="71"/>
        <v>8.7550341446331632E-3</v>
      </c>
      <c r="X67" s="458">
        <f t="shared" si="71"/>
        <v>8.7550341446331632E-3</v>
      </c>
      <c r="Y67" s="458">
        <f t="shared" si="71"/>
        <v>8.7550341446331632E-3</v>
      </c>
      <c r="Z67" s="458">
        <f t="shared" si="71"/>
        <v>8.7550341446331632E-3</v>
      </c>
      <c r="AA67" s="458">
        <f t="shared" si="71"/>
        <v>8.7550341446331632E-3</v>
      </c>
      <c r="AB67" s="458"/>
      <c r="AC67" s="458"/>
      <c r="AD67" s="458"/>
      <c r="AE67" s="458"/>
      <c r="AF67" s="458"/>
      <c r="AG67" s="458"/>
      <c r="AH67" s="458"/>
      <c r="AI67" s="131">
        <f t="shared" si="71"/>
        <v>25</v>
      </c>
      <c r="AJ67" s="126">
        <f t="shared" si="71"/>
        <v>25</v>
      </c>
      <c r="AK67" s="126">
        <f t="shared" si="71"/>
        <v>25</v>
      </c>
      <c r="AL67" s="126">
        <f t="shared" si="71"/>
        <v>25</v>
      </c>
      <c r="AM67" s="126">
        <f t="shared" si="71"/>
        <v>25</v>
      </c>
      <c r="AN67" s="126">
        <f t="shared" si="71"/>
        <v>25</v>
      </c>
      <c r="AO67" s="132">
        <f t="shared" si="71"/>
        <v>25</v>
      </c>
      <c r="AP67" s="889">
        <v>1</v>
      </c>
      <c r="AQ67" s="890"/>
      <c r="AR67" s="890"/>
      <c r="AS67" s="890"/>
      <c r="AT67" s="890"/>
      <c r="AU67" s="890"/>
      <c r="AV67" s="891"/>
      <c r="AW67" s="131"/>
      <c r="AX67" s="132"/>
      <c r="AY67" s="104"/>
    </row>
    <row r="68" spans="1:51" x14ac:dyDescent="0.3">
      <c r="A68" s="917"/>
      <c r="B68" s="133" t="s">
        <v>268</v>
      </c>
      <c r="C68" s="134"/>
      <c r="D68" s="134"/>
      <c r="E68" s="134"/>
      <c r="F68" s="134"/>
      <c r="G68" s="135">
        <f t="shared" ref="G68:AO68" si="72">MEDIAN(G60:G66)</f>
        <v>2736</v>
      </c>
      <c r="H68" s="136">
        <f t="shared" si="72"/>
        <v>2457.0923656102259</v>
      </c>
      <c r="I68" s="136">
        <f t="shared" si="72"/>
        <v>2040.3188583435476</v>
      </c>
      <c r="J68" s="136">
        <f t="shared" si="72"/>
        <v>1731.1258973909999</v>
      </c>
      <c r="K68" s="136">
        <f t="shared" si="72"/>
        <v>1563.279416914726</v>
      </c>
      <c r="L68" s="136">
        <f t="shared" si="72"/>
        <v>1427.0705655752058</v>
      </c>
      <c r="M68" s="459">
        <f t="shared" si="72"/>
        <v>1155.6645070915774</v>
      </c>
      <c r="N68" s="136">
        <f t="shared" si="72"/>
        <v>82.181377862728752</v>
      </c>
      <c r="O68" s="136">
        <f t="shared" si="72"/>
        <v>70.173010699142452</v>
      </c>
      <c r="P68" s="136">
        <f t="shared" si="72"/>
        <v>58.215332466920536</v>
      </c>
      <c r="Q68" s="136">
        <f t="shared" si="72"/>
        <v>51.997261773969861</v>
      </c>
      <c r="R68" s="136">
        <f t="shared" si="72"/>
        <v>48.819893094161174</v>
      </c>
      <c r="S68" s="136">
        <f t="shared" si="72"/>
        <v>43.309191081019179</v>
      </c>
      <c r="T68" s="459">
        <f t="shared" si="72"/>
        <v>32.287787054735162</v>
      </c>
      <c r="U68" s="460">
        <f t="shared" si="72"/>
        <v>1.3132551216949746E-2</v>
      </c>
      <c r="V68" s="461">
        <f t="shared" si="72"/>
        <v>1.0943792680791455E-2</v>
      </c>
      <c r="W68" s="461">
        <f t="shared" si="72"/>
        <v>8.7550341446331632E-3</v>
      </c>
      <c r="X68" s="461">
        <f t="shared" si="72"/>
        <v>8.7550341446331632E-3</v>
      </c>
      <c r="Y68" s="461">
        <f t="shared" si="72"/>
        <v>8.7550341446331632E-3</v>
      </c>
      <c r="Z68" s="461">
        <f t="shared" si="72"/>
        <v>8.7550341446331632E-3</v>
      </c>
      <c r="AA68" s="461">
        <f t="shared" si="72"/>
        <v>8.7550341446331632E-3</v>
      </c>
      <c r="AB68" s="461"/>
      <c r="AC68" s="461"/>
      <c r="AD68" s="461"/>
      <c r="AE68" s="461"/>
      <c r="AF68" s="461"/>
      <c r="AG68" s="461"/>
      <c r="AH68" s="461"/>
      <c r="AI68" s="139">
        <f t="shared" si="72"/>
        <v>25</v>
      </c>
      <c r="AJ68" s="134">
        <f t="shared" si="72"/>
        <v>25</v>
      </c>
      <c r="AK68" s="134">
        <f t="shared" si="72"/>
        <v>25</v>
      </c>
      <c r="AL68" s="134">
        <f t="shared" si="72"/>
        <v>25</v>
      </c>
      <c r="AM68" s="134">
        <f t="shared" si="72"/>
        <v>25</v>
      </c>
      <c r="AN68" s="134">
        <f t="shared" si="72"/>
        <v>25</v>
      </c>
      <c r="AO68" s="140">
        <f t="shared" si="72"/>
        <v>25</v>
      </c>
      <c r="AP68" s="892"/>
      <c r="AQ68" s="893"/>
      <c r="AR68" s="893"/>
      <c r="AS68" s="893"/>
      <c r="AT68" s="893"/>
      <c r="AU68" s="893"/>
      <c r="AV68" s="894"/>
      <c r="AW68" s="139"/>
      <c r="AX68" s="140"/>
      <c r="AY68" s="104"/>
    </row>
    <row r="69" spans="1:51" x14ac:dyDescent="0.3">
      <c r="A69" s="917"/>
      <c r="B69" s="141" t="s">
        <v>269</v>
      </c>
      <c r="C69" s="142"/>
      <c r="D69" s="142"/>
      <c r="E69" s="142"/>
      <c r="F69" s="142"/>
      <c r="G69" s="135">
        <f t="shared" ref="G69:AO69" si="73">MAX(G60:G66)</f>
        <v>3046.7518823323408</v>
      </c>
      <c r="H69" s="136">
        <f t="shared" si="73"/>
        <v>2512.694799509718</v>
      </c>
      <c r="I69" s="136">
        <f t="shared" si="73"/>
        <v>2200</v>
      </c>
      <c r="J69" s="136">
        <f t="shared" si="73"/>
        <v>1900</v>
      </c>
      <c r="K69" s="136">
        <f t="shared" si="73"/>
        <v>1850</v>
      </c>
      <c r="L69" s="136">
        <f t="shared" si="73"/>
        <v>1800</v>
      </c>
      <c r="M69" s="459">
        <f t="shared" si="73"/>
        <v>1700</v>
      </c>
      <c r="N69" s="143">
        <f t="shared" si="73"/>
        <v>93</v>
      </c>
      <c r="O69" s="143">
        <f t="shared" si="73"/>
        <v>85.166666666666657</v>
      </c>
      <c r="P69" s="143">
        <f t="shared" si="73"/>
        <v>77.333333333333329</v>
      </c>
      <c r="Q69" s="143">
        <f t="shared" si="73"/>
        <v>65</v>
      </c>
      <c r="R69" s="136">
        <f t="shared" si="73"/>
        <v>63</v>
      </c>
      <c r="S69" s="143">
        <f t="shared" si="73"/>
        <v>60</v>
      </c>
      <c r="T69" s="459">
        <f t="shared" si="73"/>
        <v>54</v>
      </c>
      <c r="U69" s="462">
        <f t="shared" si="73"/>
        <v>1.3132551216949746E-2</v>
      </c>
      <c r="V69" s="463">
        <f t="shared" si="73"/>
        <v>1.0943792680791455E-2</v>
      </c>
      <c r="W69" s="463">
        <f t="shared" si="73"/>
        <v>8.7550341446331632E-3</v>
      </c>
      <c r="X69" s="463">
        <f t="shared" si="73"/>
        <v>8.7550341446331632E-3</v>
      </c>
      <c r="Y69" s="463">
        <f t="shared" si="73"/>
        <v>8.7550341446331632E-3</v>
      </c>
      <c r="Z69" s="463">
        <f t="shared" si="73"/>
        <v>8.7550341446331632E-3</v>
      </c>
      <c r="AA69" s="463">
        <f t="shared" si="73"/>
        <v>8.7550341446331632E-3</v>
      </c>
      <c r="AB69" s="463"/>
      <c r="AC69" s="463"/>
      <c r="AD69" s="463"/>
      <c r="AE69" s="463"/>
      <c r="AF69" s="463"/>
      <c r="AG69" s="463"/>
      <c r="AH69" s="463"/>
      <c r="AI69" s="145">
        <f t="shared" si="73"/>
        <v>25</v>
      </c>
      <c r="AJ69" s="142">
        <f t="shared" si="73"/>
        <v>25</v>
      </c>
      <c r="AK69" s="142">
        <f t="shared" si="73"/>
        <v>25</v>
      </c>
      <c r="AL69" s="142">
        <f t="shared" si="73"/>
        <v>25</v>
      </c>
      <c r="AM69" s="142">
        <f t="shared" si="73"/>
        <v>25</v>
      </c>
      <c r="AN69" s="142">
        <f t="shared" si="73"/>
        <v>25</v>
      </c>
      <c r="AO69" s="146">
        <f t="shared" si="73"/>
        <v>25</v>
      </c>
      <c r="AP69" s="892"/>
      <c r="AQ69" s="893"/>
      <c r="AR69" s="893"/>
      <c r="AS69" s="893"/>
      <c r="AT69" s="893"/>
      <c r="AU69" s="893"/>
      <c r="AV69" s="894"/>
      <c r="AW69" s="145"/>
      <c r="AX69" s="146"/>
      <c r="AY69" s="104"/>
    </row>
    <row r="70" spans="1:51" x14ac:dyDescent="0.3">
      <c r="A70" s="917"/>
      <c r="B70" s="895" t="s">
        <v>15</v>
      </c>
      <c r="C70" s="147">
        <v>6</v>
      </c>
      <c r="D70" s="147" t="s">
        <v>39</v>
      </c>
      <c r="E70" s="147">
        <v>2020</v>
      </c>
      <c r="F70" s="148" t="s">
        <v>19</v>
      </c>
      <c r="G70" s="464">
        <f t="shared" ref="G70:G72" si="74">(1500)/1.1422</f>
        <v>1313.2551216949744</v>
      </c>
      <c r="H70" s="93">
        <f t="shared" ref="H70:H72" si="75">G70+((I70-G70)/($I$2-$G$2))*($H$2-$G$2)</f>
        <v>1278.2349851164417</v>
      </c>
      <c r="I70" s="149">
        <f>(1420)/1.1422</f>
        <v>1243.2148485379091</v>
      </c>
      <c r="J70" s="93">
        <f t="shared" ref="J70:J73" si="76">I70+((L70-I70)/(2050-2030))*(2040-2030)</f>
        <v>1221.3272631763261</v>
      </c>
      <c r="K70" s="93">
        <f t="shared" ref="K70:K73" si="77">J70+((L70-J70)/(2050-2040))*(2045-2040)</f>
        <v>1210.3834704955348</v>
      </c>
      <c r="L70" s="149">
        <f>(1370)/1.1422</f>
        <v>1199.4396778147434</v>
      </c>
      <c r="M70" s="95">
        <f t="shared" ref="M70:M74" si="78">K70+((L70-K70)/(2050-2045))*(2060-2045)</f>
        <v>1177.5520924531606</v>
      </c>
      <c r="N70" s="93">
        <f t="shared" ref="N70:N72" si="79">G70*0.02*$BC$6</f>
        <v>35.423007699452043</v>
      </c>
      <c r="O70" s="93">
        <f>H70*0.02*$BC$6</f>
        <v>34.478394160799986</v>
      </c>
      <c r="P70" s="93">
        <f>I70*0.02*$BC$6</f>
        <v>33.533780622147937</v>
      </c>
      <c r="Q70" s="93">
        <f>J70*0.02*$BC$6</f>
        <v>32.943397160490399</v>
      </c>
      <c r="R70" s="93">
        <f>K70*0.02*$BC$6</f>
        <v>32.648205429661637</v>
      </c>
      <c r="S70" s="93">
        <f>L70*0.02*$BC$6</f>
        <v>32.353013698832868</v>
      </c>
      <c r="T70" s="93">
        <f>M70*0.02*$BC$6</f>
        <v>31.76263023717534</v>
      </c>
      <c r="U70" s="465">
        <f t="shared" ref="U70:U72" si="80">((15)/1.1422)*0.001</f>
        <v>1.3132551216949746E-2</v>
      </c>
      <c r="V70" s="286">
        <f t="shared" ref="V70:V72" si="81">U70+((W70-U70)/(2050-2030))*(2040-2030)</f>
        <v>1.3132551216949746E-2</v>
      </c>
      <c r="W70" s="466">
        <f t="shared" ref="W70:W72" si="82">((15)/1.1422)*0.001</f>
        <v>1.3132551216949746E-2</v>
      </c>
      <c r="X70" s="286">
        <f t="shared" ref="X70:X72" si="83">W70+((Z70-W70)/(2050-2030))*(2040-2030)</f>
        <v>1.3132551216949746E-2</v>
      </c>
      <c r="Y70" s="286">
        <f t="shared" ref="Y70:Y72" si="84">X70+((Z70-X70)/(2050-2040))*(2045-2040)</f>
        <v>1.3132551216949746E-2</v>
      </c>
      <c r="Z70" s="466">
        <f t="shared" ref="Z70:Z72" si="85">((15)/1.1422)*0.001</f>
        <v>1.3132551216949746E-2</v>
      </c>
      <c r="AA70" s="366">
        <f t="shared" ref="AA70:AA72" si="86">Y70+((Z70-Y70)/(2050-2045))*(2060-2045)</f>
        <v>1.3132551216949746E-2</v>
      </c>
      <c r="AB70" s="286"/>
      <c r="AC70" s="286"/>
      <c r="AD70" s="286"/>
      <c r="AE70" s="286"/>
      <c r="AF70" s="286"/>
      <c r="AG70" s="286"/>
      <c r="AH70" s="286"/>
      <c r="AI70" s="150"/>
      <c r="AJ70" s="147"/>
      <c r="AK70" s="147"/>
      <c r="AL70" s="147"/>
      <c r="AM70" s="149"/>
      <c r="AN70" s="147"/>
      <c r="AO70" s="151"/>
      <c r="AP70" s="897">
        <v>1</v>
      </c>
      <c r="AQ70" s="898"/>
      <c r="AR70" s="898"/>
      <c r="AS70" s="898"/>
      <c r="AT70" s="898"/>
      <c r="AU70" s="898"/>
      <c r="AV70" s="899"/>
      <c r="AW70" s="830" t="s">
        <v>292</v>
      </c>
      <c r="AX70" s="831"/>
      <c r="AY70" s="104" t="s">
        <v>288</v>
      </c>
    </row>
    <row r="71" spans="1:51" x14ac:dyDescent="0.3">
      <c r="A71" s="917"/>
      <c r="B71" s="896"/>
      <c r="C71" s="153">
        <v>6</v>
      </c>
      <c r="D71" s="153" t="s">
        <v>39</v>
      </c>
      <c r="E71" s="153">
        <v>2020</v>
      </c>
      <c r="F71" s="148" t="s">
        <v>19</v>
      </c>
      <c r="G71" s="158">
        <f t="shared" si="74"/>
        <v>1313.2551216949744</v>
      </c>
      <c r="H71" s="107">
        <f t="shared" si="75"/>
        <v>1273.8574680441252</v>
      </c>
      <c r="I71" s="154">
        <f>(1410)/1.1422</f>
        <v>1234.459814393276</v>
      </c>
      <c r="J71" s="107">
        <f t="shared" si="76"/>
        <v>1203.8171948870599</v>
      </c>
      <c r="K71" s="107">
        <f t="shared" si="77"/>
        <v>1188.495885133952</v>
      </c>
      <c r="L71" s="154">
        <f>(1340)/1.1422</f>
        <v>1173.1745753808439</v>
      </c>
      <c r="M71" s="109">
        <f t="shared" si="78"/>
        <v>1142.5319558746276</v>
      </c>
      <c r="N71" s="107">
        <f t="shared" si="79"/>
        <v>35.423007699452043</v>
      </c>
      <c r="O71" s="107">
        <f>H71*0.02*$BC$6</f>
        <v>34.36031746846848</v>
      </c>
      <c r="P71" s="107">
        <f>I71*0.02*$BC$6</f>
        <v>33.297627237484924</v>
      </c>
      <c r="Q71" s="107">
        <f>J71*0.02*$BC$6</f>
        <v>32.471090391164374</v>
      </c>
      <c r="R71" s="107">
        <f>K71*0.02*$BC$6</f>
        <v>32.057821968004106</v>
      </c>
      <c r="S71" s="107">
        <f>L71*0.02*$BC$6</f>
        <v>31.644553544843824</v>
      </c>
      <c r="T71" s="107">
        <f>M71*0.02*$BC$6</f>
        <v>30.818016698523273</v>
      </c>
      <c r="U71" s="467">
        <f t="shared" si="80"/>
        <v>1.3132551216949746E-2</v>
      </c>
      <c r="V71" s="295">
        <f t="shared" si="81"/>
        <v>1.3132551216949746E-2</v>
      </c>
      <c r="W71" s="468">
        <f t="shared" si="82"/>
        <v>1.3132551216949746E-2</v>
      </c>
      <c r="X71" s="295">
        <f t="shared" si="83"/>
        <v>1.3132551216949746E-2</v>
      </c>
      <c r="Y71" s="295">
        <f t="shared" si="84"/>
        <v>1.3132551216949746E-2</v>
      </c>
      <c r="Z71" s="468">
        <f t="shared" si="85"/>
        <v>1.3132551216949746E-2</v>
      </c>
      <c r="AA71" s="452">
        <f t="shared" si="86"/>
        <v>1.3132551216949746E-2</v>
      </c>
      <c r="AB71" s="1041"/>
      <c r="AC71" s="1041"/>
      <c r="AD71" s="1041"/>
      <c r="AE71" s="1041"/>
      <c r="AF71" s="1041"/>
      <c r="AG71" s="1041"/>
      <c r="AH71" s="1041"/>
      <c r="AI71" s="155"/>
      <c r="AJ71" s="153"/>
      <c r="AK71" s="153"/>
      <c r="AL71" s="153"/>
      <c r="AM71" s="154"/>
      <c r="AN71" s="153"/>
      <c r="AO71" s="156"/>
      <c r="AP71" s="900"/>
      <c r="AQ71" s="901"/>
      <c r="AR71" s="901"/>
      <c r="AS71" s="901"/>
      <c r="AT71" s="901"/>
      <c r="AU71" s="901"/>
      <c r="AV71" s="902"/>
      <c r="AW71" s="832" t="s">
        <v>292</v>
      </c>
      <c r="AX71" s="833"/>
      <c r="AY71" s="104" t="s">
        <v>289</v>
      </c>
    </row>
    <row r="72" spans="1:51" x14ac:dyDescent="0.3">
      <c r="A72" s="917"/>
      <c r="B72" s="896"/>
      <c r="C72" s="153">
        <v>6</v>
      </c>
      <c r="D72" s="153" t="s">
        <v>39</v>
      </c>
      <c r="E72" s="153">
        <v>2020</v>
      </c>
      <c r="F72" s="148" t="s">
        <v>19</v>
      </c>
      <c r="G72" s="158">
        <f t="shared" si="74"/>
        <v>1313.2551216949744</v>
      </c>
      <c r="H72" s="107">
        <f t="shared" si="75"/>
        <v>1265.1024338994921</v>
      </c>
      <c r="I72" s="154">
        <f>(1390)/1.1422</f>
        <v>1216.9497461040096</v>
      </c>
      <c r="J72" s="107">
        <f t="shared" si="76"/>
        <v>1181.929609525477</v>
      </c>
      <c r="K72" s="107">
        <f t="shared" si="77"/>
        <v>1164.4195412362105</v>
      </c>
      <c r="L72" s="154">
        <f>(1310)/1.1422</f>
        <v>1146.9094729469443</v>
      </c>
      <c r="M72" s="109">
        <f t="shared" si="78"/>
        <v>1111.8893363684119</v>
      </c>
      <c r="N72" s="107">
        <f t="shared" si="79"/>
        <v>35.423007699452043</v>
      </c>
      <c r="O72" s="107">
        <f>H72*0.02*$BC$6</f>
        <v>34.124164083805468</v>
      </c>
      <c r="P72" s="107">
        <f>I72*0.02*$BC$6</f>
        <v>32.825320468158893</v>
      </c>
      <c r="Q72" s="107">
        <f>J72*0.02*$BC$6</f>
        <v>31.880706929506836</v>
      </c>
      <c r="R72" s="107">
        <f>K72*0.02*$BC$6</f>
        <v>31.408400160180808</v>
      </c>
      <c r="S72" s="107">
        <f>L72*0.02*$BC$6</f>
        <v>30.936093390854783</v>
      </c>
      <c r="T72" s="107">
        <f>M72*0.02*$BC$6</f>
        <v>29.991479852202737</v>
      </c>
      <c r="U72" s="467">
        <f t="shared" si="80"/>
        <v>1.3132551216949746E-2</v>
      </c>
      <c r="V72" s="295">
        <f t="shared" si="81"/>
        <v>1.3132551216949746E-2</v>
      </c>
      <c r="W72" s="468">
        <f t="shared" si="82"/>
        <v>1.3132551216949746E-2</v>
      </c>
      <c r="X72" s="295">
        <f t="shared" si="83"/>
        <v>1.3132551216949746E-2</v>
      </c>
      <c r="Y72" s="295">
        <f t="shared" si="84"/>
        <v>1.3132551216949746E-2</v>
      </c>
      <c r="Z72" s="468">
        <f t="shared" si="85"/>
        <v>1.3132551216949746E-2</v>
      </c>
      <c r="AA72" s="452">
        <f t="shared" si="86"/>
        <v>1.3132551216949746E-2</v>
      </c>
      <c r="AB72" s="1041"/>
      <c r="AC72" s="1041"/>
      <c r="AD72" s="1041"/>
      <c r="AE72" s="1041"/>
      <c r="AF72" s="1041"/>
      <c r="AG72" s="1041"/>
      <c r="AH72" s="1041"/>
      <c r="AI72" s="155"/>
      <c r="AJ72" s="153"/>
      <c r="AK72" s="153"/>
      <c r="AL72" s="153"/>
      <c r="AM72" s="154"/>
      <c r="AN72" s="153"/>
      <c r="AO72" s="156"/>
      <c r="AP72" s="900"/>
      <c r="AQ72" s="901"/>
      <c r="AR72" s="901"/>
      <c r="AS72" s="901"/>
      <c r="AT72" s="901"/>
      <c r="AU72" s="901"/>
      <c r="AV72" s="902"/>
      <c r="AW72" s="832" t="s">
        <v>292</v>
      </c>
      <c r="AX72" s="833"/>
      <c r="AY72" s="104" t="s">
        <v>290</v>
      </c>
    </row>
    <row r="73" spans="1:51" x14ac:dyDescent="0.3">
      <c r="A73" s="917"/>
      <c r="B73" s="896"/>
      <c r="C73" s="153">
        <v>9</v>
      </c>
      <c r="D73" s="153" t="s">
        <v>50</v>
      </c>
      <c r="E73" s="153">
        <v>2021</v>
      </c>
      <c r="F73" s="148" t="s">
        <v>19</v>
      </c>
      <c r="G73" s="158">
        <f>1113</f>
        <v>1113</v>
      </c>
      <c r="H73" s="107">
        <f>G73+((I73-G73)/(2030-2020))*(2025-2020)</f>
        <v>1083.8333333333335</v>
      </c>
      <c r="I73" s="107">
        <f>G73+((L73-G73)/(2050-2020))*(2030-2020)</f>
        <v>1054.6666666666667</v>
      </c>
      <c r="J73" s="107">
        <f t="shared" si="76"/>
        <v>996.33333333333337</v>
      </c>
      <c r="K73" s="107">
        <f t="shared" si="77"/>
        <v>967.16666666666674</v>
      </c>
      <c r="L73" s="154">
        <f>938</f>
        <v>938</v>
      </c>
      <c r="M73" s="109">
        <f t="shared" si="78"/>
        <v>879.66666666666652</v>
      </c>
      <c r="N73" s="154">
        <f>13</f>
        <v>13</v>
      </c>
      <c r="O73" s="107">
        <f>N73+((P73-N73)/(2030-2020))*(2025-2020)</f>
        <v>12.833333333333332</v>
      </c>
      <c r="P73" s="107">
        <f>N73+((S73-N73)/(2050-2020))*(2030-2020)</f>
        <v>12.666666666666666</v>
      </c>
      <c r="Q73" s="107">
        <f>P73+((S73-P73)/(2050-2030))*(2040-2030)</f>
        <v>12.333333333333332</v>
      </c>
      <c r="R73" s="107">
        <f>Q73+((S73-Q73)/(2050-2040))*(2045-2040)</f>
        <v>12.166666666666666</v>
      </c>
      <c r="S73" s="154">
        <f>12</f>
        <v>12</v>
      </c>
      <c r="T73" s="109">
        <f>R73+((S73-R73)/(2050-2045))*(2060-2045)</f>
        <v>11.666666666666668</v>
      </c>
      <c r="U73" s="467"/>
      <c r="V73" s="468"/>
      <c r="W73" s="468"/>
      <c r="X73" s="468"/>
      <c r="Y73" s="154"/>
      <c r="Z73" s="468"/>
      <c r="AA73" s="156"/>
      <c r="AB73" s="1035"/>
      <c r="AC73" s="1035"/>
      <c r="AD73" s="1035"/>
      <c r="AE73" s="1035"/>
      <c r="AF73" s="1035"/>
      <c r="AG73" s="1035"/>
      <c r="AH73" s="1035"/>
      <c r="AI73" s="155"/>
      <c r="AJ73" s="153"/>
      <c r="AK73" s="153"/>
      <c r="AL73" s="153"/>
      <c r="AM73" s="154"/>
      <c r="AN73" s="153"/>
      <c r="AO73" s="156"/>
      <c r="AP73" s="900"/>
      <c r="AQ73" s="901"/>
      <c r="AR73" s="901"/>
      <c r="AS73" s="901"/>
      <c r="AT73" s="901"/>
      <c r="AU73" s="901"/>
      <c r="AV73" s="902"/>
      <c r="AW73" s="155"/>
      <c r="AX73" s="157"/>
      <c r="AY73" s="104"/>
    </row>
    <row r="74" spans="1:51" x14ac:dyDescent="0.3">
      <c r="A74" s="917"/>
      <c r="B74" s="896"/>
      <c r="C74" s="153">
        <v>5</v>
      </c>
      <c r="D74" s="153" t="s">
        <v>35</v>
      </c>
      <c r="E74" s="153">
        <v>2021</v>
      </c>
      <c r="F74" s="148" t="s">
        <v>19</v>
      </c>
      <c r="G74" s="158">
        <f>1200</f>
        <v>1200</v>
      </c>
      <c r="H74" s="154">
        <f>1150</f>
        <v>1150</v>
      </c>
      <c r="I74" s="154">
        <f>1100</f>
        <v>1100</v>
      </c>
      <c r="J74" s="154">
        <f>1050</f>
        <v>1050</v>
      </c>
      <c r="K74" s="154">
        <v>1025</v>
      </c>
      <c r="L74" s="154">
        <f>1000</f>
        <v>1000</v>
      </c>
      <c r="M74" s="109">
        <f t="shared" si="78"/>
        <v>950</v>
      </c>
      <c r="N74" s="154">
        <f>28</f>
        <v>28</v>
      </c>
      <c r="O74" s="154">
        <f>27</f>
        <v>27</v>
      </c>
      <c r="P74" s="154">
        <f>27</f>
        <v>27</v>
      </c>
      <c r="Q74" s="154">
        <f>25</f>
        <v>25</v>
      </c>
      <c r="R74" s="154">
        <v>24</v>
      </c>
      <c r="S74" s="154">
        <f>24</f>
        <v>24</v>
      </c>
      <c r="T74" s="109">
        <v>24</v>
      </c>
      <c r="U74" s="467"/>
      <c r="V74" s="468"/>
      <c r="W74" s="468"/>
      <c r="X74" s="468"/>
      <c r="Y74" s="154"/>
      <c r="Z74" s="468"/>
      <c r="AA74" s="156"/>
      <c r="AB74" s="1035"/>
      <c r="AC74" s="1035"/>
      <c r="AD74" s="1035"/>
      <c r="AE74" s="1035"/>
      <c r="AF74" s="1035"/>
      <c r="AG74" s="1035"/>
      <c r="AH74" s="1035"/>
      <c r="AI74" s="155">
        <v>25</v>
      </c>
      <c r="AJ74" s="153">
        <v>25</v>
      </c>
      <c r="AK74" s="153">
        <v>25</v>
      </c>
      <c r="AL74" s="153">
        <v>25</v>
      </c>
      <c r="AM74" s="161">
        <v>25</v>
      </c>
      <c r="AN74" s="161">
        <v>25</v>
      </c>
      <c r="AO74" s="118">
        <v>25</v>
      </c>
      <c r="AP74" s="900"/>
      <c r="AQ74" s="901"/>
      <c r="AR74" s="901"/>
      <c r="AS74" s="901"/>
      <c r="AT74" s="901"/>
      <c r="AU74" s="901"/>
      <c r="AV74" s="902"/>
      <c r="AW74" s="155"/>
      <c r="AX74" s="157"/>
      <c r="AY74" s="116" t="s">
        <v>293</v>
      </c>
    </row>
    <row r="75" spans="1:51" x14ac:dyDescent="0.3">
      <c r="A75" s="917"/>
      <c r="B75" s="896"/>
      <c r="C75" s="153">
        <v>23</v>
      </c>
      <c r="D75" s="153" t="s">
        <v>88</v>
      </c>
      <c r="E75" s="153">
        <v>2021</v>
      </c>
      <c r="F75" s="148" t="s">
        <v>19</v>
      </c>
      <c r="G75" s="158">
        <v>1257</v>
      </c>
      <c r="H75" s="154">
        <v>1197</v>
      </c>
      <c r="I75" s="154">
        <v>1137</v>
      </c>
      <c r="J75" s="154">
        <v>987</v>
      </c>
      <c r="K75" s="154">
        <v>955</v>
      </c>
      <c r="L75" s="154">
        <v>923</v>
      </c>
      <c r="M75" s="156">
        <v>923</v>
      </c>
      <c r="N75" s="154">
        <f>G75*0.03</f>
        <v>37.71</v>
      </c>
      <c r="O75" s="154">
        <f t="shared" ref="O75:T75" si="87">H75*0.03</f>
        <v>35.909999999999997</v>
      </c>
      <c r="P75" s="154">
        <f t="shared" si="87"/>
        <v>34.11</v>
      </c>
      <c r="Q75" s="154">
        <f t="shared" si="87"/>
        <v>29.61</v>
      </c>
      <c r="R75" s="154">
        <f t="shared" si="87"/>
        <v>28.65</v>
      </c>
      <c r="S75" s="154">
        <f t="shared" si="87"/>
        <v>27.689999999999998</v>
      </c>
      <c r="T75" s="156">
        <f t="shared" si="87"/>
        <v>27.689999999999998</v>
      </c>
      <c r="U75" s="467"/>
      <c r="V75" s="468"/>
      <c r="W75" s="468"/>
      <c r="X75" s="468"/>
      <c r="Y75" s="154"/>
      <c r="Z75" s="468"/>
      <c r="AA75" s="156"/>
      <c r="AB75" s="1035"/>
      <c r="AC75" s="1035"/>
      <c r="AD75" s="1035"/>
      <c r="AE75" s="1035"/>
      <c r="AF75" s="1035"/>
      <c r="AG75" s="1035"/>
      <c r="AH75" s="1035"/>
      <c r="AI75" s="155">
        <v>25</v>
      </c>
      <c r="AJ75" s="153">
        <v>25</v>
      </c>
      <c r="AK75" s="153">
        <v>25</v>
      </c>
      <c r="AL75" s="153">
        <v>25</v>
      </c>
      <c r="AM75" s="161">
        <v>25</v>
      </c>
      <c r="AN75" s="161">
        <v>25</v>
      </c>
      <c r="AO75" s="469">
        <v>25</v>
      </c>
      <c r="AP75" s="900"/>
      <c r="AQ75" s="901"/>
      <c r="AR75" s="901"/>
      <c r="AS75" s="901"/>
      <c r="AT75" s="901"/>
      <c r="AU75" s="901"/>
      <c r="AV75" s="902"/>
      <c r="AW75" s="155"/>
      <c r="AX75" s="157"/>
      <c r="AY75" s="116"/>
    </row>
    <row r="76" spans="1:51" x14ac:dyDescent="0.3">
      <c r="A76" s="917"/>
      <c r="B76" s="911"/>
      <c r="C76" s="163">
        <v>13</v>
      </c>
      <c r="D76" s="163" t="s">
        <v>63</v>
      </c>
      <c r="E76" s="163">
        <v>2020</v>
      </c>
      <c r="F76" s="148" t="s">
        <v>19</v>
      </c>
      <c r="G76" s="158">
        <f>1526.81</f>
        <v>1526.81</v>
      </c>
      <c r="H76" s="154"/>
      <c r="I76" s="154"/>
      <c r="J76" s="154"/>
      <c r="K76" s="154"/>
      <c r="L76" s="154"/>
      <c r="M76" s="156"/>
      <c r="N76" s="122">
        <f>G76*0.02*$BC$6</f>
        <v>41.183317309888501</v>
      </c>
      <c r="O76" s="164"/>
      <c r="P76" s="164"/>
      <c r="Q76" s="164"/>
      <c r="R76" s="154"/>
      <c r="S76" s="164"/>
      <c r="T76" s="156"/>
      <c r="U76" s="470"/>
      <c r="V76" s="471"/>
      <c r="W76" s="471"/>
      <c r="X76" s="471"/>
      <c r="Y76" s="154"/>
      <c r="Z76" s="471"/>
      <c r="AA76" s="156"/>
      <c r="AB76" s="1035"/>
      <c r="AC76" s="1035"/>
      <c r="AD76" s="1035"/>
      <c r="AE76" s="1035"/>
      <c r="AF76" s="1035"/>
      <c r="AG76" s="1035"/>
      <c r="AH76" s="1035"/>
      <c r="AI76" s="165"/>
      <c r="AJ76" s="163"/>
      <c r="AK76" s="163"/>
      <c r="AL76" s="163"/>
      <c r="AM76" s="154"/>
      <c r="AN76" s="163"/>
      <c r="AO76" s="156"/>
      <c r="AP76" s="900"/>
      <c r="AQ76" s="901"/>
      <c r="AR76" s="901"/>
      <c r="AS76" s="901"/>
      <c r="AT76" s="901"/>
      <c r="AU76" s="901"/>
      <c r="AV76" s="902"/>
      <c r="AW76" s="165"/>
      <c r="AX76" s="166"/>
      <c r="AY76" s="116"/>
    </row>
    <row r="77" spans="1:51" x14ac:dyDescent="0.3">
      <c r="A77" s="917"/>
      <c r="B77" s="167" t="s">
        <v>267</v>
      </c>
      <c r="C77" s="168"/>
      <c r="D77" s="168"/>
      <c r="E77" s="168"/>
      <c r="F77" s="168"/>
      <c r="G77" s="169">
        <f t="shared" ref="G77:AO77" si="88">MIN(G70:G76)</f>
        <v>1113</v>
      </c>
      <c r="H77" s="170">
        <f t="shared" si="88"/>
        <v>1083.8333333333335</v>
      </c>
      <c r="I77" s="170">
        <f t="shared" si="88"/>
        <v>1054.6666666666667</v>
      </c>
      <c r="J77" s="170">
        <f t="shared" si="88"/>
        <v>987</v>
      </c>
      <c r="K77" s="170">
        <f t="shared" si="88"/>
        <v>955</v>
      </c>
      <c r="L77" s="170">
        <f t="shared" si="88"/>
        <v>923</v>
      </c>
      <c r="M77" s="171">
        <f t="shared" si="88"/>
        <v>879.66666666666652</v>
      </c>
      <c r="N77" s="170">
        <f t="shared" si="88"/>
        <v>13</v>
      </c>
      <c r="O77" s="170">
        <f t="shared" si="88"/>
        <v>12.833333333333332</v>
      </c>
      <c r="P77" s="170">
        <f t="shared" si="88"/>
        <v>12.666666666666666</v>
      </c>
      <c r="Q77" s="170">
        <f t="shared" si="88"/>
        <v>12.333333333333332</v>
      </c>
      <c r="R77" s="170">
        <f t="shared" si="88"/>
        <v>12.166666666666666</v>
      </c>
      <c r="S77" s="170">
        <f t="shared" si="88"/>
        <v>12</v>
      </c>
      <c r="T77" s="171">
        <f t="shared" si="88"/>
        <v>11.666666666666668</v>
      </c>
      <c r="U77" s="472">
        <f t="shared" si="88"/>
        <v>1.3132551216949746E-2</v>
      </c>
      <c r="V77" s="473">
        <f t="shared" si="88"/>
        <v>1.3132551216949746E-2</v>
      </c>
      <c r="W77" s="473">
        <f t="shared" si="88"/>
        <v>1.3132551216949746E-2</v>
      </c>
      <c r="X77" s="473">
        <f t="shared" si="88"/>
        <v>1.3132551216949746E-2</v>
      </c>
      <c r="Y77" s="473">
        <f t="shared" si="88"/>
        <v>1.3132551216949746E-2</v>
      </c>
      <c r="Z77" s="473">
        <f t="shared" si="88"/>
        <v>1.3132551216949746E-2</v>
      </c>
      <c r="AA77" s="474">
        <f t="shared" si="88"/>
        <v>1.3132551216949746E-2</v>
      </c>
      <c r="AB77" s="473"/>
      <c r="AC77" s="473"/>
      <c r="AD77" s="473"/>
      <c r="AE77" s="473"/>
      <c r="AF77" s="473"/>
      <c r="AG77" s="473"/>
      <c r="AH77" s="473"/>
      <c r="AI77" s="175">
        <f t="shared" si="88"/>
        <v>25</v>
      </c>
      <c r="AJ77" s="168">
        <f t="shared" si="88"/>
        <v>25</v>
      </c>
      <c r="AK77" s="168">
        <f t="shared" si="88"/>
        <v>25</v>
      </c>
      <c r="AL77" s="168">
        <f t="shared" si="88"/>
        <v>25</v>
      </c>
      <c r="AM77" s="168">
        <f t="shared" si="88"/>
        <v>25</v>
      </c>
      <c r="AN77" s="168">
        <f t="shared" si="88"/>
        <v>25</v>
      </c>
      <c r="AO77" s="178">
        <f t="shared" si="88"/>
        <v>25</v>
      </c>
      <c r="AP77" s="871">
        <v>1</v>
      </c>
      <c r="AQ77" s="872"/>
      <c r="AR77" s="872"/>
      <c r="AS77" s="872"/>
      <c r="AT77" s="872"/>
      <c r="AU77" s="872"/>
      <c r="AV77" s="873"/>
      <c r="AW77" s="175"/>
      <c r="AX77" s="178"/>
      <c r="AY77" s="104"/>
    </row>
    <row r="78" spans="1:51" x14ac:dyDescent="0.3">
      <c r="A78" s="917"/>
      <c r="B78" s="179" t="s">
        <v>268</v>
      </c>
      <c r="C78" s="180"/>
      <c r="D78" s="180"/>
      <c r="E78" s="180"/>
      <c r="F78" s="180"/>
      <c r="G78" s="181">
        <f t="shared" ref="G78:AO78" si="89">MEDIAN(G70:G76)</f>
        <v>1313.2551216949744</v>
      </c>
      <c r="H78" s="182">
        <f t="shared" si="89"/>
        <v>1231.051216949746</v>
      </c>
      <c r="I78" s="182">
        <f t="shared" si="89"/>
        <v>1176.9748730520048</v>
      </c>
      <c r="J78" s="182">
        <f t="shared" si="89"/>
        <v>1115.9648047627384</v>
      </c>
      <c r="K78" s="182">
        <f t="shared" si="89"/>
        <v>1094.7097706181053</v>
      </c>
      <c r="L78" s="182">
        <f t="shared" si="89"/>
        <v>1073.4547364734722</v>
      </c>
      <c r="M78" s="183">
        <f t="shared" si="89"/>
        <v>1030.944668184206</v>
      </c>
      <c r="N78" s="182">
        <f t="shared" si="89"/>
        <v>35.423007699452043</v>
      </c>
      <c r="O78" s="182">
        <f t="shared" si="89"/>
        <v>34.242240776136974</v>
      </c>
      <c r="P78" s="182">
        <f t="shared" si="89"/>
        <v>33.061473852821905</v>
      </c>
      <c r="Q78" s="182">
        <f t="shared" si="89"/>
        <v>30.745353464753418</v>
      </c>
      <c r="R78" s="182">
        <f t="shared" si="89"/>
        <v>30.029200080090405</v>
      </c>
      <c r="S78" s="182">
        <f t="shared" si="89"/>
        <v>29.313046695427388</v>
      </c>
      <c r="T78" s="183">
        <f t="shared" si="89"/>
        <v>28.840739926101367</v>
      </c>
      <c r="U78" s="475">
        <f t="shared" si="89"/>
        <v>1.3132551216949746E-2</v>
      </c>
      <c r="V78" s="476">
        <f t="shared" si="89"/>
        <v>1.3132551216949746E-2</v>
      </c>
      <c r="W78" s="476">
        <f t="shared" si="89"/>
        <v>1.3132551216949746E-2</v>
      </c>
      <c r="X78" s="476">
        <f t="shared" si="89"/>
        <v>1.3132551216949746E-2</v>
      </c>
      <c r="Y78" s="476">
        <f t="shared" si="89"/>
        <v>1.3132551216949746E-2</v>
      </c>
      <c r="Z78" s="476">
        <f t="shared" si="89"/>
        <v>1.3132551216949746E-2</v>
      </c>
      <c r="AA78" s="477">
        <f t="shared" si="89"/>
        <v>1.3132551216949746E-2</v>
      </c>
      <c r="AB78" s="1042"/>
      <c r="AC78" s="1042"/>
      <c r="AD78" s="1042"/>
      <c r="AE78" s="1042"/>
      <c r="AF78" s="1042"/>
      <c r="AG78" s="1042"/>
      <c r="AH78" s="1042"/>
      <c r="AI78" s="187">
        <f t="shared" si="89"/>
        <v>25</v>
      </c>
      <c r="AJ78" s="180">
        <f t="shared" si="89"/>
        <v>25</v>
      </c>
      <c r="AK78" s="180">
        <f t="shared" si="89"/>
        <v>25</v>
      </c>
      <c r="AL78" s="180">
        <f t="shared" si="89"/>
        <v>25</v>
      </c>
      <c r="AM78" s="180">
        <f t="shared" si="89"/>
        <v>25</v>
      </c>
      <c r="AN78" s="180">
        <f t="shared" si="89"/>
        <v>25</v>
      </c>
      <c r="AO78" s="190">
        <f t="shared" si="89"/>
        <v>25</v>
      </c>
      <c r="AP78" s="874"/>
      <c r="AQ78" s="875"/>
      <c r="AR78" s="875"/>
      <c r="AS78" s="875"/>
      <c r="AT78" s="875"/>
      <c r="AU78" s="875"/>
      <c r="AV78" s="876"/>
      <c r="AW78" s="187"/>
      <c r="AX78" s="190"/>
      <c r="AY78" s="104"/>
    </row>
    <row r="79" spans="1:51" x14ac:dyDescent="0.3">
      <c r="A79" s="917"/>
      <c r="B79" s="191" t="s">
        <v>269</v>
      </c>
      <c r="C79" s="192"/>
      <c r="D79" s="192"/>
      <c r="E79" s="192"/>
      <c r="F79" s="192"/>
      <c r="G79" s="181">
        <f t="shared" ref="G79:AO79" si="90">MAX(G70:G76)</f>
        <v>1526.81</v>
      </c>
      <c r="H79" s="182">
        <f t="shared" si="90"/>
        <v>1278.2349851164417</v>
      </c>
      <c r="I79" s="182">
        <f t="shared" si="90"/>
        <v>1243.2148485379091</v>
      </c>
      <c r="J79" s="182">
        <f t="shared" si="90"/>
        <v>1221.3272631763261</v>
      </c>
      <c r="K79" s="182">
        <f t="shared" si="90"/>
        <v>1210.3834704955348</v>
      </c>
      <c r="L79" s="182">
        <f t="shared" si="90"/>
        <v>1199.4396778147434</v>
      </c>
      <c r="M79" s="183">
        <f t="shared" si="90"/>
        <v>1177.5520924531606</v>
      </c>
      <c r="N79" s="194">
        <f t="shared" si="90"/>
        <v>41.183317309888501</v>
      </c>
      <c r="O79" s="194">
        <f t="shared" si="90"/>
        <v>35.909999999999997</v>
      </c>
      <c r="P79" s="194">
        <f t="shared" si="90"/>
        <v>34.11</v>
      </c>
      <c r="Q79" s="194">
        <f t="shared" si="90"/>
        <v>32.943397160490399</v>
      </c>
      <c r="R79" s="182">
        <f t="shared" si="90"/>
        <v>32.648205429661637</v>
      </c>
      <c r="S79" s="194">
        <f t="shared" si="90"/>
        <v>32.353013698832868</v>
      </c>
      <c r="T79" s="183">
        <f t="shared" si="90"/>
        <v>31.76263023717534</v>
      </c>
      <c r="U79" s="478">
        <f t="shared" si="90"/>
        <v>1.3132551216949746E-2</v>
      </c>
      <c r="V79" s="479">
        <f t="shared" si="90"/>
        <v>1.3132551216949746E-2</v>
      </c>
      <c r="W79" s="479">
        <f t="shared" si="90"/>
        <v>1.3132551216949746E-2</v>
      </c>
      <c r="X79" s="479">
        <f t="shared" si="90"/>
        <v>1.3132551216949746E-2</v>
      </c>
      <c r="Y79" s="476">
        <f t="shared" si="90"/>
        <v>1.3132551216949746E-2</v>
      </c>
      <c r="Z79" s="479">
        <f t="shared" si="90"/>
        <v>1.3132551216949746E-2</v>
      </c>
      <c r="AA79" s="477">
        <f t="shared" si="90"/>
        <v>1.3132551216949746E-2</v>
      </c>
      <c r="AB79" s="1042"/>
      <c r="AC79" s="1042"/>
      <c r="AD79" s="1042"/>
      <c r="AE79" s="1042"/>
      <c r="AF79" s="1042"/>
      <c r="AG79" s="1042"/>
      <c r="AH79" s="1042"/>
      <c r="AI79" s="198">
        <f t="shared" si="90"/>
        <v>25</v>
      </c>
      <c r="AJ79" s="192">
        <f t="shared" si="90"/>
        <v>25</v>
      </c>
      <c r="AK79" s="192">
        <f t="shared" si="90"/>
        <v>25</v>
      </c>
      <c r="AL79" s="192">
        <f t="shared" si="90"/>
        <v>25</v>
      </c>
      <c r="AM79" s="192">
        <f t="shared" si="90"/>
        <v>25</v>
      </c>
      <c r="AN79" s="192">
        <f t="shared" si="90"/>
        <v>25</v>
      </c>
      <c r="AO79" s="201">
        <f t="shared" si="90"/>
        <v>25</v>
      </c>
      <c r="AP79" s="874"/>
      <c r="AQ79" s="875"/>
      <c r="AR79" s="875"/>
      <c r="AS79" s="875"/>
      <c r="AT79" s="875"/>
      <c r="AU79" s="875"/>
      <c r="AV79" s="876"/>
      <c r="AW79" s="198"/>
      <c r="AX79" s="201"/>
      <c r="AY79" s="104"/>
    </row>
    <row r="80" spans="1:51" ht="15" customHeight="1" x14ac:dyDescent="0.3">
      <c r="A80" s="917"/>
      <c r="B80" s="877" t="s">
        <v>270</v>
      </c>
      <c r="C80" s="202">
        <v>6</v>
      </c>
      <c r="D80" s="202" t="s">
        <v>39</v>
      </c>
      <c r="E80" s="202">
        <v>2020</v>
      </c>
      <c r="F80" s="203" t="s">
        <v>19</v>
      </c>
      <c r="G80" s="480">
        <f t="shared" ref="G80:G82" si="91">(840)/1.1422</f>
        <v>735.42286814918566</v>
      </c>
      <c r="H80" s="93">
        <f t="shared" ref="H80:H83" si="92">G80+((I80-G80)/(2030-2020))*(2025-2020)</f>
        <v>608.4748730520048</v>
      </c>
      <c r="I80" s="204">
        <f>(550)/1.1422</f>
        <v>481.52687795482399</v>
      </c>
      <c r="J80" s="93">
        <f t="shared" ref="J80:J83" si="93">I80+((L80-I80)/(2050-2030))*(2040-2030)</f>
        <v>428.99667308702499</v>
      </c>
      <c r="K80" s="93">
        <f t="shared" ref="K80:K83" si="94">J80+((L80-J80)/(2050-2040))*(2045-2040)</f>
        <v>402.73157065312552</v>
      </c>
      <c r="L80" s="204">
        <f>(430)/1.1422</f>
        <v>376.46646821922604</v>
      </c>
      <c r="M80" s="95">
        <f t="shared" ref="M80:M84" si="95">K80+((L80-K80)/(2050-2045))*(2060-2045)</f>
        <v>323.9362633514271</v>
      </c>
      <c r="N80" s="93">
        <f t="shared" ref="N80:N82" si="96">G80*0.02*$BC$6</f>
        <v>19.836884311693144</v>
      </c>
      <c r="O80" s="93">
        <f>H80*0.02*$BC$6</f>
        <v>16.412660234079446</v>
      </c>
      <c r="P80" s="93">
        <f>I80*0.02*$BC$6</f>
        <v>12.988436156465749</v>
      </c>
      <c r="Q80" s="93">
        <f>J80*0.02*$BC$6</f>
        <v>11.571515848487667</v>
      </c>
      <c r="R80" s="93">
        <f>K80*0.02*$BC$6</f>
        <v>10.863055694498629</v>
      </c>
      <c r="S80" s="93">
        <f>L80*0.02*$BC$6</f>
        <v>10.154595540509588</v>
      </c>
      <c r="T80" s="93">
        <f>M80*0.02*$BC$6</f>
        <v>8.7376752325315064</v>
      </c>
      <c r="U80" s="481">
        <f t="shared" ref="U80:U82" si="97">((10)/1.1422)*0.001</f>
        <v>8.7550341446331632E-3</v>
      </c>
      <c r="V80" s="286">
        <f t="shared" ref="V80:V82" si="98">U80+((W80-U80)/(2050-2030))*(2040-2030)</f>
        <v>8.7550341446331632E-3</v>
      </c>
      <c r="W80" s="482">
        <f t="shared" ref="W80:W82" si="99">((10)/1.1422)*0.001</f>
        <v>8.7550341446331632E-3</v>
      </c>
      <c r="X80" s="286">
        <f t="shared" ref="X80:X82" si="100">W80+((Z80-W80)/(2050-2030))*(2040-2030)</f>
        <v>8.7550341446331632E-3</v>
      </c>
      <c r="Y80" s="286">
        <f t="shared" ref="Y80:Y82" si="101">X80+((Z80-X80)/(2050-2040))*(2045-2040)</f>
        <v>8.7550341446331632E-3</v>
      </c>
      <c r="Z80" s="482">
        <f t="shared" ref="Z80:Z82" si="102">((10)/1.1422)*0.001</f>
        <v>8.7550341446331632E-3</v>
      </c>
      <c r="AA80" s="366">
        <f t="shared" ref="AA80:AA82" si="103">Y80+((Z80-Y80)/(2050-2045))*(2060-2045)</f>
        <v>8.7550341446331632E-3</v>
      </c>
      <c r="AB80" s="286"/>
      <c r="AC80" s="286"/>
      <c r="AD80" s="286"/>
      <c r="AE80" s="286"/>
      <c r="AF80" s="286"/>
      <c r="AG80" s="286"/>
      <c r="AH80" s="286"/>
      <c r="AI80" s="205"/>
      <c r="AJ80" s="202"/>
      <c r="AK80" s="202"/>
      <c r="AL80" s="202"/>
      <c r="AM80" s="204"/>
      <c r="AN80" s="202"/>
      <c r="AO80" s="206"/>
      <c r="AP80" s="880">
        <v>1</v>
      </c>
      <c r="AQ80" s="881"/>
      <c r="AR80" s="881"/>
      <c r="AS80" s="881"/>
      <c r="AT80" s="881"/>
      <c r="AU80" s="881"/>
      <c r="AV80" s="882"/>
      <c r="AW80" s="836" t="s">
        <v>292</v>
      </c>
      <c r="AX80" s="837"/>
      <c r="AY80" s="104" t="s">
        <v>288</v>
      </c>
    </row>
    <row r="81" spans="1:51" x14ac:dyDescent="0.3">
      <c r="A81" s="917"/>
      <c r="B81" s="878"/>
      <c r="C81" s="208">
        <v>6</v>
      </c>
      <c r="D81" s="208" t="s">
        <v>39</v>
      </c>
      <c r="E81" s="208">
        <v>2020</v>
      </c>
      <c r="F81" s="203" t="s">
        <v>19</v>
      </c>
      <c r="G81" s="212">
        <f t="shared" si="91"/>
        <v>735.42286814918566</v>
      </c>
      <c r="H81" s="107">
        <f t="shared" si="92"/>
        <v>599.7198389073717</v>
      </c>
      <c r="I81" s="209">
        <f>(530)/1.1422</f>
        <v>464.01680966555767</v>
      </c>
      <c r="J81" s="107">
        <f t="shared" si="93"/>
        <v>398.35405358080891</v>
      </c>
      <c r="K81" s="107">
        <f t="shared" si="94"/>
        <v>365.52267553843456</v>
      </c>
      <c r="L81" s="209">
        <f>(380)/1.1422</f>
        <v>332.6912974960602</v>
      </c>
      <c r="M81" s="109">
        <f t="shared" si="95"/>
        <v>267.02854141131149</v>
      </c>
      <c r="N81" s="107">
        <f t="shared" si="96"/>
        <v>19.836884311693144</v>
      </c>
      <c r="O81" s="107">
        <f>H81*0.02*$BC$6</f>
        <v>16.176506849416434</v>
      </c>
      <c r="P81" s="107">
        <f>I81*0.02*$BC$6</f>
        <v>12.516129387139722</v>
      </c>
      <c r="Q81" s="107">
        <f>J81*0.02*$BC$6</f>
        <v>10.744979002167119</v>
      </c>
      <c r="R81" s="107">
        <f>K81*0.02*$BC$6</f>
        <v>9.8594038096808188</v>
      </c>
      <c r="S81" s="107">
        <f>L81*0.02*$BC$6</f>
        <v>8.9738286171945187</v>
      </c>
      <c r="T81" s="107">
        <f>M81*0.02*$BC$6</f>
        <v>7.2026782322219169</v>
      </c>
      <c r="U81" s="483">
        <f t="shared" si="97"/>
        <v>8.7550341446331632E-3</v>
      </c>
      <c r="V81" s="295">
        <f t="shared" si="98"/>
        <v>8.7550341446331632E-3</v>
      </c>
      <c r="W81" s="484">
        <f t="shared" si="99"/>
        <v>8.7550341446331632E-3</v>
      </c>
      <c r="X81" s="295">
        <f t="shared" si="100"/>
        <v>8.7550341446331632E-3</v>
      </c>
      <c r="Y81" s="295">
        <f t="shared" si="101"/>
        <v>8.7550341446331632E-3</v>
      </c>
      <c r="Z81" s="484">
        <f t="shared" si="102"/>
        <v>8.7550341446331632E-3</v>
      </c>
      <c r="AA81" s="452">
        <f t="shared" si="103"/>
        <v>8.7550341446331632E-3</v>
      </c>
      <c r="AB81" s="1041"/>
      <c r="AC81" s="1041"/>
      <c r="AD81" s="1041"/>
      <c r="AE81" s="1041"/>
      <c r="AF81" s="1041"/>
      <c r="AG81" s="1041"/>
      <c r="AH81" s="1041"/>
      <c r="AI81" s="210"/>
      <c r="AJ81" s="208"/>
      <c r="AK81" s="208"/>
      <c r="AL81" s="208"/>
      <c r="AM81" s="209"/>
      <c r="AN81" s="208"/>
      <c r="AO81" s="211"/>
      <c r="AP81" s="883"/>
      <c r="AQ81" s="884"/>
      <c r="AR81" s="884"/>
      <c r="AS81" s="884"/>
      <c r="AT81" s="884"/>
      <c r="AU81" s="884"/>
      <c r="AV81" s="885"/>
      <c r="AW81" s="824" t="s">
        <v>292</v>
      </c>
      <c r="AX81" s="825"/>
      <c r="AY81" s="104" t="s">
        <v>289</v>
      </c>
    </row>
    <row r="82" spans="1:51" x14ac:dyDescent="0.3">
      <c r="A82" s="917"/>
      <c r="B82" s="878"/>
      <c r="C82" s="208">
        <v>6</v>
      </c>
      <c r="D82" s="208" t="s">
        <v>39</v>
      </c>
      <c r="E82" s="208">
        <v>2020</v>
      </c>
      <c r="F82" s="203" t="s">
        <v>19</v>
      </c>
      <c r="G82" s="212">
        <f t="shared" si="91"/>
        <v>735.42286814918566</v>
      </c>
      <c r="H82" s="107">
        <f t="shared" si="92"/>
        <v>590.96480476273848</v>
      </c>
      <c r="I82" s="209">
        <f>(510)/1.1422</f>
        <v>446.5067413762913</v>
      </c>
      <c r="J82" s="107">
        <f t="shared" si="93"/>
        <v>385.22150236385914</v>
      </c>
      <c r="K82" s="107">
        <f t="shared" si="94"/>
        <v>354.57888285764307</v>
      </c>
      <c r="L82" s="209">
        <f>(370)/1.1422</f>
        <v>323.93626335142704</v>
      </c>
      <c r="M82" s="109">
        <f t="shared" si="95"/>
        <v>262.651024338995</v>
      </c>
      <c r="N82" s="107">
        <f t="shared" si="96"/>
        <v>19.836884311693144</v>
      </c>
      <c r="O82" s="107">
        <f>H82*0.02*$BC$6</f>
        <v>15.940353464753418</v>
      </c>
      <c r="P82" s="107">
        <f>I82*0.02*$BC$6</f>
        <v>12.043822617813694</v>
      </c>
      <c r="Q82" s="107">
        <f>J82*0.02*$BC$6</f>
        <v>10.390748925172598</v>
      </c>
      <c r="R82" s="107">
        <f>K82*0.02*$BC$6</f>
        <v>9.5642120788520497</v>
      </c>
      <c r="S82" s="107">
        <f>L82*0.02*$BC$6</f>
        <v>8.7376752325315046</v>
      </c>
      <c r="T82" s="107">
        <f>M82*0.02*$BC$6</f>
        <v>7.0846015398904116</v>
      </c>
      <c r="U82" s="483">
        <f t="shared" si="97"/>
        <v>8.7550341446331632E-3</v>
      </c>
      <c r="V82" s="295">
        <f t="shared" si="98"/>
        <v>8.7550341446331632E-3</v>
      </c>
      <c r="W82" s="484">
        <f t="shared" si="99"/>
        <v>8.7550341446331632E-3</v>
      </c>
      <c r="X82" s="295">
        <f t="shared" si="100"/>
        <v>8.7550341446331632E-3</v>
      </c>
      <c r="Y82" s="295">
        <f t="shared" si="101"/>
        <v>8.7550341446331632E-3</v>
      </c>
      <c r="Z82" s="484">
        <f t="shared" si="102"/>
        <v>8.7550341446331632E-3</v>
      </c>
      <c r="AA82" s="452">
        <f t="shared" si="103"/>
        <v>8.7550341446331632E-3</v>
      </c>
      <c r="AB82" s="1041"/>
      <c r="AC82" s="1041"/>
      <c r="AD82" s="1041"/>
      <c r="AE82" s="1041"/>
      <c r="AF82" s="1041"/>
      <c r="AG82" s="1041"/>
      <c r="AH82" s="1041"/>
      <c r="AI82" s="210"/>
      <c r="AJ82" s="208"/>
      <c r="AK82" s="208"/>
      <c r="AL82" s="208"/>
      <c r="AM82" s="209"/>
      <c r="AN82" s="208"/>
      <c r="AO82" s="211"/>
      <c r="AP82" s="883"/>
      <c r="AQ82" s="884"/>
      <c r="AR82" s="884"/>
      <c r="AS82" s="884"/>
      <c r="AT82" s="884"/>
      <c r="AU82" s="884"/>
      <c r="AV82" s="885"/>
      <c r="AW82" s="824" t="s">
        <v>292</v>
      </c>
      <c r="AX82" s="825"/>
      <c r="AY82" s="104" t="s">
        <v>290</v>
      </c>
    </row>
    <row r="83" spans="1:51" x14ac:dyDescent="0.3">
      <c r="A83" s="917"/>
      <c r="B83" s="878"/>
      <c r="C83" s="208">
        <v>9</v>
      </c>
      <c r="D83" s="208" t="s">
        <v>50</v>
      </c>
      <c r="E83" s="208">
        <v>2021</v>
      </c>
      <c r="F83" s="203" t="s">
        <v>19</v>
      </c>
      <c r="G83" s="212">
        <f>1228</f>
        <v>1228</v>
      </c>
      <c r="H83" s="107">
        <f t="shared" si="92"/>
        <v>1094.1666666666667</v>
      </c>
      <c r="I83" s="107">
        <f>G83+((L83-G83)/(2050-2020))*(2030-2020)</f>
        <v>960.33333333333337</v>
      </c>
      <c r="J83" s="107">
        <f t="shared" si="93"/>
        <v>692.66666666666674</v>
      </c>
      <c r="K83" s="107">
        <f t="shared" si="94"/>
        <v>558.83333333333337</v>
      </c>
      <c r="L83" s="209">
        <f>425</f>
        <v>425</v>
      </c>
      <c r="M83" s="109">
        <f t="shared" si="95"/>
        <v>157.33333333333326</v>
      </c>
      <c r="N83" s="209">
        <f>18</f>
        <v>18</v>
      </c>
      <c r="O83" s="107">
        <f>N83+((P83-N83)/(2030-2020))*(2025-2020)</f>
        <v>17.833333333333336</v>
      </c>
      <c r="P83" s="107">
        <f>N83+((S83-N83)/(2050-2020))*(2030-2020)</f>
        <v>17.666666666666668</v>
      </c>
      <c r="Q83" s="107">
        <f>P83+((S83-P83)/(2050-2030))*(2040-2030)</f>
        <v>17.333333333333336</v>
      </c>
      <c r="R83" s="107">
        <f>Q83+((S83-Q83)/(2050-2040))*(2045-2040)</f>
        <v>17.166666666666668</v>
      </c>
      <c r="S83" s="209">
        <f>17</f>
        <v>17</v>
      </c>
      <c r="T83" s="109">
        <f>R83+((S83-R83)/(2050-2045))*(2060-2045)</f>
        <v>16.666666666666664</v>
      </c>
      <c r="U83" s="483"/>
      <c r="V83" s="484"/>
      <c r="W83" s="484"/>
      <c r="X83" s="484"/>
      <c r="Y83" s="209"/>
      <c r="Z83" s="484"/>
      <c r="AA83" s="211"/>
      <c r="AB83" s="1037"/>
      <c r="AC83" s="1037"/>
      <c r="AD83" s="1037"/>
      <c r="AE83" s="1037"/>
      <c r="AF83" s="1037"/>
      <c r="AG83" s="1037"/>
      <c r="AH83" s="1037"/>
      <c r="AI83" s="210"/>
      <c r="AJ83" s="208"/>
      <c r="AK83" s="208"/>
      <c r="AL83" s="208"/>
      <c r="AM83" s="209"/>
      <c r="AN83" s="208"/>
      <c r="AO83" s="211"/>
      <c r="AP83" s="883"/>
      <c r="AQ83" s="884"/>
      <c r="AR83" s="884"/>
      <c r="AS83" s="884"/>
      <c r="AT83" s="884"/>
      <c r="AU83" s="884"/>
      <c r="AV83" s="885"/>
      <c r="AW83" s="210"/>
      <c r="AX83" s="24"/>
      <c r="AY83" s="116"/>
    </row>
    <row r="84" spans="1:51" ht="16.2" customHeight="1" x14ac:dyDescent="0.3">
      <c r="A84" s="917"/>
      <c r="B84" s="878"/>
      <c r="C84" s="208">
        <v>5</v>
      </c>
      <c r="D84" s="208" t="s">
        <v>35</v>
      </c>
      <c r="E84" s="208">
        <v>2021</v>
      </c>
      <c r="F84" s="203" t="s">
        <v>19</v>
      </c>
      <c r="G84" s="212">
        <f>600</f>
        <v>600</v>
      </c>
      <c r="H84" s="209">
        <f>500</f>
        <v>500</v>
      </c>
      <c r="I84" s="209">
        <f>400</f>
        <v>400</v>
      </c>
      <c r="J84" s="209">
        <f>350</f>
        <v>350</v>
      </c>
      <c r="K84" s="209">
        <v>325</v>
      </c>
      <c r="L84" s="209">
        <f>300</f>
        <v>300</v>
      </c>
      <c r="M84" s="109">
        <f t="shared" si="95"/>
        <v>250</v>
      </c>
      <c r="N84" s="209">
        <f>12</f>
        <v>12</v>
      </c>
      <c r="O84" s="209">
        <f>12</f>
        <v>12</v>
      </c>
      <c r="P84" s="209">
        <f>12</f>
        <v>12</v>
      </c>
      <c r="Q84" s="209">
        <f>12</f>
        <v>12</v>
      </c>
      <c r="R84" s="209">
        <v>12</v>
      </c>
      <c r="S84" s="209">
        <f>12</f>
        <v>12</v>
      </c>
      <c r="T84" s="109">
        <v>24</v>
      </c>
      <c r="U84" s="483"/>
      <c r="V84" s="484"/>
      <c r="W84" s="484"/>
      <c r="X84" s="484"/>
      <c r="Y84" s="209"/>
      <c r="Z84" s="484"/>
      <c r="AA84" s="211"/>
      <c r="AB84" s="1037"/>
      <c r="AC84" s="1037"/>
      <c r="AD84" s="1037"/>
      <c r="AE84" s="1037"/>
      <c r="AF84" s="1037"/>
      <c r="AG84" s="1037"/>
      <c r="AH84" s="1037"/>
      <c r="AI84" s="210">
        <v>25</v>
      </c>
      <c r="AJ84" s="208">
        <v>25</v>
      </c>
      <c r="AK84" s="208">
        <v>25</v>
      </c>
      <c r="AL84" s="208">
        <v>25</v>
      </c>
      <c r="AM84" s="213">
        <v>25</v>
      </c>
      <c r="AN84" s="208">
        <v>25</v>
      </c>
      <c r="AO84" s="118">
        <v>25</v>
      </c>
      <c r="AP84" s="883"/>
      <c r="AQ84" s="884"/>
      <c r="AR84" s="884"/>
      <c r="AS84" s="884"/>
      <c r="AT84" s="884"/>
      <c r="AU84" s="884"/>
      <c r="AV84" s="885"/>
      <c r="AW84" s="210"/>
      <c r="AX84" s="24"/>
      <c r="AY84" s="116" t="s">
        <v>293</v>
      </c>
    </row>
    <row r="85" spans="1:51" ht="16.2" customHeight="1" x14ac:dyDescent="0.3">
      <c r="A85" s="917"/>
      <c r="B85" s="878"/>
      <c r="C85" s="208">
        <v>23</v>
      </c>
      <c r="D85" s="208" t="s">
        <v>88</v>
      </c>
      <c r="E85" s="208">
        <v>2021</v>
      </c>
      <c r="F85" s="203" t="s">
        <v>19</v>
      </c>
      <c r="G85" s="212">
        <v>703</v>
      </c>
      <c r="H85" s="209">
        <v>488</v>
      </c>
      <c r="I85" s="209">
        <v>395</v>
      </c>
      <c r="J85" s="209">
        <v>340</v>
      </c>
      <c r="K85" s="209">
        <v>332</v>
      </c>
      <c r="L85" s="209">
        <v>326</v>
      </c>
      <c r="M85" s="211">
        <v>326</v>
      </c>
      <c r="N85" s="209">
        <f>G85*0.01</f>
        <v>7.03</v>
      </c>
      <c r="O85" s="209">
        <f>H85*0.01</f>
        <v>4.88</v>
      </c>
      <c r="P85" s="209">
        <f t="shared" ref="P85:T85" si="104">I85*0.01</f>
        <v>3.95</v>
      </c>
      <c r="Q85" s="209">
        <f t="shared" si="104"/>
        <v>3.4</v>
      </c>
      <c r="R85" s="209">
        <f t="shared" si="104"/>
        <v>3.3200000000000003</v>
      </c>
      <c r="S85" s="209">
        <f t="shared" si="104"/>
        <v>3.2600000000000002</v>
      </c>
      <c r="T85" s="211">
        <f t="shared" si="104"/>
        <v>3.2600000000000002</v>
      </c>
      <c r="U85" s="483"/>
      <c r="V85" s="484"/>
      <c r="W85" s="484"/>
      <c r="X85" s="484"/>
      <c r="Y85" s="209"/>
      <c r="Z85" s="484"/>
      <c r="AA85" s="211"/>
      <c r="AB85" s="1037"/>
      <c r="AC85" s="1037"/>
      <c r="AD85" s="1037"/>
      <c r="AE85" s="1037"/>
      <c r="AF85" s="1037"/>
      <c r="AG85" s="1037"/>
      <c r="AH85" s="1037"/>
      <c r="AI85" s="210">
        <v>25</v>
      </c>
      <c r="AJ85" s="208">
        <v>25</v>
      </c>
      <c r="AK85" s="208">
        <v>25</v>
      </c>
      <c r="AL85" s="208">
        <v>25</v>
      </c>
      <c r="AM85" s="213">
        <v>25</v>
      </c>
      <c r="AN85" s="208">
        <v>25</v>
      </c>
      <c r="AO85" s="485">
        <v>25</v>
      </c>
      <c r="AP85" s="883"/>
      <c r="AQ85" s="884"/>
      <c r="AR85" s="884"/>
      <c r="AS85" s="884"/>
      <c r="AT85" s="884"/>
      <c r="AU85" s="884"/>
      <c r="AV85" s="885"/>
      <c r="AW85" s="210"/>
      <c r="AX85" s="24"/>
      <c r="AY85" s="116"/>
    </row>
    <row r="86" spans="1:51" x14ac:dyDescent="0.3">
      <c r="A86" s="917"/>
      <c r="B86" s="879"/>
      <c r="C86" s="214">
        <v>13</v>
      </c>
      <c r="D86" s="214" t="s">
        <v>63</v>
      </c>
      <c r="E86" s="214">
        <v>2020</v>
      </c>
      <c r="F86" s="203" t="s">
        <v>19</v>
      </c>
      <c r="G86" s="212">
        <v>690.02</v>
      </c>
      <c r="H86" s="209"/>
      <c r="I86" s="209"/>
      <c r="J86" s="209"/>
      <c r="K86" s="209"/>
      <c r="L86" s="209"/>
      <c r="M86" s="211"/>
      <c r="N86" s="122">
        <f>G86*0.02*$BC$6</f>
        <v>18.612212790176422</v>
      </c>
      <c r="O86" s="215"/>
      <c r="P86" s="215"/>
      <c r="Q86" s="215"/>
      <c r="R86" s="209"/>
      <c r="S86" s="215"/>
      <c r="T86" s="211"/>
      <c r="U86" s="486"/>
      <c r="V86" s="487"/>
      <c r="W86" s="487"/>
      <c r="X86" s="487"/>
      <c r="Y86" s="209"/>
      <c r="Z86" s="487"/>
      <c r="AA86" s="211"/>
      <c r="AB86" s="1037"/>
      <c r="AC86" s="1037"/>
      <c r="AD86" s="1037"/>
      <c r="AE86" s="1037"/>
      <c r="AF86" s="1037"/>
      <c r="AG86" s="1037"/>
      <c r="AH86" s="1037"/>
      <c r="AI86" s="216"/>
      <c r="AJ86" s="214"/>
      <c r="AK86" s="214"/>
      <c r="AL86" s="214"/>
      <c r="AM86" s="209"/>
      <c r="AN86" s="214"/>
      <c r="AO86" s="211"/>
      <c r="AP86" s="883"/>
      <c r="AQ86" s="884"/>
      <c r="AR86" s="884"/>
      <c r="AS86" s="884"/>
      <c r="AT86" s="884"/>
      <c r="AU86" s="884"/>
      <c r="AV86" s="885"/>
      <c r="AW86" s="216"/>
      <c r="AX86" s="27"/>
      <c r="AY86" s="116"/>
    </row>
    <row r="87" spans="1:51" x14ac:dyDescent="0.3">
      <c r="A87" s="917"/>
      <c r="B87" s="217" t="s">
        <v>267</v>
      </c>
      <c r="C87" s="218"/>
      <c r="D87" s="218"/>
      <c r="E87" s="218"/>
      <c r="F87" s="218"/>
      <c r="G87" s="219">
        <f t="shared" ref="G87:AO87" si="105">MIN(G80:G86)</f>
        <v>600</v>
      </c>
      <c r="H87" s="220">
        <f t="shared" si="105"/>
        <v>488</v>
      </c>
      <c r="I87" s="220">
        <f t="shared" si="105"/>
        <v>395</v>
      </c>
      <c r="J87" s="220">
        <f t="shared" si="105"/>
        <v>340</v>
      </c>
      <c r="K87" s="220">
        <f t="shared" si="105"/>
        <v>325</v>
      </c>
      <c r="L87" s="220">
        <f t="shared" si="105"/>
        <v>300</v>
      </c>
      <c r="M87" s="220">
        <f t="shared" si="105"/>
        <v>157.33333333333326</v>
      </c>
      <c r="N87" s="220">
        <f t="shared" si="105"/>
        <v>7.03</v>
      </c>
      <c r="O87" s="220">
        <f t="shared" si="105"/>
        <v>4.88</v>
      </c>
      <c r="P87" s="220">
        <f t="shared" si="105"/>
        <v>3.95</v>
      </c>
      <c r="Q87" s="220">
        <f t="shared" si="105"/>
        <v>3.4</v>
      </c>
      <c r="R87" s="220">
        <f t="shared" si="105"/>
        <v>3.3200000000000003</v>
      </c>
      <c r="S87" s="220">
        <f t="shared" si="105"/>
        <v>3.2600000000000002</v>
      </c>
      <c r="T87" s="220">
        <f t="shared" si="105"/>
        <v>3.2600000000000002</v>
      </c>
      <c r="U87" s="488">
        <f t="shared" si="105"/>
        <v>8.7550341446331632E-3</v>
      </c>
      <c r="V87" s="489">
        <f t="shared" si="105"/>
        <v>8.7550341446331632E-3</v>
      </c>
      <c r="W87" s="489">
        <f t="shared" si="105"/>
        <v>8.7550341446331632E-3</v>
      </c>
      <c r="X87" s="489">
        <f t="shared" si="105"/>
        <v>8.7550341446331632E-3</v>
      </c>
      <c r="Y87" s="489">
        <f t="shared" si="105"/>
        <v>8.7550341446331632E-3</v>
      </c>
      <c r="Z87" s="489">
        <f t="shared" si="105"/>
        <v>8.7550341446331632E-3</v>
      </c>
      <c r="AA87" s="489">
        <f t="shared" si="105"/>
        <v>8.7550341446331632E-3</v>
      </c>
      <c r="AB87" s="489"/>
      <c r="AC87" s="489"/>
      <c r="AD87" s="489"/>
      <c r="AE87" s="489"/>
      <c r="AF87" s="489"/>
      <c r="AG87" s="489"/>
      <c r="AH87" s="489"/>
      <c r="AI87" s="222">
        <f t="shared" si="105"/>
        <v>25</v>
      </c>
      <c r="AJ87" s="218">
        <f t="shared" si="105"/>
        <v>25</v>
      </c>
      <c r="AK87" s="218">
        <f t="shared" si="105"/>
        <v>25</v>
      </c>
      <c r="AL87" s="218">
        <f t="shared" si="105"/>
        <v>25</v>
      </c>
      <c r="AM87" s="490">
        <f t="shared" si="105"/>
        <v>25</v>
      </c>
      <c r="AN87" s="490">
        <f t="shared" si="105"/>
        <v>25</v>
      </c>
      <c r="AO87" s="491">
        <f t="shared" si="105"/>
        <v>25</v>
      </c>
      <c r="AP87" s="865">
        <v>1</v>
      </c>
      <c r="AQ87" s="866"/>
      <c r="AR87" s="866"/>
      <c r="AS87" s="866"/>
      <c r="AT87" s="866"/>
      <c r="AU87" s="866"/>
      <c r="AV87" s="867"/>
      <c r="AW87" s="222"/>
      <c r="AX87" s="223"/>
      <c r="AY87" s="104"/>
    </row>
    <row r="88" spans="1:51" x14ac:dyDescent="0.3">
      <c r="A88" s="917"/>
      <c r="B88" s="224" t="s">
        <v>268</v>
      </c>
      <c r="C88" s="225"/>
      <c r="D88" s="225"/>
      <c r="E88" s="225"/>
      <c r="F88" s="225"/>
      <c r="G88" s="226">
        <f t="shared" ref="G88:AO88" si="106">MEDIAN(G80:G86)</f>
        <v>735.42286814918566</v>
      </c>
      <c r="H88" s="227">
        <f t="shared" si="106"/>
        <v>595.34232183505515</v>
      </c>
      <c r="I88" s="227">
        <f t="shared" si="106"/>
        <v>455.26177552092452</v>
      </c>
      <c r="J88" s="227">
        <f t="shared" si="106"/>
        <v>391.78777797233403</v>
      </c>
      <c r="K88" s="227">
        <f t="shared" si="106"/>
        <v>360.05077919803881</v>
      </c>
      <c r="L88" s="227">
        <f t="shared" si="106"/>
        <v>329.3456487480301</v>
      </c>
      <c r="M88" s="227">
        <f t="shared" si="106"/>
        <v>264.83978287515322</v>
      </c>
      <c r="N88" s="227">
        <f t="shared" si="106"/>
        <v>18.612212790176422</v>
      </c>
      <c r="O88" s="227">
        <f t="shared" si="106"/>
        <v>16.058430157084928</v>
      </c>
      <c r="P88" s="227">
        <f t="shared" si="106"/>
        <v>12.279976002476708</v>
      </c>
      <c r="Q88" s="227">
        <f t="shared" si="106"/>
        <v>11.158247425327392</v>
      </c>
      <c r="R88" s="227">
        <f t="shared" si="106"/>
        <v>10.361229752089724</v>
      </c>
      <c r="S88" s="227">
        <f t="shared" si="106"/>
        <v>9.5642120788520533</v>
      </c>
      <c r="T88" s="227">
        <f t="shared" si="106"/>
        <v>7.9701767323767116</v>
      </c>
      <c r="U88" s="492">
        <f t="shared" si="106"/>
        <v>8.7550341446331632E-3</v>
      </c>
      <c r="V88" s="493">
        <f t="shared" si="106"/>
        <v>8.7550341446331632E-3</v>
      </c>
      <c r="W88" s="493">
        <f t="shared" si="106"/>
        <v>8.7550341446331632E-3</v>
      </c>
      <c r="X88" s="493">
        <f t="shared" si="106"/>
        <v>8.7550341446331632E-3</v>
      </c>
      <c r="Y88" s="493">
        <f t="shared" si="106"/>
        <v>8.7550341446331632E-3</v>
      </c>
      <c r="Z88" s="493">
        <f t="shared" si="106"/>
        <v>8.7550341446331632E-3</v>
      </c>
      <c r="AA88" s="493">
        <f t="shared" si="106"/>
        <v>8.7550341446331632E-3</v>
      </c>
      <c r="AB88" s="493"/>
      <c r="AC88" s="493"/>
      <c r="AD88" s="493"/>
      <c r="AE88" s="493"/>
      <c r="AF88" s="493"/>
      <c r="AG88" s="493"/>
      <c r="AH88" s="493"/>
      <c r="AI88" s="229">
        <f t="shared" si="106"/>
        <v>25</v>
      </c>
      <c r="AJ88" s="225">
        <f t="shared" si="106"/>
        <v>25</v>
      </c>
      <c r="AK88" s="225">
        <f t="shared" si="106"/>
        <v>25</v>
      </c>
      <c r="AL88" s="225">
        <f t="shared" si="106"/>
        <v>25</v>
      </c>
      <c r="AM88" s="494">
        <f t="shared" si="106"/>
        <v>25</v>
      </c>
      <c r="AN88" s="494">
        <f t="shared" si="106"/>
        <v>25</v>
      </c>
      <c r="AO88" s="495">
        <f t="shared" si="106"/>
        <v>25</v>
      </c>
      <c r="AP88" s="868"/>
      <c r="AQ88" s="869"/>
      <c r="AR88" s="869"/>
      <c r="AS88" s="869"/>
      <c r="AT88" s="869"/>
      <c r="AU88" s="869"/>
      <c r="AV88" s="870"/>
      <c r="AW88" s="229"/>
      <c r="AX88" s="230"/>
      <c r="AY88" s="104"/>
    </row>
    <row r="89" spans="1:51" x14ac:dyDescent="0.3">
      <c r="A89" s="917"/>
      <c r="B89" s="231" t="s">
        <v>269</v>
      </c>
      <c r="C89" s="232"/>
      <c r="D89" s="232"/>
      <c r="E89" s="232"/>
      <c r="F89" s="232"/>
      <c r="G89" s="226">
        <f t="shared" ref="G89:AO89" si="107">MAX(G80:G86)</f>
        <v>1228</v>
      </c>
      <c r="H89" s="227">
        <f t="shared" si="107"/>
        <v>1094.1666666666667</v>
      </c>
      <c r="I89" s="227">
        <f t="shared" si="107"/>
        <v>960.33333333333337</v>
      </c>
      <c r="J89" s="227">
        <f t="shared" si="107"/>
        <v>692.66666666666674</v>
      </c>
      <c r="K89" s="227">
        <f t="shared" si="107"/>
        <v>558.83333333333337</v>
      </c>
      <c r="L89" s="227">
        <f t="shared" si="107"/>
        <v>425</v>
      </c>
      <c r="M89" s="227">
        <f t="shared" si="107"/>
        <v>326</v>
      </c>
      <c r="N89" s="233">
        <f t="shared" si="107"/>
        <v>19.836884311693144</v>
      </c>
      <c r="O89" s="233">
        <f t="shared" si="107"/>
        <v>17.833333333333336</v>
      </c>
      <c r="P89" s="233">
        <f t="shared" si="107"/>
        <v>17.666666666666668</v>
      </c>
      <c r="Q89" s="233">
        <f t="shared" si="107"/>
        <v>17.333333333333336</v>
      </c>
      <c r="R89" s="233">
        <f t="shared" si="107"/>
        <v>17.166666666666668</v>
      </c>
      <c r="S89" s="233">
        <f t="shared" si="107"/>
        <v>17</v>
      </c>
      <c r="T89" s="233">
        <f t="shared" si="107"/>
        <v>24</v>
      </c>
      <c r="U89" s="496">
        <f t="shared" si="107"/>
        <v>8.7550341446331632E-3</v>
      </c>
      <c r="V89" s="497">
        <f t="shared" si="107"/>
        <v>8.7550341446331632E-3</v>
      </c>
      <c r="W89" s="497">
        <f t="shared" si="107"/>
        <v>8.7550341446331632E-3</v>
      </c>
      <c r="X89" s="497">
        <f t="shared" si="107"/>
        <v>8.7550341446331632E-3</v>
      </c>
      <c r="Y89" s="497">
        <f t="shared" si="107"/>
        <v>8.7550341446331632E-3</v>
      </c>
      <c r="Z89" s="497">
        <f t="shared" si="107"/>
        <v>8.7550341446331632E-3</v>
      </c>
      <c r="AA89" s="497">
        <f t="shared" si="107"/>
        <v>8.7550341446331632E-3</v>
      </c>
      <c r="AB89" s="497"/>
      <c r="AC89" s="497"/>
      <c r="AD89" s="497"/>
      <c r="AE89" s="497"/>
      <c r="AF89" s="497"/>
      <c r="AG89" s="497"/>
      <c r="AH89" s="497"/>
      <c r="AI89" s="234">
        <f t="shared" si="107"/>
        <v>25</v>
      </c>
      <c r="AJ89" s="232">
        <f t="shared" si="107"/>
        <v>25</v>
      </c>
      <c r="AK89" s="232">
        <f t="shared" si="107"/>
        <v>25</v>
      </c>
      <c r="AL89" s="232">
        <f t="shared" si="107"/>
        <v>25</v>
      </c>
      <c r="AM89" s="494">
        <f t="shared" si="107"/>
        <v>25</v>
      </c>
      <c r="AN89" s="498">
        <f t="shared" si="107"/>
        <v>25</v>
      </c>
      <c r="AO89" s="495">
        <f t="shared" si="107"/>
        <v>25</v>
      </c>
      <c r="AP89" s="868"/>
      <c r="AQ89" s="869"/>
      <c r="AR89" s="869"/>
      <c r="AS89" s="869"/>
      <c r="AT89" s="869"/>
      <c r="AU89" s="869"/>
      <c r="AV89" s="870"/>
      <c r="AW89" s="234"/>
      <c r="AX89" s="235"/>
      <c r="AY89" s="104"/>
    </row>
    <row r="90" spans="1:51" ht="15" customHeight="1" x14ac:dyDescent="0.3">
      <c r="A90" s="917"/>
      <c r="B90" s="919" t="s">
        <v>274</v>
      </c>
      <c r="C90" s="236">
        <v>5</v>
      </c>
      <c r="D90" s="236" t="s">
        <v>35</v>
      </c>
      <c r="E90" s="236">
        <v>2021</v>
      </c>
      <c r="F90" s="237" t="s">
        <v>19</v>
      </c>
      <c r="G90" s="238">
        <v>900</v>
      </c>
      <c r="H90" s="239">
        <v>750</v>
      </c>
      <c r="I90" s="239">
        <v>700</v>
      </c>
      <c r="J90" s="239">
        <v>650</v>
      </c>
      <c r="K90" s="239">
        <v>600</v>
      </c>
      <c r="L90" s="239">
        <v>550</v>
      </c>
      <c r="M90" s="95">
        <f>K90+((L90-K90)/(2050-2045))*(2060-2045)</f>
        <v>450</v>
      </c>
      <c r="N90" s="239">
        <v>12</v>
      </c>
      <c r="O90" s="239">
        <v>12</v>
      </c>
      <c r="P90" s="239">
        <v>12</v>
      </c>
      <c r="Q90" s="239">
        <v>12</v>
      </c>
      <c r="R90" s="239">
        <v>12</v>
      </c>
      <c r="S90" s="239">
        <v>12</v>
      </c>
      <c r="T90" s="95">
        <v>12</v>
      </c>
      <c r="U90" s="499"/>
      <c r="V90" s="500"/>
      <c r="W90" s="500"/>
      <c r="X90" s="500"/>
      <c r="Y90" s="239"/>
      <c r="Z90" s="500"/>
      <c r="AA90" s="241"/>
      <c r="AB90" s="239"/>
      <c r="AC90" s="239"/>
      <c r="AD90" s="239"/>
      <c r="AE90" s="239"/>
      <c r="AF90" s="239"/>
      <c r="AG90" s="239"/>
      <c r="AH90" s="239"/>
      <c r="AI90" s="240">
        <v>25</v>
      </c>
      <c r="AJ90" s="236">
        <v>25</v>
      </c>
      <c r="AK90" s="236">
        <v>25</v>
      </c>
      <c r="AL90" s="236">
        <v>25</v>
      </c>
      <c r="AM90" s="242">
        <v>25</v>
      </c>
      <c r="AN90" s="242">
        <v>25</v>
      </c>
      <c r="AO90" s="103">
        <v>25</v>
      </c>
      <c r="AP90" s="921">
        <v>1</v>
      </c>
      <c r="AQ90" s="922"/>
      <c r="AR90" s="922"/>
      <c r="AS90" s="922"/>
      <c r="AT90" s="922"/>
      <c r="AU90" s="922"/>
      <c r="AV90" s="923"/>
      <c r="AW90" s="240"/>
      <c r="AX90" s="30"/>
      <c r="AY90" s="104" t="s">
        <v>293</v>
      </c>
    </row>
    <row r="91" spans="1:51" x14ac:dyDescent="0.3">
      <c r="A91" s="917"/>
      <c r="B91" s="920"/>
      <c r="C91" s="248">
        <v>13</v>
      </c>
      <c r="D91" s="248" t="s">
        <v>63</v>
      </c>
      <c r="E91" s="248">
        <v>2020</v>
      </c>
      <c r="F91" s="237" t="s">
        <v>19</v>
      </c>
      <c r="G91" s="244">
        <f>1433.91</f>
        <v>1433.91</v>
      </c>
      <c r="H91" s="245"/>
      <c r="I91" s="245"/>
      <c r="J91" s="245"/>
      <c r="K91" s="245"/>
      <c r="L91" s="245"/>
      <c r="M91" s="246"/>
      <c r="N91" s="122">
        <f>G91*0.02*$BC$6</f>
        <v>38.67748477140065</v>
      </c>
      <c r="O91" s="249"/>
      <c r="P91" s="249"/>
      <c r="Q91" s="249"/>
      <c r="R91" s="245"/>
      <c r="S91" s="249"/>
      <c r="T91" s="246"/>
      <c r="U91" s="501"/>
      <c r="V91" s="502"/>
      <c r="W91" s="502"/>
      <c r="X91" s="502"/>
      <c r="Y91" s="245"/>
      <c r="Z91" s="502"/>
      <c r="AA91" s="246"/>
      <c r="AB91" s="1027"/>
      <c r="AC91" s="1027"/>
      <c r="AD91" s="1027"/>
      <c r="AE91" s="1027"/>
      <c r="AF91" s="1027"/>
      <c r="AG91" s="1027"/>
      <c r="AH91" s="1027"/>
      <c r="AI91" s="250"/>
      <c r="AJ91" s="248"/>
      <c r="AK91" s="248"/>
      <c r="AL91" s="248"/>
      <c r="AM91" s="245"/>
      <c r="AN91" s="248"/>
      <c r="AO91" s="246"/>
      <c r="AP91" s="924"/>
      <c r="AQ91" s="925"/>
      <c r="AR91" s="925"/>
      <c r="AS91" s="925"/>
      <c r="AT91" s="925"/>
      <c r="AU91" s="925"/>
      <c r="AV91" s="926"/>
      <c r="AW91" s="250"/>
      <c r="AX91" s="36"/>
      <c r="AY91" s="104"/>
    </row>
    <row r="92" spans="1:51" x14ac:dyDescent="0.3">
      <c r="A92" s="917"/>
      <c r="B92" s="251" t="s">
        <v>267</v>
      </c>
      <c r="C92" s="252"/>
      <c r="D92" s="252"/>
      <c r="E92" s="252"/>
      <c r="F92" s="252"/>
      <c r="G92" s="253">
        <f t="shared" ref="G92:AO92" si="108">MIN(G90:G91)</f>
        <v>900</v>
      </c>
      <c r="H92" s="254">
        <f t="shared" si="108"/>
        <v>750</v>
      </c>
      <c r="I92" s="254">
        <f t="shared" si="108"/>
        <v>700</v>
      </c>
      <c r="J92" s="254">
        <f t="shared" si="108"/>
        <v>650</v>
      </c>
      <c r="K92" s="254">
        <f t="shared" si="108"/>
        <v>600</v>
      </c>
      <c r="L92" s="254">
        <f t="shared" si="108"/>
        <v>550</v>
      </c>
      <c r="M92" s="255">
        <f t="shared" si="108"/>
        <v>450</v>
      </c>
      <c r="N92" s="254">
        <f t="shared" si="108"/>
        <v>12</v>
      </c>
      <c r="O92" s="254">
        <f t="shared" si="108"/>
        <v>12</v>
      </c>
      <c r="P92" s="254">
        <f t="shared" si="108"/>
        <v>12</v>
      </c>
      <c r="Q92" s="254">
        <f t="shared" si="108"/>
        <v>12</v>
      </c>
      <c r="R92" s="254">
        <f t="shared" si="108"/>
        <v>12</v>
      </c>
      <c r="S92" s="254">
        <f t="shared" si="108"/>
        <v>12</v>
      </c>
      <c r="T92" s="255">
        <f t="shared" si="108"/>
        <v>12</v>
      </c>
      <c r="U92" s="503"/>
      <c r="V92" s="504"/>
      <c r="W92" s="504"/>
      <c r="X92" s="504"/>
      <c r="Y92" s="254"/>
      <c r="Z92" s="504"/>
      <c r="AA92" s="255"/>
      <c r="AB92" s="254"/>
      <c r="AC92" s="254"/>
      <c r="AD92" s="254"/>
      <c r="AE92" s="254"/>
      <c r="AF92" s="254"/>
      <c r="AG92" s="254"/>
      <c r="AH92" s="254"/>
      <c r="AI92" s="256">
        <f t="shared" si="108"/>
        <v>25</v>
      </c>
      <c r="AJ92" s="252">
        <f t="shared" si="108"/>
        <v>25</v>
      </c>
      <c r="AK92" s="252">
        <f t="shared" si="108"/>
        <v>25</v>
      </c>
      <c r="AL92" s="252">
        <f t="shared" si="108"/>
        <v>25</v>
      </c>
      <c r="AM92" s="252">
        <f t="shared" si="108"/>
        <v>25</v>
      </c>
      <c r="AN92" s="252">
        <f t="shared" si="108"/>
        <v>25</v>
      </c>
      <c r="AO92" s="259">
        <f t="shared" si="108"/>
        <v>25</v>
      </c>
      <c r="AP92" s="927">
        <v>1</v>
      </c>
      <c r="AQ92" s="928"/>
      <c r="AR92" s="928"/>
      <c r="AS92" s="928"/>
      <c r="AT92" s="928"/>
      <c r="AU92" s="928"/>
      <c r="AV92" s="929"/>
      <c r="AW92" s="256"/>
      <c r="AX92" s="259"/>
      <c r="AY92" s="104"/>
    </row>
    <row r="93" spans="1:51" x14ac:dyDescent="0.3">
      <c r="A93" s="917"/>
      <c r="B93" s="260" t="s">
        <v>268</v>
      </c>
      <c r="C93" s="261"/>
      <c r="D93" s="261"/>
      <c r="E93" s="261"/>
      <c r="F93" s="261"/>
      <c r="G93" s="262">
        <f t="shared" ref="G93:AO93" si="109">MEDIAN(G90:G91)</f>
        <v>1166.9549999999999</v>
      </c>
      <c r="H93" s="263">
        <f t="shared" si="109"/>
        <v>750</v>
      </c>
      <c r="I93" s="263">
        <f t="shared" si="109"/>
        <v>700</v>
      </c>
      <c r="J93" s="263">
        <f t="shared" si="109"/>
        <v>650</v>
      </c>
      <c r="K93" s="263">
        <f t="shared" si="109"/>
        <v>600</v>
      </c>
      <c r="L93" s="263">
        <f t="shared" si="109"/>
        <v>550</v>
      </c>
      <c r="M93" s="264">
        <f t="shared" si="109"/>
        <v>450</v>
      </c>
      <c r="N93" s="263">
        <f t="shared" si="109"/>
        <v>25.338742385700325</v>
      </c>
      <c r="O93" s="263">
        <f t="shared" si="109"/>
        <v>12</v>
      </c>
      <c r="P93" s="263">
        <f t="shared" si="109"/>
        <v>12</v>
      </c>
      <c r="Q93" s="263">
        <f t="shared" si="109"/>
        <v>12</v>
      </c>
      <c r="R93" s="263">
        <f t="shared" si="109"/>
        <v>12</v>
      </c>
      <c r="S93" s="263">
        <f t="shared" si="109"/>
        <v>12</v>
      </c>
      <c r="T93" s="264">
        <f t="shared" si="109"/>
        <v>12</v>
      </c>
      <c r="U93" s="505"/>
      <c r="V93" s="506"/>
      <c r="W93" s="506"/>
      <c r="X93" s="506"/>
      <c r="Y93" s="263"/>
      <c r="Z93" s="506"/>
      <c r="AA93" s="264"/>
      <c r="AB93" s="1039"/>
      <c r="AC93" s="1039"/>
      <c r="AD93" s="1039"/>
      <c r="AE93" s="1039"/>
      <c r="AF93" s="1039"/>
      <c r="AG93" s="1039"/>
      <c r="AH93" s="1039"/>
      <c r="AI93" s="265">
        <f t="shared" si="109"/>
        <v>25</v>
      </c>
      <c r="AJ93" s="261">
        <f t="shared" si="109"/>
        <v>25</v>
      </c>
      <c r="AK93" s="261">
        <f t="shared" si="109"/>
        <v>25</v>
      </c>
      <c r="AL93" s="261">
        <f t="shared" si="109"/>
        <v>25</v>
      </c>
      <c r="AM93" s="261">
        <f t="shared" si="109"/>
        <v>25</v>
      </c>
      <c r="AN93" s="261">
        <f t="shared" si="109"/>
        <v>25</v>
      </c>
      <c r="AO93" s="268">
        <f t="shared" si="109"/>
        <v>25</v>
      </c>
      <c r="AP93" s="930"/>
      <c r="AQ93" s="931"/>
      <c r="AR93" s="931"/>
      <c r="AS93" s="931"/>
      <c r="AT93" s="931"/>
      <c r="AU93" s="931"/>
      <c r="AV93" s="932"/>
      <c r="AW93" s="265"/>
      <c r="AX93" s="268"/>
      <c r="AY93" s="104"/>
    </row>
    <row r="94" spans="1:51" x14ac:dyDescent="0.3">
      <c r="A94" s="917"/>
      <c r="B94" s="269" t="s">
        <v>269</v>
      </c>
      <c r="C94" s="274"/>
      <c r="D94" s="274"/>
      <c r="E94" s="274"/>
      <c r="F94" s="274"/>
      <c r="G94" s="262">
        <f t="shared" ref="G94:AO94" si="110">MAX(G90:G91)</f>
        <v>1433.91</v>
      </c>
      <c r="H94" s="263">
        <f t="shared" si="110"/>
        <v>750</v>
      </c>
      <c r="I94" s="263">
        <f t="shared" si="110"/>
        <v>700</v>
      </c>
      <c r="J94" s="263">
        <f t="shared" si="110"/>
        <v>650</v>
      </c>
      <c r="K94" s="263">
        <f t="shared" si="110"/>
        <v>600</v>
      </c>
      <c r="L94" s="263">
        <f t="shared" si="110"/>
        <v>550</v>
      </c>
      <c r="M94" s="264">
        <f t="shared" si="110"/>
        <v>450</v>
      </c>
      <c r="N94" s="271">
        <f t="shared" si="110"/>
        <v>38.67748477140065</v>
      </c>
      <c r="O94" s="271">
        <f t="shared" si="110"/>
        <v>12</v>
      </c>
      <c r="P94" s="271">
        <f t="shared" si="110"/>
        <v>12</v>
      </c>
      <c r="Q94" s="271">
        <f t="shared" si="110"/>
        <v>12</v>
      </c>
      <c r="R94" s="263">
        <f t="shared" si="110"/>
        <v>12</v>
      </c>
      <c r="S94" s="271">
        <f t="shared" si="110"/>
        <v>12</v>
      </c>
      <c r="T94" s="264">
        <f t="shared" si="110"/>
        <v>12</v>
      </c>
      <c r="U94" s="505"/>
      <c r="V94" s="506"/>
      <c r="W94" s="506"/>
      <c r="X94" s="506"/>
      <c r="Y94" s="263"/>
      <c r="Z94" s="506"/>
      <c r="AA94" s="264"/>
      <c r="AB94" s="1039"/>
      <c r="AC94" s="1039"/>
      <c r="AD94" s="1039"/>
      <c r="AE94" s="1039"/>
      <c r="AF94" s="1039"/>
      <c r="AG94" s="1039"/>
      <c r="AH94" s="1039"/>
      <c r="AI94" s="273">
        <f t="shared" si="110"/>
        <v>25</v>
      </c>
      <c r="AJ94" s="274">
        <f t="shared" si="110"/>
        <v>25</v>
      </c>
      <c r="AK94" s="274">
        <f t="shared" si="110"/>
        <v>25</v>
      </c>
      <c r="AL94" s="274">
        <f t="shared" si="110"/>
        <v>25</v>
      </c>
      <c r="AM94" s="274">
        <f t="shared" si="110"/>
        <v>25</v>
      </c>
      <c r="AN94" s="274">
        <f t="shared" si="110"/>
        <v>25</v>
      </c>
      <c r="AO94" s="277">
        <f t="shared" si="110"/>
        <v>25</v>
      </c>
      <c r="AP94" s="930"/>
      <c r="AQ94" s="931"/>
      <c r="AR94" s="931"/>
      <c r="AS94" s="931"/>
      <c r="AT94" s="931"/>
      <c r="AU94" s="931"/>
      <c r="AV94" s="932"/>
      <c r="AW94" s="273"/>
      <c r="AX94" s="277"/>
      <c r="AY94" s="104"/>
    </row>
    <row r="95" spans="1:51" ht="16.2" customHeight="1" x14ac:dyDescent="0.3">
      <c r="A95" s="917"/>
      <c r="B95" s="841" t="s">
        <v>24</v>
      </c>
      <c r="C95" s="279">
        <v>9</v>
      </c>
      <c r="D95" s="279" t="s">
        <v>50</v>
      </c>
      <c r="E95" s="279">
        <v>2021</v>
      </c>
      <c r="F95" s="507" t="s">
        <v>19</v>
      </c>
      <c r="G95" s="508">
        <v>1660</v>
      </c>
      <c r="H95" s="93">
        <f>G95+((I95-G95)/(2030-2020))*(2025-2020)</f>
        <v>1660</v>
      </c>
      <c r="I95" s="93">
        <f>G95+((L95-G95)/(2050-2020))*(2030-2020)</f>
        <v>1660</v>
      </c>
      <c r="J95" s="93">
        <f>I95+((L95-I95)/(2050-2030))*(2040-2030)</f>
        <v>1660</v>
      </c>
      <c r="K95" s="93">
        <f>1660</f>
        <v>1660</v>
      </c>
      <c r="L95" s="281">
        <v>1660</v>
      </c>
      <c r="M95" s="95">
        <v>1660</v>
      </c>
      <c r="N95" s="281">
        <v>50</v>
      </c>
      <c r="O95" s="93">
        <f>N95+((P95-N95)/(2030-2020))*(2025-2020)</f>
        <v>50</v>
      </c>
      <c r="P95" s="93">
        <f>N95+((S95-N95)/(2050-2020))*(2030-2020)</f>
        <v>50</v>
      </c>
      <c r="Q95" s="93">
        <f>P95+((S95-P95)/(2050-2030))*(2040-2030)</f>
        <v>50</v>
      </c>
      <c r="R95" s="281">
        <v>50</v>
      </c>
      <c r="S95" s="281">
        <v>50</v>
      </c>
      <c r="T95" s="93">
        <f>R95+((S95-R95)/(2050-2045))*(2060-2045)</f>
        <v>50</v>
      </c>
      <c r="U95" s="284"/>
      <c r="V95" s="285"/>
      <c r="W95" s="285"/>
      <c r="X95" s="285"/>
      <c r="Y95" s="281"/>
      <c r="Z95" s="285"/>
      <c r="AA95" s="509"/>
      <c r="AB95" s="281"/>
      <c r="AC95" s="281"/>
      <c r="AD95" s="281"/>
      <c r="AE95" s="281"/>
      <c r="AF95" s="281"/>
      <c r="AG95" s="281"/>
      <c r="AH95" s="281"/>
      <c r="AI95" s="279"/>
      <c r="AJ95" s="279"/>
      <c r="AK95" s="279"/>
      <c r="AL95" s="279"/>
      <c r="AM95" s="281"/>
      <c r="AN95" s="279"/>
      <c r="AO95" s="509"/>
      <c r="AP95" s="281"/>
      <c r="AQ95" s="281"/>
      <c r="AR95" s="281"/>
      <c r="AS95" s="281"/>
      <c r="AT95" s="281"/>
      <c r="AU95" s="281"/>
      <c r="AV95" s="509"/>
      <c r="AW95" s="278"/>
      <c r="AX95" s="7"/>
      <c r="AY95" s="104" t="s">
        <v>294</v>
      </c>
    </row>
    <row r="96" spans="1:51" ht="16.2" customHeight="1" x14ac:dyDescent="0.3">
      <c r="A96" s="917"/>
      <c r="B96" s="842"/>
      <c r="C96" s="290">
        <v>23</v>
      </c>
      <c r="D96" s="290" t="s">
        <v>88</v>
      </c>
      <c r="E96" s="290">
        <v>2021</v>
      </c>
      <c r="F96" s="507" t="s">
        <v>19</v>
      </c>
      <c r="G96" s="510">
        <f>(1800+2100)/2</f>
        <v>1950</v>
      </c>
      <c r="H96" s="282">
        <f>G96</f>
        <v>1950</v>
      </c>
      <c r="I96" s="282">
        <f>(1800+2100)/2</f>
        <v>1950</v>
      </c>
      <c r="J96" s="282">
        <f>I96</f>
        <v>1950</v>
      </c>
      <c r="K96" s="282">
        <f>(1800+2100)/2</f>
        <v>1950</v>
      </c>
      <c r="L96" s="282">
        <f>K96</f>
        <v>1950</v>
      </c>
      <c r="M96" s="298">
        <f>(1800+2100)/2</f>
        <v>1950</v>
      </c>
      <c r="N96" s="282">
        <f>G96*0.02</f>
        <v>39</v>
      </c>
      <c r="O96" s="282">
        <f>H96*0.02</f>
        <v>39</v>
      </c>
      <c r="P96" s="282">
        <f t="shared" ref="P96:T96" si="111">I96*0.02</f>
        <v>39</v>
      </c>
      <c r="Q96" s="282">
        <f t="shared" si="111"/>
        <v>39</v>
      </c>
      <c r="R96" s="282">
        <f t="shared" si="111"/>
        <v>39</v>
      </c>
      <c r="S96" s="282">
        <f t="shared" si="111"/>
        <v>39</v>
      </c>
      <c r="T96" s="282">
        <f t="shared" si="111"/>
        <v>39</v>
      </c>
      <c r="U96" s="293"/>
      <c r="V96" s="294"/>
      <c r="W96" s="294"/>
      <c r="X96" s="294"/>
      <c r="Y96" s="282"/>
      <c r="Z96" s="294"/>
      <c r="AA96" s="298"/>
      <c r="AB96" s="1043"/>
      <c r="AC96" s="1043"/>
      <c r="AD96" s="1043"/>
      <c r="AE96" s="1043"/>
      <c r="AF96" s="1043"/>
      <c r="AG96" s="1043"/>
      <c r="AH96" s="1043"/>
      <c r="AI96" s="290">
        <f>(45+55)/2</f>
        <v>50</v>
      </c>
      <c r="AJ96" s="290">
        <f t="shared" ref="AJ96:AO96" si="112">(45+55)/2</f>
        <v>50</v>
      </c>
      <c r="AK96" s="290">
        <f t="shared" si="112"/>
        <v>50</v>
      </c>
      <c r="AL96" s="290">
        <f t="shared" si="112"/>
        <v>50</v>
      </c>
      <c r="AM96" s="288">
        <f t="shared" si="112"/>
        <v>50</v>
      </c>
      <c r="AN96" s="288">
        <f t="shared" si="112"/>
        <v>50</v>
      </c>
      <c r="AO96" s="511">
        <f t="shared" si="112"/>
        <v>50</v>
      </c>
      <c r="AP96" s="282" t="s">
        <v>295</v>
      </c>
      <c r="AQ96" s="282" t="s">
        <v>295</v>
      </c>
      <c r="AR96" s="282" t="s">
        <v>295</v>
      </c>
      <c r="AS96" s="282" t="s">
        <v>295</v>
      </c>
      <c r="AT96" s="282" t="s">
        <v>295</v>
      </c>
      <c r="AU96" s="282" t="s">
        <v>295</v>
      </c>
      <c r="AV96" s="282" t="s">
        <v>295</v>
      </c>
      <c r="AW96" s="289"/>
      <c r="AX96" s="11"/>
      <c r="AY96" s="104"/>
    </row>
    <row r="97" spans="1:51" x14ac:dyDescent="0.3">
      <c r="A97" s="917"/>
      <c r="B97" s="842"/>
      <c r="C97" s="290">
        <v>6</v>
      </c>
      <c r="D97" s="290" t="s">
        <v>39</v>
      </c>
      <c r="E97" s="290">
        <v>2020</v>
      </c>
      <c r="F97" s="507" t="s">
        <v>19</v>
      </c>
      <c r="G97" s="510">
        <f t="shared" ref="G97:G99" si="113">(2000)/1.1422</f>
        <v>1751.0068289266326</v>
      </c>
      <c r="H97" s="107">
        <f t="shared" ref="H97:H99" si="114">G97+((I97-G97)/(2030-2020))*(2025-2020)</f>
        <v>1751.0068289266326</v>
      </c>
      <c r="I97" s="282">
        <f t="shared" ref="I97:I99" si="115">(2000)/1.1422</f>
        <v>1751.0068289266326</v>
      </c>
      <c r="J97" s="107">
        <f t="shared" ref="J97:J99" si="116">I97+((L97-I97)/(2050-2030))*(2040-2030)</f>
        <v>1751.0068289266326</v>
      </c>
      <c r="K97" s="107">
        <f t="shared" ref="K97:K99" si="117">J97+((L97-J97)/(2050-2040))*(2045-2040)</f>
        <v>1751.0068289266326</v>
      </c>
      <c r="L97" s="282">
        <f t="shared" ref="L97:L99" si="118">(2000)/1.1422</f>
        <v>1751.0068289266326</v>
      </c>
      <c r="M97" s="109">
        <f t="shared" ref="M97:M99" si="119">K97+((L97-K97)/(2050-2045))*(2060-2045)</f>
        <v>1751.0068289266326</v>
      </c>
      <c r="N97" s="107">
        <f t="shared" ref="N97:N99" si="120">G97*0.02*$BC$6</f>
        <v>47.230676932602719</v>
      </c>
      <c r="O97" s="107">
        <f>H97*0.02*$BC$6</f>
        <v>47.230676932602719</v>
      </c>
      <c r="P97" s="107">
        <f>I97*0.02*$BC$6</f>
        <v>47.230676932602719</v>
      </c>
      <c r="Q97" s="107">
        <f>J97*0.02*$BC$6</f>
        <v>47.230676932602719</v>
      </c>
      <c r="R97" s="107">
        <f>K97*0.02*$BC$6</f>
        <v>47.230676932602719</v>
      </c>
      <c r="S97" s="107">
        <f>L97*0.02*$BC$6</f>
        <v>47.230676932602719</v>
      </c>
      <c r="T97" s="107">
        <f>M97*0.02*$BC$6</f>
        <v>47.230676932602719</v>
      </c>
      <c r="U97" s="293">
        <f>(90)/1.1422*0.001</f>
        <v>7.8795307301698467E-2</v>
      </c>
      <c r="V97" s="295">
        <f t="shared" ref="V97:V99" si="121">U97+((W97-U97)/(2030-2020))*(2025-2020)</f>
        <v>9.1927858518648209E-2</v>
      </c>
      <c r="W97" s="294">
        <f>(120)/1.1422*0.001</f>
        <v>0.10506040973559796</v>
      </c>
      <c r="X97" s="295">
        <f t="shared" ref="X97:X99" si="122">W97+((Z97-W97)/(2050-2030))*(2040-2030)</f>
        <v>0.11162668534407283</v>
      </c>
      <c r="Y97" s="295">
        <f t="shared" ref="Y97:Y99" si="123">X97+((Z97-X97)/(2050-2040))*(2045-2040)</f>
        <v>0.11490982314831027</v>
      </c>
      <c r="Z97" s="294">
        <f>(135)/1.1422*0.001</f>
        <v>0.11819296095254771</v>
      </c>
      <c r="AA97" s="452">
        <f t="shared" ref="AA97:AA99" si="124">Y97+((Z97-Y97)/(2050-2045))*(2060-2045)</f>
        <v>0.12475923656102257</v>
      </c>
      <c r="AB97" s="1041"/>
      <c r="AC97" s="1041"/>
      <c r="AD97" s="1041"/>
      <c r="AE97" s="1041"/>
      <c r="AF97" s="1041"/>
      <c r="AG97" s="1041"/>
      <c r="AH97" s="1041"/>
      <c r="AI97" s="290"/>
      <c r="AJ97" s="290"/>
      <c r="AK97" s="290"/>
      <c r="AL97" s="290"/>
      <c r="AM97" s="282"/>
      <c r="AN97" s="290"/>
      <c r="AO97" s="298"/>
      <c r="AP97" s="282"/>
      <c r="AQ97" s="282"/>
      <c r="AR97" s="282"/>
      <c r="AS97" s="282"/>
      <c r="AT97" s="282"/>
      <c r="AU97" s="282"/>
      <c r="AV97" s="298"/>
      <c r="AW97" s="289"/>
      <c r="AX97" s="11"/>
      <c r="AY97" s="104" t="s">
        <v>296</v>
      </c>
    </row>
    <row r="98" spans="1:51" x14ac:dyDescent="0.3">
      <c r="A98" s="917"/>
      <c r="B98" s="842"/>
      <c r="C98" s="290">
        <v>6</v>
      </c>
      <c r="D98" s="290" t="s">
        <v>39</v>
      </c>
      <c r="E98" s="290">
        <v>2020</v>
      </c>
      <c r="F98" s="507" t="s">
        <v>19</v>
      </c>
      <c r="G98" s="510">
        <f t="shared" si="113"/>
        <v>1751.0068289266326</v>
      </c>
      <c r="H98" s="107">
        <f t="shared" si="114"/>
        <v>1751.0068289266326</v>
      </c>
      <c r="I98" s="282">
        <f t="shared" si="115"/>
        <v>1751.0068289266326</v>
      </c>
      <c r="J98" s="107">
        <f t="shared" si="116"/>
        <v>1751.0068289266326</v>
      </c>
      <c r="K98" s="107">
        <f t="shared" si="117"/>
        <v>1751.0068289266326</v>
      </c>
      <c r="L98" s="282">
        <f t="shared" si="118"/>
        <v>1751.0068289266326</v>
      </c>
      <c r="M98" s="109">
        <f t="shared" si="119"/>
        <v>1751.0068289266326</v>
      </c>
      <c r="N98" s="107">
        <f t="shared" si="120"/>
        <v>47.230676932602719</v>
      </c>
      <c r="O98" s="107">
        <f>H98*0.02*$BC$6</f>
        <v>47.230676932602719</v>
      </c>
      <c r="P98" s="107">
        <f>I98*0.02*$BC$6</f>
        <v>47.230676932602719</v>
      </c>
      <c r="Q98" s="107">
        <f>J98*0.02*$BC$6</f>
        <v>47.230676932602719</v>
      </c>
      <c r="R98" s="107">
        <f>K98*0.02*$BC$6</f>
        <v>47.230676932602719</v>
      </c>
      <c r="S98" s="107">
        <f>L98*0.02*$BC$6</f>
        <v>47.230676932602719</v>
      </c>
      <c r="T98" s="107">
        <f>M98*0.02*$BC$6</f>
        <v>47.230676932602719</v>
      </c>
      <c r="U98" s="293">
        <f t="shared" ref="U98:U99" si="125">(105)/1.1422*0.001</f>
        <v>9.1927858518648209E-2</v>
      </c>
      <c r="V98" s="295">
        <f t="shared" si="121"/>
        <v>0.11819296095254771</v>
      </c>
      <c r="W98" s="294">
        <f t="shared" ref="W98:W99" si="126">(165)/1.1422*0.001</f>
        <v>0.14445806338644721</v>
      </c>
      <c r="X98" s="295">
        <f t="shared" si="122"/>
        <v>0.1641568902118718</v>
      </c>
      <c r="Y98" s="295">
        <f t="shared" si="123"/>
        <v>0.17400630362458411</v>
      </c>
      <c r="Z98" s="294">
        <f t="shared" ref="Z98:Z99" si="127">(210)/1.1422*0.001</f>
        <v>0.18385571703729642</v>
      </c>
      <c r="AA98" s="452">
        <f t="shared" si="124"/>
        <v>0.20355454386272104</v>
      </c>
      <c r="AB98" s="1041"/>
      <c r="AC98" s="1041"/>
      <c r="AD98" s="1041"/>
      <c r="AE98" s="1041"/>
      <c r="AF98" s="1041"/>
      <c r="AG98" s="1041"/>
      <c r="AH98" s="1041"/>
      <c r="AI98" s="290"/>
      <c r="AJ98" s="290"/>
      <c r="AK98" s="290"/>
      <c r="AL98" s="290"/>
      <c r="AM98" s="282"/>
      <c r="AN98" s="290"/>
      <c r="AO98" s="298"/>
      <c r="AP98" s="282"/>
      <c r="AQ98" s="282"/>
      <c r="AR98" s="282"/>
      <c r="AS98" s="282"/>
      <c r="AT98" s="282"/>
      <c r="AU98" s="282"/>
      <c r="AV98" s="298"/>
      <c r="AW98" s="289"/>
      <c r="AX98" s="11"/>
      <c r="AY98" s="104" t="s">
        <v>297</v>
      </c>
    </row>
    <row r="99" spans="1:51" x14ac:dyDescent="0.3">
      <c r="A99" s="917"/>
      <c r="B99" s="843"/>
      <c r="C99" s="300">
        <v>6</v>
      </c>
      <c r="D99" s="300" t="s">
        <v>39</v>
      </c>
      <c r="E99" s="300">
        <v>2020</v>
      </c>
      <c r="F99" s="507" t="s">
        <v>19</v>
      </c>
      <c r="G99" s="512">
        <f t="shared" si="113"/>
        <v>1751.0068289266326</v>
      </c>
      <c r="H99" s="122">
        <f t="shared" si="114"/>
        <v>1751.0068289266326</v>
      </c>
      <c r="I99" s="302">
        <f t="shared" si="115"/>
        <v>1751.0068289266326</v>
      </c>
      <c r="J99" s="122">
        <f t="shared" si="116"/>
        <v>1751.0068289266326</v>
      </c>
      <c r="K99" s="122">
        <f t="shared" si="117"/>
        <v>1751.0068289266326</v>
      </c>
      <c r="L99" s="302">
        <f t="shared" si="118"/>
        <v>1751.0068289266326</v>
      </c>
      <c r="M99" s="303">
        <f t="shared" si="119"/>
        <v>1751.0068289266326</v>
      </c>
      <c r="N99" s="107">
        <f t="shared" si="120"/>
        <v>47.230676932602719</v>
      </c>
      <c r="O99" s="107">
        <f>H99*0.02*$BC$6</f>
        <v>47.230676932602719</v>
      </c>
      <c r="P99" s="107">
        <f>I99*0.02*$BC$6</f>
        <v>47.230676932602719</v>
      </c>
      <c r="Q99" s="107">
        <f>J99*0.02*$BC$6</f>
        <v>47.230676932602719</v>
      </c>
      <c r="R99" s="107">
        <f>K99*0.02*$BC$6</f>
        <v>47.230676932602719</v>
      </c>
      <c r="S99" s="107">
        <f>L99*0.02*$BC$6</f>
        <v>47.230676932602719</v>
      </c>
      <c r="T99" s="107">
        <f>M99*0.02*$BC$6</f>
        <v>47.230676932602719</v>
      </c>
      <c r="U99" s="304">
        <f t="shared" si="125"/>
        <v>9.1927858518648209E-2</v>
      </c>
      <c r="V99" s="305">
        <f t="shared" si="121"/>
        <v>0.11819296095254771</v>
      </c>
      <c r="W99" s="513">
        <f t="shared" si="126"/>
        <v>0.14445806338644721</v>
      </c>
      <c r="X99" s="305">
        <f t="shared" si="122"/>
        <v>0.1641568902118718</v>
      </c>
      <c r="Y99" s="305">
        <f t="shared" si="123"/>
        <v>0.17400630362458411</v>
      </c>
      <c r="Z99" s="513">
        <f t="shared" si="127"/>
        <v>0.18385571703729642</v>
      </c>
      <c r="AA99" s="514">
        <f t="shared" si="124"/>
        <v>0.20355454386272104</v>
      </c>
      <c r="AB99" s="305"/>
      <c r="AC99" s="305"/>
      <c r="AD99" s="305"/>
      <c r="AE99" s="305"/>
      <c r="AF99" s="305"/>
      <c r="AG99" s="305"/>
      <c r="AH99" s="305"/>
      <c r="AI99" s="300"/>
      <c r="AJ99" s="300"/>
      <c r="AK99" s="300"/>
      <c r="AL99" s="300"/>
      <c r="AM99" s="302"/>
      <c r="AN99" s="300"/>
      <c r="AO99" s="309"/>
      <c r="AP99" s="302"/>
      <c r="AQ99" s="302"/>
      <c r="AR99" s="302"/>
      <c r="AS99" s="302"/>
      <c r="AT99" s="302"/>
      <c r="AU99" s="302"/>
      <c r="AV99" s="309"/>
      <c r="AW99" s="299"/>
      <c r="AX99" s="18"/>
      <c r="AY99" s="104" t="s">
        <v>298</v>
      </c>
    </row>
    <row r="100" spans="1:51" x14ac:dyDescent="0.3">
      <c r="A100" s="917"/>
      <c r="B100" s="310" t="s">
        <v>267</v>
      </c>
      <c r="C100" s="318"/>
      <c r="D100" s="318"/>
      <c r="E100" s="318"/>
      <c r="F100" s="318"/>
      <c r="G100" s="323">
        <f t="shared" ref="G100:AO100" si="128">MIN(G95:G99)</f>
        <v>1660</v>
      </c>
      <c r="H100" s="324">
        <f t="shared" si="128"/>
        <v>1660</v>
      </c>
      <c r="I100" s="324">
        <f t="shared" si="128"/>
        <v>1660</v>
      </c>
      <c r="J100" s="324">
        <f t="shared" si="128"/>
        <v>1660</v>
      </c>
      <c r="K100" s="324">
        <f t="shared" si="128"/>
        <v>1660</v>
      </c>
      <c r="L100" s="324">
        <f t="shared" si="128"/>
        <v>1660</v>
      </c>
      <c r="M100" s="325">
        <f t="shared" si="128"/>
        <v>1660</v>
      </c>
      <c r="N100" s="313">
        <f t="shared" si="128"/>
        <v>39</v>
      </c>
      <c r="O100" s="313">
        <f t="shared" si="128"/>
        <v>39</v>
      </c>
      <c r="P100" s="313">
        <f t="shared" si="128"/>
        <v>39</v>
      </c>
      <c r="Q100" s="313">
        <f t="shared" si="128"/>
        <v>39</v>
      </c>
      <c r="R100" s="313">
        <f t="shared" si="128"/>
        <v>39</v>
      </c>
      <c r="S100" s="313">
        <f t="shared" si="128"/>
        <v>39</v>
      </c>
      <c r="T100" s="314">
        <f t="shared" si="128"/>
        <v>39</v>
      </c>
      <c r="U100" s="326">
        <f t="shared" si="128"/>
        <v>7.8795307301698467E-2</v>
      </c>
      <c r="V100" s="327">
        <f t="shared" si="128"/>
        <v>9.1927858518648209E-2</v>
      </c>
      <c r="W100" s="327">
        <f t="shared" si="128"/>
        <v>0.10506040973559796</v>
      </c>
      <c r="X100" s="327">
        <f t="shared" si="128"/>
        <v>0.11162668534407283</v>
      </c>
      <c r="Y100" s="327">
        <f t="shared" si="128"/>
        <v>0.11490982314831027</v>
      </c>
      <c r="Z100" s="327">
        <f t="shared" si="128"/>
        <v>0.11819296095254771</v>
      </c>
      <c r="AA100" s="515">
        <f t="shared" si="128"/>
        <v>0.12475923656102257</v>
      </c>
      <c r="AB100" s="1044"/>
      <c r="AC100" s="1044"/>
      <c r="AD100" s="1044"/>
      <c r="AE100" s="1044"/>
      <c r="AF100" s="1044"/>
      <c r="AG100" s="1044"/>
      <c r="AH100" s="1044"/>
      <c r="AI100" s="317">
        <f t="shared" si="128"/>
        <v>50</v>
      </c>
      <c r="AJ100" s="318">
        <f t="shared" si="128"/>
        <v>50</v>
      </c>
      <c r="AK100" s="318">
        <f t="shared" si="128"/>
        <v>50</v>
      </c>
      <c r="AL100" s="318">
        <f t="shared" si="128"/>
        <v>50</v>
      </c>
      <c r="AM100" s="313">
        <f t="shared" si="128"/>
        <v>50</v>
      </c>
      <c r="AN100" s="318">
        <f t="shared" si="128"/>
        <v>50</v>
      </c>
      <c r="AO100" s="314">
        <f t="shared" si="128"/>
        <v>50</v>
      </c>
      <c r="AP100" s="319">
        <v>38</v>
      </c>
      <c r="AQ100" s="319">
        <v>38</v>
      </c>
      <c r="AR100" s="319">
        <v>38</v>
      </c>
      <c r="AS100" s="319">
        <v>38</v>
      </c>
      <c r="AT100" s="319">
        <v>38</v>
      </c>
      <c r="AU100" s="319">
        <v>38</v>
      </c>
      <c r="AV100" s="319">
        <v>38</v>
      </c>
      <c r="AW100" s="317"/>
      <c r="AX100" s="321"/>
      <c r="AY100" s="104"/>
    </row>
    <row r="101" spans="1:51" x14ac:dyDescent="0.3">
      <c r="A101" s="917"/>
      <c r="B101" s="322" t="s">
        <v>268</v>
      </c>
      <c r="C101" s="311"/>
      <c r="D101" s="311"/>
      <c r="E101" s="311"/>
      <c r="F101" s="311"/>
      <c r="G101" s="323">
        <f t="shared" ref="G101:AO101" si="129">MEDIAN(G95:G99)</f>
        <v>1751.0068289266326</v>
      </c>
      <c r="H101" s="324">
        <f t="shared" si="129"/>
        <v>1751.0068289266326</v>
      </c>
      <c r="I101" s="324">
        <f t="shared" si="129"/>
        <v>1751.0068289266326</v>
      </c>
      <c r="J101" s="324">
        <f t="shared" si="129"/>
        <v>1751.0068289266326</v>
      </c>
      <c r="K101" s="324">
        <f t="shared" si="129"/>
        <v>1751.0068289266326</v>
      </c>
      <c r="L101" s="324">
        <f t="shared" si="129"/>
        <v>1751.0068289266326</v>
      </c>
      <c r="M101" s="325">
        <f t="shared" si="129"/>
        <v>1751.0068289266326</v>
      </c>
      <c r="N101" s="324">
        <f t="shared" si="129"/>
        <v>47.230676932602719</v>
      </c>
      <c r="O101" s="324">
        <f t="shared" si="129"/>
        <v>47.230676932602719</v>
      </c>
      <c r="P101" s="324">
        <f t="shared" si="129"/>
        <v>47.230676932602719</v>
      </c>
      <c r="Q101" s="324">
        <f t="shared" si="129"/>
        <v>47.230676932602719</v>
      </c>
      <c r="R101" s="324">
        <f t="shared" si="129"/>
        <v>47.230676932602719</v>
      </c>
      <c r="S101" s="324">
        <f t="shared" si="129"/>
        <v>47.230676932602719</v>
      </c>
      <c r="T101" s="325">
        <f t="shared" si="129"/>
        <v>47.230676932602719</v>
      </c>
      <c r="U101" s="326">
        <f t="shared" si="129"/>
        <v>9.1927858518648209E-2</v>
      </c>
      <c r="V101" s="327">
        <f t="shared" si="129"/>
        <v>0.11819296095254771</v>
      </c>
      <c r="W101" s="327">
        <f t="shared" si="129"/>
        <v>0.14445806338644721</v>
      </c>
      <c r="X101" s="327">
        <f t="shared" si="129"/>
        <v>0.1641568902118718</v>
      </c>
      <c r="Y101" s="327">
        <f t="shared" si="129"/>
        <v>0.17400630362458411</v>
      </c>
      <c r="Z101" s="327">
        <f t="shared" si="129"/>
        <v>0.18385571703729642</v>
      </c>
      <c r="AA101" s="515">
        <f t="shared" si="129"/>
        <v>0.20355454386272104</v>
      </c>
      <c r="AB101" s="1044"/>
      <c r="AC101" s="1044"/>
      <c r="AD101" s="1044"/>
      <c r="AE101" s="1044"/>
      <c r="AF101" s="1044"/>
      <c r="AG101" s="1044"/>
      <c r="AH101" s="1044"/>
      <c r="AI101" s="328">
        <f t="shared" si="129"/>
        <v>50</v>
      </c>
      <c r="AJ101" s="311">
        <f t="shared" si="129"/>
        <v>50</v>
      </c>
      <c r="AK101" s="311">
        <f t="shared" si="129"/>
        <v>50</v>
      </c>
      <c r="AL101" s="311">
        <f t="shared" si="129"/>
        <v>50</v>
      </c>
      <c r="AM101" s="324">
        <f t="shared" si="129"/>
        <v>50</v>
      </c>
      <c r="AN101" s="311">
        <f t="shared" si="129"/>
        <v>50</v>
      </c>
      <c r="AO101" s="325">
        <f t="shared" si="129"/>
        <v>50</v>
      </c>
      <c r="AP101" s="329">
        <f>AVERAGE(AP100,AP102)</f>
        <v>44</v>
      </c>
      <c r="AQ101" s="329">
        <f t="shared" ref="AQ101:AV101" si="130">AVERAGE(AQ100,AQ102)</f>
        <v>44</v>
      </c>
      <c r="AR101" s="329">
        <f t="shared" si="130"/>
        <v>44</v>
      </c>
      <c r="AS101" s="329">
        <f t="shared" si="130"/>
        <v>44</v>
      </c>
      <c r="AT101" s="329">
        <f t="shared" si="130"/>
        <v>44</v>
      </c>
      <c r="AU101" s="329">
        <f t="shared" si="130"/>
        <v>44</v>
      </c>
      <c r="AV101" s="329">
        <f t="shared" si="130"/>
        <v>44</v>
      </c>
      <c r="AW101" s="328"/>
      <c r="AX101" s="331"/>
      <c r="AY101" s="104"/>
    </row>
    <row r="102" spans="1:51" x14ac:dyDescent="0.3">
      <c r="A102" s="917"/>
      <c r="B102" s="332" t="s">
        <v>269</v>
      </c>
      <c r="C102" s="333"/>
      <c r="D102" s="333"/>
      <c r="E102" s="333"/>
      <c r="F102" s="333"/>
      <c r="G102" s="323">
        <f t="shared" ref="G102:AO102" si="131">MAX(G95:G99)</f>
        <v>1950</v>
      </c>
      <c r="H102" s="324">
        <f t="shared" si="131"/>
        <v>1950</v>
      </c>
      <c r="I102" s="324">
        <f t="shared" si="131"/>
        <v>1950</v>
      </c>
      <c r="J102" s="324">
        <f t="shared" si="131"/>
        <v>1950</v>
      </c>
      <c r="K102" s="324">
        <f t="shared" si="131"/>
        <v>1950</v>
      </c>
      <c r="L102" s="324">
        <f t="shared" si="131"/>
        <v>1950</v>
      </c>
      <c r="M102" s="325">
        <f t="shared" si="131"/>
        <v>1950</v>
      </c>
      <c r="N102" s="324">
        <f t="shared" si="131"/>
        <v>50</v>
      </c>
      <c r="O102" s="324">
        <f t="shared" si="131"/>
        <v>50</v>
      </c>
      <c r="P102" s="324">
        <f t="shared" si="131"/>
        <v>50</v>
      </c>
      <c r="Q102" s="324">
        <f t="shared" si="131"/>
        <v>50</v>
      </c>
      <c r="R102" s="324">
        <f t="shared" si="131"/>
        <v>50</v>
      </c>
      <c r="S102" s="324">
        <f t="shared" si="131"/>
        <v>50</v>
      </c>
      <c r="T102" s="325">
        <f t="shared" si="131"/>
        <v>50</v>
      </c>
      <c r="U102" s="337">
        <f t="shared" si="131"/>
        <v>9.1927858518648209E-2</v>
      </c>
      <c r="V102" s="338">
        <f t="shared" si="131"/>
        <v>0.11819296095254771</v>
      </c>
      <c r="W102" s="338">
        <f t="shared" si="131"/>
        <v>0.14445806338644721</v>
      </c>
      <c r="X102" s="338">
        <f t="shared" si="131"/>
        <v>0.1641568902118718</v>
      </c>
      <c r="Y102" s="327">
        <f t="shared" si="131"/>
        <v>0.17400630362458411</v>
      </c>
      <c r="Z102" s="338">
        <f t="shared" si="131"/>
        <v>0.18385571703729642</v>
      </c>
      <c r="AA102" s="515">
        <f t="shared" si="131"/>
        <v>0.20355454386272104</v>
      </c>
      <c r="AB102" s="1044"/>
      <c r="AC102" s="1044"/>
      <c r="AD102" s="1044"/>
      <c r="AE102" s="1044"/>
      <c r="AF102" s="1044"/>
      <c r="AG102" s="1044"/>
      <c r="AH102" s="1044"/>
      <c r="AI102" s="339">
        <f t="shared" si="131"/>
        <v>50</v>
      </c>
      <c r="AJ102" s="333">
        <f t="shared" si="131"/>
        <v>50</v>
      </c>
      <c r="AK102" s="333">
        <f t="shared" si="131"/>
        <v>50</v>
      </c>
      <c r="AL102" s="333">
        <f t="shared" si="131"/>
        <v>50</v>
      </c>
      <c r="AM102" s="324">
        <f t="shared" si="131"/>
        <v>50</v>
      </c>
      <c r="AN102" s="333">
        <f t="shared" si="131"/>
        <v>50</v>
      </c>
      <c r="AO102" s="325">
        <f t="shared" si="131"/>
        <v>50</v>
      </c>
      <c r="AP102" s="340">
        <v>50</v>
      </c>
      <c r="AQ102" s="340">
        <v>50</v>
      </c>
      <c r="AR102" s="340">
        <v>50</v>
      </c>
      <c r="AS102" s="340">
        <v>50</v>
      </c>
      <c r="AT102" s="340">
        <v>50</v>
      </c>
      <c r="AU102" s="340">
        <v>50</v>
      </c>
      <c r="AV102" s="340">
        <v>50</v>
      </c>
      <c r="AW102" s="339"/>
      <c r="AX102" s="342"/>
      <c r="AY102" s="104"/>
    </row>
    <row r="103" spans="1:51" ht="16.2" customHeight="1" x14ac:dyDescent="0.3">
      <c r="A103" s="917"/>
      <c r="B103" s="906" t="s">
        <v>29</v>
      </c>
      <c r="C103" s="344">
        <v>6</v>
      </c>
      <c r="D103" s="344" t="s">
        <v>39</v>
      </c>
      <c r="E103" s="344">
        <v>2020</v>
      </c>
      <c r="F103" s="345" t="s">
        <v>19</v>
      </c>
      <c r="G103" s="516">
        <f t="shared" ref="G103:G105" si="132">(6600)/1.1422</f>
        <v>5778.3225354578881</v>
      </c>
      <c r="H103" s="93">
        <f t="shared" ref="H103:H105" si="133">G103+((I103-G103)/(2030-2020))*(2025-2020)</f>
        <v>5121.6949746104001</v>
      </c>
      <c r="I103" s="517">
        <f t="shared" ref="I103:I105" si="134">(5100)/1.1422</f>
        <v>4465.067413762913</v>
      </c>
      <c r="J103" s="93">
        <f t="shared" ref="J103:J105" si="135">I103+((L103-I103)/(2050-2030))*(2040-2030)</f>
        <v>4202.4163894239182</v>
      </c>
      <c r="K103" s="93">
        <f t="shared" ref="K103:K105" si="136">J103+((L103-J103)/(2050-2040))*(2045-2040)</f>
        <v>4071.0908772544208</v>
      </c>
      <c r="L103" s="517">
        <f t="shared" ref="L103:L105" si="137">(4500)/1.1422</f>
        <v>3939.7653650849234</v>
      </c>
      <c r="M103" s="95">
        <f t="shared" ref="M103:M105" si="138">K103+((L103-K103)/(2050-2045))*(2060-2045)</f>
        <v>3677.1143407459285</v>
      </c>
      <c r="N103" s="92">
        <f t="shared" ref="N103:N105" si="139">G103*0.02*$BC$6</f>
        <v>155.861233877589</v>
      </c>
      <c r="O103" s="93">
        <f t="shared" ref="O103:O105" si="140">H103*0.02*$BC$6</f>
        <v>138.14973002786294</v>
      </c>
      <c r="P103" s="93">
        <f t="shared" ref="P103:P105" si="141">I103*0.02*$BC$6</f>
        <v>120.43822617813694</v>
      </c>
      <c r="Q103" s="93">
        <f t="shared" ref="Q103:Q105" si="142">J103*0.02*$BC$6</f>
        <v>113.35362463824653</v>
      </c>
      <c r="R103" s="93">
        <f t="shared" ref="R103:R105" si="143">K103*0.02*$BC$6</f>
        <v>109.81132386830133</v>
      </c>
      <c r="S103" s="93">
        <f t="shared" ref="S103:S105" si="144">L103*0.02*$BC$6</f>
        <v>106.26902309835613</v>
      </c>
      <c r="T103" s="95">
        <f t="shared" ref="T103:T105" si="145">M103*0.02*$BC$6</f>
        <v>99.184421558465715</v>
      </c>
      <c r="U103" s="518">
        <f t="shared" ref="U103:U105" si="146">(35*0.001)/1.1422</f>
        <v>3.0642619506216075E-2</v>
      </c>
      <c r="V103" s="286">
        <f t="shared" ref="V103:V105" si="147">U103+((W103-U103)/(2030-2020))*(2025-2020)</f>
        <v>3.0642619506216075E-2</v>
      </c>
      <c r="W103" s="519">
        <f t="shared" ref="W103:W105" si="148">(35*0.001)/1.1422</f>
        <v>3.0642619506216075E-2</v>
      </c>
      <c r="X103" s="286">
        <f t="shared" ref="X103:X105" si="149">W103+((Z103-W103)/(2050-2030))*(2040-2030)</f>
        <v>3.0642619506216075E-2</v>
      </c>
      <c r="Y103" s="93">
        <f t="shared" ref="Y103:Y105" si="150">X103+((Z103-X103)/(2050-2040))*(2045-2040)</f>
        <v>3.0642619506216075E-2</v>
      </c>
      <c r="Z103" s="519">
        <f t="shared" ref="Z103:Z105" si="151">(35*0.001)/1.1422</f>
        <v>3.0642619506216075E-2</v>
      </c>
      <c r="AA103" s="95">
        <f t="shared" ref="AA103:AA105" si="152">Y103+((Z103-Y103)/(2050-2045))*(2060-2045)</f>
        <v>3.0642619506216075E-2</v>
      </c>
      <c r="AB103" s="93"/>
      <c r="AC103" s="93"/>
      <c r="AD103" s="93"/>
      <c r="AE103" s="93"/>
      <c r="AF103" s="93"/>
      <c r="AG103" s="93"/>
      <c r="AH103" s="93"/>
      <c r="AI103" s="520"/>
      <c r="AJ103" s="344"/>
      <c r="AK103" s="344"/>
      <c r="AL103" s="344"/>
      <c r="AM103" s="517"/>
      <c r="AN103" s="344"/>
      <c r="AO103" s="521"/>
      <c r="AP103" s="517"/>
      <c r="AQ103" s="517"/>
      <c r="AR103" s="517"/>
      <c r="AS103" s="517"/>
      <c r="AT103" s="517"/>
      <c r="AU103" s="517"/>
      <c r="AV103" s="521"/>
      <c r="AW103" s="520"/>
      <c r="AX103" s="54"/>
      <c r="AY103" s="104" t="s">
        <v>299</v>
      </c>
    </row>
    <row r="104" spans="1:51" x14ac:dyDescent="0.3">
      <c r="A104" s="917"/>
      <c r="B104" s="907"/>
      <c r="C104" s="522">
        <v>6</v>
      </c>
      <c r="D104" s="522" t="s">
        <v>39</v>
      </c>
      <c r="E104" s="522">
        <v>2020</v>
      </c>
      <c r="F104" s="345" t="s">
        <v>19</v>
      </c>
      <c r="G104" s="523">
        <f t="shared" si="132"/>
        <v>5778.3225354578881</v>
      </c>
      <c r="H104" s="107">
        <f t="shared" si="133"/>
        <v>5121.6949746104001</v>
      </c>
      <c r="I104" s="524">
        <f t="shared" si="134"/>
        <v>4465.067413762913</v>
      </c>
      <c r="J104" s="107">
        <f t="shared" si="135"/>
        <v>4202.4163894239182</v>
      </c>
      <c r="K104" s="107">
        <f t="shared" si="136"/>
        <v>4071.0908772544208</v>
      </c>
      <c r="L104" s="524">
        <f t="shared" si="137"/>
        <v>3939.7653650849234</v>
      </c>
      <c r="M104" s="109">
        <f t="shared" si="138"/>
        <v>3677.1143407459285</v>
      </c>
      <c r="N104" s="106">
        <f t="shared" si="139"/>
        <v>155.861233877589</v>
      </c>
      <c r="O104" s="107">
        <f t="shared" si="140"/>
        <v>138.14973002786294</v>
      </c>
      <c r="P104" s="107">
        <f t="shared" si="141"/>
        <v>120.43822617813694</v>
      </c>
      <c r="Q104" s="107">
        <f t="shared" si="142"/>
        <v>113.35362463824653</v>
      </c>
      <c r="R104" s="107">
        <f t="shared" si="143"/>
        <v>109.81132386830133</v>
      </c>
      <c r="S104" s="107">
        <f t="shared" si="144"/>
        <v>106.26902309835613</v>
      </c>
      <c r="T104" s="109">
        <f t="shared" si="145"/>
        <v>99.184421558465715</v>
      </c>
      <c r="U104" s="525">
        <f t="shared" si="146"/>
        <v>3.0642619506216075E-2</v>
      </c>
      <c r="V104" s="295">
        <f t="shared" si="147"/>
        <v>3.0642619506216075E-2</v>
      </c>
      <c r="W104" s="526">
        <f t="shared" si="148"/>
        <v>3.0642619506216075E-2</v>
      </c>
      <c r="X104" s="295">
        <f t="shared" si="149"/>
        <v>3.0642619506216075E-2</v>
      </c>
      <c r="Y104" s="107">
        <f t="shared" si="150"/>
        <v>3.0642619506216075E-2</v>
      </c>
      <c r="Z104" s="526">
        <f t="shared" si="151"/>
        <v>3.0642619506216075E-2</v>
      </c>
      <c r="AA104" s="109">
        <f t="shared" si="152"/>
        <v>3.0642619506216075E-2</v>
      </c>
      <c r="AB104" s="1045"/>
      <c r="AC104" s="1045"/>
      <c r="AD104" s="1045"/>
      <c r="AE104" s="1045"/>
      <c r="AF104" s="1045"/>
      <c r="AG104" s="1045"/>
      <c r="AH104" s="1045"/>
      <c r="AI104" s="527"/>
      <c r="AJ104" s="522"/>
      <c r="AK104" s="522"/>
      <c r="AL104" s="522"/>
      <c r="AM104" s="524"/>
      <c r="AN104" s="522"/>
      <c r="AO104" s="528"/>
      <c r="AP104" s="524"/>
      <c r="AQ104" s="524"/>
      <c r="AR104" s="524"/>
      <c r="AS104" s="524"/>
      <c r="AT104" s="524"/>
      <c r="AU104" s="524"/>
      <c r="AV104" s="528"/>
      <c r="AW104" s="527"/>
      <c r="AX104" s="529"/>
      <c r="AY104" s="104" t="s">
        <v>300</v>
      </c>
    </row>
    <row r="105" spans="1:51" x14ac:dyDescent="0.3">
      <c r="A105" s="917"/>
      <c r="B105" s="907"/>
      <c r="C105" s="522">
        <v>6</v>
      </c>
      <c r="D105" s="522" t="s">
        <v>39</v>
      </c>
      <c r="E105" s="522">
        <v>2020</v>
      </c>
      <c r="F105" s="345" t="s">
        <v>19</v>
      </c>
      <c r="G105" s="523">
        <f t="shared" si="132"/>
        <v>5778.3225354578881</v>
      </c>
      <c r="H105" s="107">
        <f t="shared" si="133"/>
        <v>5121.6949746104001</v>
      </c>
      <c r="I105" s="524">
        <f t="shared" si="134"/>
        <v>4465.067413762913</v>
      </c>
      <c r="J105" s="107">
        <f t="shared" si="135"/>
        <v>4202.4163894239182</v>
      </c>
      <c r="K105" s="107">
        <f t="shared" si="136"/>
        <v>4071.0908772544208</v>
      </c>
      <c r="L105" s="524">
        <f t="shared" si="137"/>
        <v>3939.7653650849234</v>
      </c>
      <c r="M105" s="109">
        <f t="shared" si="138"/>
        <v>3677.1143407459285</v>
      </c>
      <c r="N105" s="106">
        <f t="shared" si="139"/>
        <v>155.861233877589</v>
      </c>
      <c r="O105" s="107">
        <f t="shared" si="140"/>
        <v>138.14973002786294</v>
      </c>
      <c r="P105" s="107">
        <f t="shared" si="141"/>
        <v>120.43822617813694</v>
      </c>
      <c r="Q105" s="107">
        <f t="shared" si="142"/>
        <v>113.35362463824653</v>
      </c>
      <c r="R105" s="107">
        <f t="shared" si="143"/>
        <v>109.81132386830133</v>
      </c>
      <c r="S105" s="107">
        <f t="shared" si="144"/>
        <v>106.26902309835613</v>
      </c>
      <c r="T105" s="109">
        <f t="shared" si="145"/>
        <v>99.184421558465715</v>
      </c>
      <c r="U105" s="525">
        <f t="shared" si="146"/>
        <v>3.0642619506216075E-2</v>
      </c>
      <c r="V105" s="295">
        <f t="shared" si="147"/>
        <v>3.0642619506216075E-2</v>
      </c>
      <c r="W105" s="526">
        <f t="shared" si="148"/>
        <v>3.0642619506216075E-2</v>
      </c>
      <c r="X105" s="295">
        <f t="shared" si="149"/>
        <v>3.0642619506216075E-2</v>
      </c>
      <c r="Y105" s="107">
        <f t="shared" si="150"/>
        <v>3.0642619506216075E-2</v>
      </c>
      <c r="Z105" s="526">
        <f t="shared" si="151"/>
        <v>3.0642619506216075E-2</v>
      </c>
      <c r="AA105" s="109">
        <f t="shared" si="152"/>
        <v>3.0642619506216075E-2</v>
      </c>
      <c r="AB105" s="1045"/>
      <c r="AC105" s="1045"/>
      <c r="AD105" s="1045"/>
      <c r="AE105" s="1045"/>
      <c r="AF105" s="1045"/>
      <c r="AG105" s="1045"/>
      <c r="AH105" s="1045"/>
      <c r="AI105" s="527"/>
      <c r="AJ105" s="522"/>
      <c r="AK105" s="522"/>
      <c r="AL105" s="522"/>
      <c r="AM105" s="524"/>
      <c r="AN105" s="522"/>
      <c r="AO105" s="528"/>
      <c r="AP105" s="524"/>
      <c r="AQ105" s="524"/>
      <c r="AR105" s="524"/>
      <c r="AS105" s="524"/>
      <c r="AT105" s="524"/>
      <c r="AU105" s="524"/>
      <c r="AV105" s="528"/>
      <c r="AW105" s="527"/>
      <c r="AX105" s="529"/>
      <c r="AY105" s="104" t="s">
        <v>301</v>
      </c>
    </row>
    <row r="106" spans="1:51" x14ac:dyDescent="0.3">
      <c r="A106" s="917"/>
      <c r="B106" s="907"/>
      <c r="C106" s="522">
        <v>23</v>
      </c>
      <c r="D106" s="522" t="s">
        <v>88</v>
      </c>
      <c r="E106" s="522">
        <v>2021</v>
      </c>
      <c r="F106" s="345" t="s">
        <v>19</v>
      </c>
      <c r="G106" s="523">
        <v>7000</v>
      </c>
      <c r="H106" s="524">
        <v>7000</v>
      </c>
      <c r="I106" s="524">
        <v>7000</v>
      </c>
      <c r="J106" s="524">
        <v>7000</v>
      </c>
      <c r="K106" s="524">
        <v>7000</v>
      </c>
      <c r="L106" s="524">
        <v>7000</v>
      </c>
      <c r="M106" s="528">
        <v>7000</v>
      </c>
      <c r="N106" s="523">
        <f>G106*0.03</f>
        <v>210</v>
      </c>
      <c r="O106" s="524">
        <f t="shared" ref="O106:T106" si="153">H106*0.03</f>
        <v>210</v>
      </c>
      <c r="P106" s="524">
        <f t="shared" si="153"/>
        <v>210</v>
      </c>
      <c r="Q106" s="524">
        <f t="shared" si="153"/>
        <v>210</v>
      </c>
      <c r="R106" s="524">
        <f t="shared" si="153"/>
        <v>210</v>
      </c>
      <c r="S106" s="524">
        <f t="shared" si="153"/>
        <v>210</v>
      </c>
      <c r="T106" s="528">
        <f t="shared" si="153"/>
        <v>210</v>
      </c>
      <c r="U106" s="525"/>
      <c r="V106" s="526"/>
      <c r="W106" s="526"/>
      <c r="X106" s="526"/>
      <c r="Y106" s="524"/>
      <c r="Z106" s="526"/>
      <c r="AA106" s="528"/>
      <c r="AB106" s="1046"/>
      <c r="AC106" s="1046"/>
      <c r="AD106" s="1046"/>
      <c r="AE106" s="1046"/>
      <c r="AF106" s="1046"/>
      <c r="AG106" s="1046"/>
      <c r="AH106" s="1046"/>
      <c r="AI106" s="527">
        <v>60</v>
      </c>
      <c r="AJ106" s="522">
        <v>60</v>
      </c>
      <c r="AK106" s="522">
        <v>60</v>
      </c>
      <c r="AL106" s="522">
        <v>60</v>
      </c>
      <c r="AM106" s="530">
        <v>60</v>
      </c>
      <c r="AN106" s="530">
        <v>60</v>
      </c>
      <c r="AO106" s="531">
        <v>60</v>
      </c>
      <c r="AP106" s="530">
        <v>33</v>
      </c>
      <c r="AQ106" s="530">
        <v>33</v>
      </c>
      <c r="AR106" s="530">
        <v>33</v>
      </c>
      <c r="AS106" s="530">
        <v>33</v>
      </c>
      <c r="AT106" s="530">
        <v>33</v>
      </c>
      <c r="AU106" s="530">
        <v>33</v>
      </c>
      <c r="AV106" s="531">
        <v>33</v>
      </c>
      <c r="AW106" s="527"/>
      <c r="AX106" s="529"/>
      <c r="AY106" s="104"/>
    </row>
    <row r="107" spans="1:51" x14ac:dyDescent="0.3">
      <c r="A107" s="917"/>
      <c r="B107" s="908"/>
      <c r="C107" s="532">
        <v>13</v>
      </c>
      <c r="D107" s="532" t="s">
        <v>63</v>
      </c>
      <c r="E107" s="532">
        <v>2020</v>
      </c>
      <c r="F107" s="345" t="s">
        <v>19</v>
      </c>
      <c r="G107" s="533">
        <f>5466.66</f>
        <v>5466.66</v>
      </c>
      <c r="H107" s="534"/>
      <c r="I107" s="534"/>
      <c r="J107" s="534"/>
      <c r="K107" s="534"/>
      <c r="L107" s="534"/>
      <c r="M107" s="535"/>
      <c r="N107" s="107">
        <f>G107*0.02*$BC$6</f>
        <v>147.45462330301419</v>
      </c>
      <c r="O107" s="534"/>
      <c r="P107" s="534"/>
      <c r="Q107" s="534"/>
      <c r="R107" s="534"/>
      <c r="S107" s="534"/>
      <c r="T107" s="535"/>
      <c r="U107" s="536"/>
      <c r="V107" s="537"/>
      <c r="W107" s="537"/>
      <c r="X107" s="537"/>
      <c r="Y107" s="534"/>
      <c r="Z107" s="537"/>
      <c r="AA107" s="535"/>
      <c r="AB107" s="534"/>
      <c r="AC107" s="534"/>
      <c r="AD107" s="534"/>
      <c r="AE107" s="534"/>
      <c r="AF107" s="534"/>
      <c r="AG107" s="534"/>
      <c r="AH107" s="534"/>
      <c r="AI107" s="538"/>
      <c r="AJ107" s="532"/>
      <c r="AK107" s="532"/>
      <c r="AL107" s="532"/>
      <c r="AM107" s="534"/>
      <c r="AN107" s="532"/>
      <c r="AO107" s="535"/>
      <c r="AP107" s="534"/>
      <c r="AQ107" s="534"/>
      <c r="AR107" s="534"/>
      <c r="AS107" s="534"/>
      <c r="AT107" s="534"/>
      <c r="AU107" s="534"/>
      <c r="AV107" s="535"/>
      <c r="AW107" s="538"/>
      <c r="AX107" s="57"/>
      <c r="AY107" s="104"/>
    </row>
    <row r="108" spans="1:51" x14ac:dyDescent="0.3">
      <c r="A108" s="917"/>
      <c r="B108" s="539" t="s">
        <v>267</v>
      </c>
      <c r="C108" s="540"/>
      <c r="D108" s="540"/>
      <c r="E108" s="540"/>
      <c r="F108" s="540"/>
      <c r="G108" s="541">
        <f t="shared" ref="G108:AV108" si="154">MIN(G103:G107)</f>
        <v>5466.66</v>
      </c>
      <c r="H108" s="542">
        <f t="shared" si="154"/>
        <v>5121.6949746104001</v>
      </c>
      <c r="I108" s="542">
        <f t="shared" si="154"/>
        <v>4465.067413762913</v>
      </c>
      <c r="J108" s="542">
        <f t="shared" si="154"/>
        <v>4202.4163894239182</v>
      </c>
      <c r="K108" s="542">
        <f t="shared" si="154"/>
        <v>4071.0908772544208</v>
      </c>
      <c r="L108" s="542">
        <f t="shared" si="154"/>
        <v>3939.7653650849234</v>
      </c>
      <c r="M108" s="543">
        <f t="shared" si="154"/>
        <v>3677.1143407459285</v>
      </c>
      <c r="N108" s="542">
        <f t="shared" si="154"/>
        <v>147.45462330301419</v>
      </c>
      <c r="O108" s="542">
        <f t="shared" si="154"/>
        <v>138.14973002786294</v>
      </c>
      <c r="P108" s="542">
        <f t="shared" si="154"/>
        <v>120.43822617813694</v>
      </c>
      <c r="Q108" s="542">
        <f t="shared" si="154"/>
        <v>113.35362463824653</v>
      </c>
      <c r="R108" s="542">
        <f t="shared" si="154"/>
        <v>109.81132386830133</v>
      </c>
      <c r="S108" s="542">
        <f t="shared" si="154"/>
        <v>106.26902309835613</v>
      </c>
      <c r="T108" s="543">
        <f t="shared" si="154"/>
        <v>99.184421558465715</v>
      </c>
      <c r="U108" s="544">
        <f t="shared" si="154"/>
        <v>3.0642619506216075E-2</v>
      </c>
      <c r="V108" s="545">
        <f t="shared" si="154"/>
        <v>3.0642619506216075E-2</v>
      </c>
      <c r="W108" s="545">
        <f t="shared" si="154"/>
        <v>3.0642619506216075E-2</v>
      </c>
      <c r="X108" s="545">
        <f t="shared" si="154"/>
        <v>3.0642619506216075E-2</v>
      </c>
      <c r="Y108" s="545">
        <f t="shared" si="154"/>
        <v>3.0642619506216075E-2</v>
      </c>
      <c r="Z108" s="545">
        <f t="shared" si="154"/>
        <v>3.0642619506216075E-2</v>
      </c>
      <c r="AA108" s="546">
        <f t="shared" si="154"/>
        <v>3.0642619506216075E-2</v>
      </c>
      <c r="AB108" s="545"/>
      <c r="AC108" s="545"/>
      <c r="AD108" s="545"/>
      <c r="AE108" s="545"/>
      <c r="AF108" s="545"/>
      <c r="AG108" s="545"/>
      <c r="AH108" s="545"/>
      <c r="AI108" s="547">
        <f t="shared" si="154"/>
        <v>60</v>
      </c>
      <c r="AJ108" s="548">
        <f t="shared" si="154"/>
        <v>60</v>
      </c>
      <c r="AK108" s="548">
        <f t="shared" si="154"/>
        <v>60</v>
      </c>
      <c r="AL108" s="548">
        <f t="shared" si="154"/>
        <v>60</v>
      </c>
      <c r="AM108" s="548">
        <f t="shared" si="154"/>
        <v>60</v>
      </c>
      <c r="AN108" s="548">
        <f t="shared" si="154"/>
        <v>60</v>
      </c>
      <c r="AO108" s="549">
        <f t="shared" si="154"/>
        <v>60</v>
      </c>
      <c r="AP108" s="548">
        <f t="shared" si="154"/>
        <v>33</v>
      </c>
      <c r="AQ108" s="548">
        <f t="shared" si="154"/>
        <v>33</v>
      </c>
      <c r="AR108" s="548">
        <f t="shared" si="154"/>
        <v>33</v>
      </c>
      <c r="AS108" s="548">
        <f t="shared" si="154"/>
        <v>33</v>
      </c>
      <c r="AT108" s="548">
        <f t="shared" si="154"/>
        <v>33</v>
      </c>
      <c r="AU108" s="548">
        <f t="shared" si="154"/>
        <v>33</v>
      </c>
      <c r="AV108" s="549">
        <f t="shared" si="154"/>
        <v>33</v>
      </c>
      <c r="AW108" s="550"/>
      <c r="AX108" s="551"/>
      <c r="AY108" s="104"/>
    </row>
    <row r="109" spans="1:51" x14ac:dyDescent="0.3">
      <c r="A109" s="917"/>
      <c r="B109" s="552" t="s">
        <v>268</v>
      </c>
      <c r="C109" s="553"/>
      <c r="D109" s="553"/>
      <c r="E109" s="553"/>
      <c r="F109" s="553"/>
      <c r="G109" s="554">
        <f t="shared" ref="G109:AV109" si="155">MEDIAN(G103:G107)</f>
        <v>5778.3225354578881</v>
      </c>
      <c r="H109" s="555">
        <f t="shared" si="155"/>
        <v>5121.6949746104001</v>
      </c>
      <c r="I109" s="555">
        <f t="shared" si="155"/>
        <v>4465.067413762913</v>
      </c>
      <c r="J109" s="555">
        <f t="shared" si="155"/>
        <v>4202.4163894239182</v>
      </c>
      <c r="K109" s="555">
        <f t="shared" si="155"/>
        <v>4071.0908772544208</v>
      </c>
      <c r="L109" s="555">
        <f t="shared" si="155"/>
        <v>3939.7653650849234</v>
      </c>
      <c r="M109" s="556">
        <f t="shared" si="155"/>
        <v>3677.1143407459285</v>
      </c>
      <c r="N109" s="555">
        <f t="shared" si="155"/>
        <v>155.861233877589</v>
      </c>
      <c r="O109" s="555">
        <f t="shared" si="155"/>
        <v>138.14973002786294</v>
      </c>
      <c r="P109" s="555">
        <f t="shared" si="155"/>
        <v>120.43822617813694</v>
      </c>
      <c r="Q109" s="555">
        <f t="shared" si="155"/>
        <v>113.35362463824653</v>
      </c>
      <c r="R109" s="555">
        <f t="shared" si="155"/>
        <v>109.81132386830133</v>
      </c>
      <c r="S109" s="555">
        <f t="shared" si="155"/>
        <v>106.26902309835613</v>
      </c>
      <c r="T109" s="556">
        <f t="shared" si="155"/>
        <v>99.184421558465715</v>
      </c>
      <c r="U109" s="557">
        <f t="shared" si="155"/>
        <v>3.0642619506216075E-2</v>
      </c>
      <c r="V109" s="558">
        <f t="shared" si="155"/>
        <v>3.0642619506216075E-2</v>
      </c>
      <c r="W109" s="558">
        <f t="shared" si="155"/>
        <v>3.0642619506216075E-2</v>
      </c>
      <c r="X109" s="558">
        <f t="shared" si="155"/>
        <v>3.0642619506216075E-2</v>
      </c>
      <c r="Y109" s="558">
        <f t="shared" si="155"/>
        <v>3.0642619506216075E-2</v>
      </c>
      <c r="Z109" s="558">
        <f t="shared" si="155"/>
        <v>3.0642619506216075E-2</v>
      </c>
      <c r="AA109" s="559">
        <f t="shared" si="155"/>
        <v>3.0642619506216075E-2</v>
      </c>
      <c r="AB109" s="1047"/>
      <c r="AC109" s="1047"/>
      <c r="AD109" s="1047"/>
      <c r="AE109" s="1047"/>
      <c r="AF109" s="1047"/>
      <c r="AG109" s="1047"/>
      <c r="AH109" s="1047"/>
      <c r="AI109" s="560">
        <f t="shared" si="155"/>
        <v>60</v>
      </c>
      <c r="AJ109" s="561">
        <f t="shared" si="155"/>
        <v>60</v>
      </c>
      <c r="AK109" s="561">
        <f t="shared" si="155"/>
        <v>60</v>
      </c>
      <c r="AL109" s="561">
        <f t="shared" si="155"/>
        <v>60</v>
      </c>
      <c r="AM109" s="561">
        <f t="shared" si="155"/>
        <v>60</v>
      </c>
      <c r="AN109" s="561">
        <f t="shared" si="155"/>
        <v>60</v>
      </c>
      <c r="AO109" s="562">
        <f t="shared" si="155"/>
        <v>60</v>
      </c>
      <c r="AP109" s="561">
        <f t="shared" si="155"/>
        <v>33</v>
      </c>
      <c r="AQ109" s="561">
        <f t="shared" si="155"/>
        <v>33</v>
      </c>
      <c r="AR109" s="561">
        <f t="shared" si="155"/>
        <v>33</v>
      </c>
      <c r="AS109" s="561">
        <f t="shared" si="155"/>
        <v>33</v>
      </c>
      <c r="AT109" s="561">
        <f t="shared" si="155"/>
        <v>33</v>
      </c>
      <c r="AU109" s="561">
        <f t="shared" si="155"/>
        <v>33</v>
      </c>
      <c r="AV109" s="562">
        <f t="shared" si="155"/>
        <v>33</v>
      </c>
      <c r="AW109" s="563"/>
      <c r="AX109" s="564"/>
      <c r="AY109" s="104"/>
    </row>
    <row r="110" spans="1:51" x14ac:dyDescent="0.3">
      <c r="A110" s="917"/>
      <c r="B110" s="565" t="s">
        <v>269</v>
      </c>
      <c r="C110" s="566"/>
      <c r="D110" s="566"/>
      <c r="E110" s="566"/>
      <c r="F110" s="566"/>
      <c r="G110" s="567">
        <f t="shared" ref="G110:AV110" si="156">MAX(G103:G107)</f>
        <v>7000</v>
      </c>
      <c r="H110" s="568">
        <f t="shared" si="156"/>
        <v>7000</v>
      </c>
      <c r="I110" s="568">
        <f t="shared" si="156"/>
        <v>7000</v>
      </c>
      <c r="J110" s="568">
        <f t="shared" si="156"/>
        <v>7000</v>
      </c>
      <c r="K110" s="568">
        <f t="shared" si="156"/>
        <v>7000</v>
      </c>
      <c r="L110" s="568">
        <f t="shared" si="156"/>
        <v>7000</v>
      </c>
      <c r="M110" s="569">
        <f t="shared" si="156"/>
        <v>7000</v>
      </c>
      <c r="N110" s="568">
        <f t="shared" si="156"/>
        <v>210</v>
      </c>
      <c r="O110" s="568">
        <f t="shared" si="156"/>
        <v>210</v>
      </c>
      <c r="P110" s="568">
        <f>MAX(P103:P107)</f>
        <v>210</v>
      </c>
      <c r="Q110" s="568">
        <f t="shared" si="156"/>
        <v>210</v>
      </c>
      <c r="R110" s="568">
        <f t="shared" si="156"/>
        <v>210</v>
      </c>
      <c r="S110" s="568">
        <f t="shared" si="156"/>
        <v>210</v>
      </c>
      <c r="T110" s="569">
        <f t="shared" si="156"/>
        <v>210</v>
      </c>
      <c r="U110" s="570">
        <f t="shared" si="156"/>
        <v>3.0642619506216075E-2</v>
      </c>
      <c r="V110" s="571">
        <f t="shared" si="156"/>
        <v>3.0642619506216075E-2</v>
      </c>
      <c r="W110" s="571">
        <f t="shared" si="156"/>
        <v>3.0642619506216075E-2</v>
      </c>
      <c r="X110" s="571">
        <f t="shared" si="156"/>
        <v>3.0642619506216075E-2</v>
      </c>
      <c r="Y110" s="571">
        <f t="shared" si="156"/>
        <v>3.0642619506216075E-2</v>
      </c>
      <c r="Z110" s="571">
        <f t="shared" si="156"/>
        <v>3.0642619506216075E-2</v>
      </c>
      <c r="AA110" s="572">
        <f t="shared" si="156"/>
        <v>3.0642619506216075E-2</v>
      </c>
      <c r="AB110" s="571"/>
      <c r="AC110" s="571"/>
      <c r="AD110" s="571"/>
      <c r="AE110" s="571"/>
      <c r="AF110" s="571"/>
      <c r="AG110" s="571"/>
      <c r="AH110" s="571"/>
      <c r="AI110" s="573">
        <f t="shared" si="156"/>
        <v>60</v>
      </c>
      <c r="AJ110" s="574">
        <f t="shared" si="156"/>
        <v>60</v>
      </c>
      <c r="AK110" s="574">
        <f t="shared" si="156"/>
        <v>60</v>
      </c>
      <c r="AL110" s="574">
        <f t="shared" si="156"/>
        <v>60</v>
      </c>
      <c r="AM110" s="574">
        <f t="shared" si="156"/>
        <v>60</v>
      </c>
      <c r="AN110" s="574">
        <f t="shared" si="156"/>
        <v>60</v>
      </c>
      <c r="AO110" s="575">
        <f t="shared" si="156"/>
        <v>60</v>
      </c>
      <c r="AP110" s="574">
        <f t="shared" si="156"/>
        <v>33</v>
      </c>
      <c r="AQ110" s="574">
        <f t="shared" si="156"/>
        <v>33</v>
      </c>
      <c r="AR110" s="574">
        <f t="shared" si="156"/>
        <v>33</v>
      </c>
      <c r="AS110" s="574">
        <f t="shared" si="156"/>
        <v>33</v>
      </c>
      <c r="AT110" s="574">
        <f t="shared" si="156"/>
        <v>33</v>
      </c>
      <c r="AU110" s="574">
        <f t="shared" si="156"/>
        <v>33</v>
      </c>
      <c r="AV110" s="575">
        <f t="shared" si="156"/>
        <v>33</v>
      </c>
      <c r="AW110" s="576"/>
      <c r="AX110" s="577"/>
      <c r="AY110" s="104"/>
    </row>
    <row r="111" spans="1:51" ht="15" customHeight="1" x14ac:dyDescent="0.3">
      <c r="A111" s="917"/>
      <c r="B111" s="847" t="s">
        <v>32</v>
      </c>
      <c r="C111" s="360">
        <v>6</v>
      </c>
      <c r="D111" s="360" t="s">
        <v>39</v>
      </c>
      <c r="E111" s="360">
        <v>2020</v>
      </c>
      <c r="F111" s="372" t="s">
        <v>19</v>
      </c>
      <c r="G111" s="362">
        <f t="shared" ref="G111:G113" si="157">(1000)/1.1422</f>
        <v>875.50341446331629</v>
      </c>
      <c r="H111" s="93">
        <f t="shared" ref="H111:H113" si="158">G111+((I111-G111)/(2030-2020))*(2025-2020)</f>
        <v>875.50341446331629</v>
      </c>
      <c r="I111" s="363">
        <f t="shared" ref="I111:I113" si="159">(1000)/1.1422</f>
        <v>875.50341446331629</v>
      </c>
      <c r="J111" s="93">
        <f t="shared" ref="J111:J113" si="160">I111+((L111-I111)/(2050-2030))*(2040-2030)</f>
        <v>875.50341446331629</v>
      </c>
      <c r="K111" s="93">
        <v>875.50341446331629</v>
      </c>
      <c r="L111" s="363">
        <f t="shared" ref="L111:L113" si="161">(1000)/1.1422</f>
        <v>875.50341446331629</v>
      </c>
      <c r="M111" s="95">
        <v>875.50341446331629</v>
      </c>
      <c r="N111" s="92">
        <f t="shared" ref="N111:N113" si="162">G111*0.02*$BC$6</f>
        <v>23.61533846630136</v>
      </c>
      <c r="O111" s="93">
        <f t="shared" ref="O111:O113" si="163">H111*0.02*$BC$6</f>
        <v>23.61533846630136</v>
      </c>
      <c r="P111" s="93">
        <f t="shared" ref="P111:P113" si="164">I111*0.02*$BC$6</f>
        <v>23.61533846630136</v>
      </c>
      <c r="Q111" s="93">
        <f t="shared" ref="Q111:Q113" si="165">J111*0.02*$BC$6</f>
        <v>23.61533846630136</v>
      </c>
      <c r="R111" s="93">
        <f t="shared" ref="R111:R113" si="166">K111*0.02*$BC$6</f>
        <v>23.61533846630136</v>
      </c>
      <c r="S111" s="93">
        <f t="shared" ref="S111:S113" si="167">L111*0.02*$BC$6</f>
        <v>23.61533846630136</v>
      </c>
      <c r="T111" s="95">
        <f t="shared" ref="T111:T113" si="168">M111*0.02*$BC$6</f>
        <v>23.61533846630136</v>
      </c>
      <c r="U111" s="364">
        <f>(80*0.001)/1.1422</f>
        <v>7.0040273157065305E-2</v>
      </c>
      <c r="V111" s="286">
        <f t="shared" ref="V111:V113" si="169">U111+((W111-U111)/(2030-2020))*(2025-2020)</f>
        <v>8.098406583785675E-2</v>
      </c>
      <c r="W111" s="365">
        <f>(105*0.001)/1.1422</f>
        <v>9.1927858518648209E-2</v>
      </c>
      <c r="X111" s="286">
        <f t="shared" ref="X111:X113" si="170">W111+((Z111-W111)/(2050-2030))*(2040-2030)</f>
        <v>9.6305375590964803E-2</v>
      </c>
      <c r="Y111" s="93">
        <f t="shared" ref="Y111:Y113" si="171">X111+((Z111-X111)/(2050-2040))*(2045-2040)</f>
        <v>9.8494134127123101E-2</v>
      </c>
      <c r="Z111" s="365">
        <f>(115*0.001)/1.1422</f>
        <v>0.10068289266328138</v>
      </c>
      <c r="AA111" s="95">
        <f t="shared" ref="AA111:AA113" si="172">Y111+((Z111-Y111)/(2050-2045))*(2060-2045)</f>
        <v>0.10506040973559795</v>
      </c>
      <c r="AB111" s="93"/>
      <c r="AC111" s="93"/>
      <c r="AD111" s="93"/>
      <c r="AE111" s="93"/>
      <c r="AF111" s="93"/>
      <c r="AG111" s="93"/>
      <c r="AH111" s="93"/>
      <c r="AI111" s="359"/>
      <c r="AJ111" s="360"/>
      <c r="AK111" s="360"/>
      <c r="AL111" s="360"/>
      <c r="AM111" s="363"/>
      <c r="AN111" s="360"/>
      <c r="AO111" s="578"/>
      <c r="AP111" s="363"/>
      <c r="AQ111" s="363"/>
      <c r="AR111" s="363"/>
      <c r="AS111" s="363"/>
      <c r="AT111" s="363"/>
      <c r="AU111" s="363"/>
      <c r="AV111" s="578"/>
      <c r="AW111" s="359"/>
      <c r="AX111" s="369"/>
      <c r="AY111" s="104" t="s">
        <v>302</v>
      </c>
    </row>
    <row r="112" spans="1:51" x14ac:dyDescent="0.3">
      <c r="A112" s="917"/>
      <c r="B112" s="848"/>
      <c r="C112" s="371">
        <v>6</v>
      </c>
      <c r="D112" s="371" t="s">
        <v>39</v>
      </c>
      <c r="E112" s="371">
        <v>2020</v>
      </c>
      <c r="F112" s="372" t="s">
        <v>19</v>
      </c>
      <c r="G112" s="373">
        <f t="shared" si="157"/>
        <v>875.50341446331629</v>
      </c>
      <c r="H112" s="107">
        <f t="shared" si="158"/>
        <v>875.50341446331629</v>
      </c>
      <c r="I112" s="374">
        <f t="shared" si="159"/>
        <v>875.50341446331629</v>
      </c>
      <c r="J112" s="107">
        <f t="shared" si="160"/>
        <v>875.50341446331629</v>
      </c>
      <c r="K112" s="107">
        <v>875.50341446331629</v>
      </c>
      <c r="L112" s="374">
        <f t="shared" si="161"/>
        <v>875.50341446331629</v>
      </c>
      <c r="M112" s="109">
        <v>875.50341446331629</v>
      </c>
      <c r="N112" s="106">
        <f t="shared" si="162"/>
        <v>23.61533846630136</v>
      </c>
      <c r="O112" s="107">
        <f t="shared" si="163"/>
        <v>23.61533846630136</v>
      </c>
      <c r="P112" s="107">
        <f t="shared" si="164"/>
        <v>23.61533846630136</v>
      </c>
      <c r="Q112" s="107">
        <f t="shared" si="165"/>
        <v>23.61533846630136</v>
      </c>
      <c r="R112" s="107">
        <f t="shared" si="166"/>
        <v>23.61533846630136</v>
      </c>
      <c r="S112" s="107">
        <f t="shared" si="167"/>
        <v>23.61533846630136</v>
      </c>
      <c r="T112" s="109">
        <f t="shared" si="168"/>
        <v>23.61533846630136</v>
      </c>
      <c r="U112" s="375">
        <f t="shared" ref="U112:U113" si="173">(70*0.001)/1.1422</f>
        <v>6.1285239012432151E-2</v>
      </c>
      <c r="V112" s="295">
        <f t="shared" si="169"/>
        <v>7.2229031693223603E-2</v>
      </c>
      <c r="W112" s="579">
        <f t="shared" ref="W112:W113" si="174">(95*0.001)/1.1422</f>
        <v>8.3172824374015047E-2</v>
      </c>
      <c r="X112" s="295">
        <f t="shared" si="170"/>
        <v>8.7550341446331628E-2</v>
      </c>
      <c r="Y112" s="107">
        <f t="shared" si="171"/>
        <v>8.9739099982489912E-2</v>
      </c>
      <c r="Z112" s="579">
        <f t="shared" ref="Z112:Z113" si="175">(105*0.001)/1.1422</f>
        <v>9.1927858518648209E-2</v>
      </c>
      <c r="AA112" s="109">
        <f t="shared" si="172"/>
        <v>9.6305375590964803E-2</v>
      </c>
      <c r="AB112" s="1045"/>
      <c r="AC112" s="1045"/>
      <c r="AD112" s="1045"/>
      <c r="AE112" s="1045"/>
      <c r="AF112" s="1045"/>
      <c r="AG112" s="1045"/>
      <c r="AH112" s="1045"/>
      <c r="AI112" s="370"/>
      <c r="AJ112" s="371"/>
      <c r="AK112" s="371"/>
      <c r="AL112" s="371"/>
      <c r="AM112" s="374"/>
      <c r="AN112" s="371"/>
      <c r="AO112" s="580"/>
      <c r="AP112" s="374"/>
      <c r="AQ112" s="374"/>
      <c r="AR112" s="374"/>
      <c r="AS112" s="374"/>
      <c r="AT112" s="374"/>
      <c r="AU112" s="374"/>
      <c r="AV112" s="580"/>
      <c r="AW112" s="370"/>
      <c r="AX112" s="379"/>
      <c r="AY112" s="104" t="s">
        <v>303</v>
      </c>
    </row>
    <row r="113" spans="1:51" x14ac:dyDescent="0.3">
      <c r="A113" s="917"/>
      <c r="B113" s="848"/>
      <c r="C113" s="371">
        <v>6</v>
      </c>
      <c r="D113" s="371" t="s">
        <v>39</v>
      </c>
      <c r="E113" s="371">
        <v>2020</v>
      </c>
      <c r="F113" s="372" t="s">
        <v>19</v>
      </c>
      <c r="G113" s="373">
        <f t="shared" si="157"/>
        <v>875.50341446331629</v>
      </c>
      <c r="H113" s="107">
        <f t="shared" si="158"/>
        <v>875.50341446331629</v>
      </c>
      <c r="I113" s="374">
        <f t="shared" si="159"/>
        <v>875.50341446331629</v>
      </c>
      <c r="J113" s="107">
        <f t="shared" si="160"/>
        <v>875.50341446331629</v>
      </c>
      <c r="K113" s="107">
        <v>875.50341446331629</v>
      </c>
      <c r="L113" s="374">
        <f t="shared" si="161"/>
        <v>875.50341446331629</v>
      </c>
      <c r="M113" s="109">
        <v>875.50341446331629</v>
      </c>
      <c r="N113" s="106">
        <f t="shared" si="162"/>
        <v>23.61533846630136</v>
      </c>
      <c r="O113" s="107">
        <f t="shared" si="163"/>
        <v>23.61533846630136</v>
      </c>
      <c r="P113" s="107">
        <f t="shared" si="164"/>
        <v>23.61533846630136</v>
      </c>
      <c r="Q113" s="107">
        <f t="shared" si="165"/>
        <v>23.61533846630136</v>
      </c>
      <c r="R113" s="107">
        <f t="shared" si="166"/>
        <v>23.61533846630136</v>
      </c>
      <c r="S113" s="107">
        <f t="shared" si="167"/>
        <v>23.61533846630136</v>
      </c>
      <c r="T113" s="109">
        <f t="shared" si="168"/>
        <v>23.61533846630136</v>
      </c>
      <c r="U113" s="375">
        <f t="shared" si="173"/>
        <v>6.1285239012432151E-2</v>
      </c>
      <c r="V113" s="295">
        <f t="shared" si="169"/>
        <v>7.2229031693223603E-2</v>
      </c>
      <c r="W113" s="579">
        <f t="shared" si="174"/>
        <v>8.3172824374015047E-2</v>
      </c>
      <c r="X113" s="295">
        <f t="shared" si="170"/>
        <v>8.7550341446331628E-2</v>
      </c>
      <c r="Y113" s="107">
        <f t="shared" si="171"/>
        <v>8.9739099982489912E-2</v>
      </c>
      <c r="Z113" s="579">
        <f t="shared" si="175"/>
        <v>9.1927858518648209E-2</v>
      </c>
      <c r="AA113" s="109">
        <f t="shared" si="172"/>
        <v>9.6305375590964803E-2</v>
      </c>
      <c r="AB113" s="1045"/>
      <c r="AC113" s="1045"/>
      <c r="AD113" s="1045"/>
      <c r="AE113" s="1045"/>
      <c r="AF113" s="1045"/>
      <c r="AG113" s="1045"/>
      <c r="AH113" s="1045"/>
      <c r="AI113" s="370"/>
      <c r="AJ113" s="371"/>
      <c r="AK113" s="371"/>
      <c r="AL113" s="371"/>
      <c r="AM113" s="374"/>
      <c r="AN113" s="371"/>
      <c r="AO113" s="580"/>
      <c r="AP113" s="374"/>
      <c r="AQ113" s="374"/>
      <c r="AR113" s="374"/>
      <c r="AS113" s="374"/>
      <c r="AT113" s="374"/>
      <c r="AU113" s="374"/>
      <c r="AV113" s="580"/>
      <c r="AW113" s="370"/>
      <c r="AX113" s="379"/>
      <c r="AY113" s="104" t="s">
        <v>304</v>
      </c>
    </row>
    <row r="114" spans="1:51" x14ac:dyDescent="0.3">
      <c r="A114" s="917"/>
      <c r="B114" s="848"/>
      <c r="C114" s="371">
        <v>23</v>
      </c>
      <c r="D114" s="371" t="s">
        <v>88</v>
      </c>
      <c r="E114" s="371">
        <v>2021</v>
      </c>
      <c r="F114" s="372" t="s">
        <v>19</v>
      </c>
      <c r="G114" s="373">
        <v>900</v>
      </c>
      <c r="H114" s="374">
        <v>900</v>
      </c>
      <c r="I114" s="374">
        <v>900</v>
      </c>
      <c r="J114" s="374">
        <v>900</v>
      </c>
      <c r="K114" s="374">
        <v>900</v>
      </c>
      <c r="L114" s="374">
        <v>900</v>
      </c>
      <c r="M114" s="580">
        <v>900</v>
      </c>
      <c r="N114" s="374">
        <f>G114*0.03</f>
        <v>27</v>
      </c>
      <c r="O114" s="374">
        <f t="shared" ref="O114:T114" si="176">H114*0.03</f>
        <v>27</v>
      </c>
      <c r="P114" s="374">
        <f t="shared" si="176"/>
        <v>27</v>
      </c>
      <c r="Q114" s="374">
        <f t="shared" si="176"/>
        <v>27</v>
      </c>
      <c r="R114" s="374">
        <f t="shared" si="176"/>
        <v>27</v>
      </c>
      <c r="S114" s="374">
        <f t="shared" si="176"/>
        <v>27</v>
      </c>
      <c r="T114" s="580">
        <f t="shared" si="176"/>
        <v>27</v>
      </c>
      <c r="U114" s="375"/>
      <c r="V114" s="374"/>
      <c r="W114" s="374"/>
      <c r="X114" s="374"/>
      <c r="Y114" s="374"/>
      <c r="Z114" s="579"/>
      <c r="AA114" s="580"/>
      <c r="AB114" s="1048"/>
      <c r="AC114" s="1048"/>
      <c r="AD114" s="1048"/>
      <c r="AE114" s="1048"/>
      <c r="AF114" s="1048"/>
      <c r="AG114" s="1048"/>
      <c r="AH114" s="1048"/>
      <c r="AI114" s="370">
        <v>45</v>
      </c>
      <c r="AJ114" s="371">
        <v>45</v>
      </c>
      <c r="AK114" s="371">
        <v>45</v>
      </c>
      <c r="AL114" s="371">
        <v>45</v>
      </c>
      <c r="AM114" s="376">
        <v>45</v>
      </c>
      <c r="AN114" s="376">
        <v>45</v>
      </c>
      <c r="AO114" s="581">
        <v>45</v>
      </c>
      <c r="AP114" s="374" t="s">
        <v>305</v>
      </c>
      <c r="AQ114" s="374" t="s">
        <v>305</v>
      </c>
      <c r="AR114" s="374" t="s">
        <v>305</v>
      </c>
      <c r="AS114" s="374" t="s">
        <v>305</v>
      </c>
      <c r="AT114" s="374" t="s">
        <v>305</v>
      </c>
      <c r="AU114" s="374" t="s">
        <v>305</v>
      </c>
      <c r="AV114" s="580" t="s">
        <v>305</v>
      </c>
      <c r="AW114" s="370"/>
      <c r="AX114" s="379"/>
      <c r="AY114" s="104"/>
    </row>
    <row r="115" spans="1:51" x14ac:dyDescent="0.3">
      <c r="A115" s="917"/>
      <c r="B115" s="849"/>
      <c r="C115" s="381">
        <v>5</v>
      </c>
      <c r="D115" s="381" t="s">
        <v>35</v>
      </c>
      <c r="E115" s="381">
        <v>2021</v>
      </c>
      <c r="F115" s="372" t="s">
        <v>19</v>
      </c>
      <c r="G115" s="382">
        <v>1000</v>
      </c>
      <c r="H115" s="383">
        <v>1000</v>
      </c>
      <c r="I115" s="383">
        <v>1000</v>
      </c>
      <c r="J115" s="383">
        <v>1000</v>
      </c>
      <c r="K115" s="383">
        <v>1000</v>
      </c>
      <c r="L115" s="383">
        <v>10000</v>
      </c>
      <c r="M115" s="303">
        <v>1000</v>
      </c>
      <c r="N115" s="383">
        <v>20</v>
      </c>
      <c r="O115" s="383">
        <v>20</v>
      </c>
      <c r="P115" s="383">
        <v>20</v>
      </c>
      <c r="Q115" s="383">
        <v>20</v>
      </c>
      <c r="R115" s="383">
        <v>20</v>
      </c>
      <c r="S115" s="383">
        <v>20</v>
      </c>
      <c r="T115" s="303">
        <v>20</v>
      </c>
      <c r="U115" s="384"/>
      <c r="V115" s="582"/>
      <c r="W115" s="582"/>
      <c r="X115" s="582"/>
      <c r="Y115" s="383"/>
      <c r="Z115" s="582"/>
      <c r="AA115" s="583"/>
      <c r="AB115" s="383"/>
      <c r="AC115" s="383"/>
      <c r="AD115" s="383"/>
      <c r="AE115" s="383"/>
      <c r="AF115" s="383"/>
      <c r="AG115" s="383"/>
      <c r="AH115" s="383"/>
      <c r="AI115" s="380">
        <v>40</v>
      </c>
      <c r="AJ115" s="381">
        <v>40</v>
      </c>
      <c r="AK115" s="381">
        <v>40</v>
      </c>
      <c r="AL115" s="381">
        <v>40</v>
      </c>
      <c r="AM115" s="385">
        <v>40</v>
      </c>
      <c r="AN115" s="385">
        <v>40</v>
      </c>
      <c r="AO115" s="584">
        <v>40</v>
      </c>
      <c r="AP115" s="383"/>
      <c r="AQ115" s="383"/>
      <c r="AR115" s="383"/>
      <c r="AS115" s="383"/>
      <c r="AT115" s="383"/>
      <c r="AU115" s="383"/>
      <c r="AV115" s="583"/>
      <c r="AW115" s="380"/>
      <c r="AX115" s="387"/>
      <c r="AY115" s="104" t="s">
        <v>306</v>
      </c>
    </row>
    <row r="116" spans="1:51" x14ac:dyDescent="0.3">
      <c r="A116" s="917"/>
      <c r="B116" s="388" t="s">
        <v>267</v>
      </c>
      <c r="C116" s="390"/>
      <c r="D116" s="390"/>
      <c r="E116" s="390"/>
      <c r="F116" s="390"/>
      <c r="G116" s="391">
        <f t="shared" ref="G116:AO116" si="177">MIN(G111:G115)</f>
        <v>875.50341446331629</v>
      </c>
      <c r="H116" s="392">
        <f t="shared" si="177"/>
        <v>875.50341446331629</v>
      </c>
      <c r="I116" s="392">
        <f t="shared" si="177"/>
        <v>875.50341446331629</v>
      </c>
      <c r="J116" s="392">
        <f t="shared" si="177"/>
        <v>875.50341446331629</v>
      </c>
      <c r="K116" s="392">
        <f t="shared" si="177"/>
        <v>875.50341446331629</v>
      </c>
      <c r="L116" s="392">
        <f t="shared" si="177"/>
        <v>875.50341446331629</v>
      </c>
      <c r="M116" s="393">
        <f t="shared" si="177"/>
        <v>875.50341446331629</v>
      </c>
      <c r="N116" s="392">
        <f t="shared" si="177"/>
        <v>20</v>
      </c>
      <c r="O116" s="392">
        <f t="shared" si="177"/>
        <v>20</v>
      </c>
      <c r="P116" s="392">
        <f t="shared" si="177"/>
        <v>20</v>
      </c>
      <c r="Q116" s="392">
        <f t="shared" si="177"/>
        <v>20</v>
      </c>
      <c r="R116" s="392">
        <f t="shared" si="177"/>
        <v>20</v>
      </c>
      <c r="S116" s="392">
        <f t="shared" si="177"/>
        <v>20</v>
      </c>
      <c r="T116" s="393">
        <f t="shared" si="177"/>
        <v>20</v>
      </c>
      <c r="U116" s="394">
        <f t="shared" si="177"/>
        <v>6.1285239012432151E-2</v>
      </c>
      <c r="V116" s="395">
        <f t="shared" si="177"/>
        <v>7.2229031693223603E-2</v>
      </c>
      <c r="W116" s="395">
        <f t="shared" si="177"/>
        <v>8.3172824374015047E-2</v>
      </c>
      <c r="X116" s="395">
        <f t="shared" si="177"/>
        <v>8.7550341446331628E-2</v>
      </c>
      <c r="Y116" s="392">
        <f t="shared" si="177"/>
        <v>8.9739099982489912E-2</v>
      </c>
      <c r="Z116" s="395">
        <f t="shared" si="177"/>
        <v>9.1927858518648209E-2</v>
      </c>
      <c r="AA116" s="393">
        <f t="shared" si="177"/>
        <v>9.6305375590964803E-2</v>
      </c>
      <c r="AB116" s="392"/>
      <c r="AC116" s="392"/>
      <c r="AD116" s="392"/>
      <c r="AE116" s="392"/>
      <c r="AF116" s="392"/>
      <c r="AG116" s="392"/>
      <c r="AH116" s="392"/>
      <c r="AI116" s="389">
        <f t="shared" si="177"/>
        <v>40</v>
      </c>
      <c r="AJ116" s="390">
        <f t="shared" si="177"/>
        <v>40</v>
      </c>
      <c r="AK116" s="390">
        <f t="shared" si="177"/>
        <v>40</v>
      </c>
      <c r="AL116" s="390">
        <f t="shared" si="177"/>
        <v>40</v>
      </c>
      <c r="AM116" s="397">
        <f t="shared" si="177"/>
        <v>40</v>
      </c>
      <c r="AN116" s="390">
        <f t="shared" si="177"/>
        <v>40</v>
      </c>
      <c r="AO116" s="398">
        <f t="shared" si="177"/>
        <v>40</v>
      </c>
      <c r="AP116" s="392"/>
      <c r="AQ116" s="392"/>
      <c r="AR116" s="392"/>
      <c r="AS116" s="392"/>
      <c r="AT116" s="392"/>
      <c r="AU116" s="392"/>
      <c r="AV116" s="393"/>
      <c r="AW116" s="389"/>
      <c r="AX116" s="399"/>
      <c r="AY116" s="104"/>
    </row>
    <row r="117" spans="1:51" x14ac:dyDescent="0.3">
      <c r="A117" s="917"/>
      <c r="B117" s="400" t="s">
        <v>268</v>
      </c>
      <c r="C117" s="402"/>
      <c r="D117" s="402"/>
      <c r="E117" s="402"/>
      <c r="F117" s="402"/>
      <c r="G117" s="403">
        <f t="shared" ref="G117:AO117" si="178">MEDIAN(G111:G115)</f>
        <v>875.50341446331629</v>
      </c>
      <c r="H117" s="404">
        <f t="shared" si="178"/>
        <v>875.50341446331629</v>
      </c>
      <c r="I117" s="404">
        <f t="shared" si="178"/>
        <v>875.50341446331629</v>
      </c>
      <c r="J117" s="404">
        <f t="shared" si="178"/>
        <v>875.50341446331629</v>
      </c>
      <c r="K117" s="404">
        <f t="shared" si="178"/>
        <v>875.50341446331629</v>
      </c>
      <c r="L117" s="404">
        <f t="shared" si="178"/>
        <v>875.50341446331629</v>
      </c>
      <c r="M117" s="405">
        <f t="shared" si="178"/>
        <v>875.50341446331629</v>
      </c>
      <c r="N117" s="404">
        <f t="shared" si="178"/>
        <v>23.61533846630136</v>
      </c>
      <c r="O117" s="404">
        <f t="shared" si="178"/>
        <v>23.61533846630136</v>
      </c>
      <c r="P117" s="404">
        <f t="shared" si="178"/>
        <v>23.61533846630136</v>
      </c>
      <c r="Q117" s="404">
        <f t="shared" si="178"/>
        <v>23.61533846630136</v>
      </c>
      <c r="R117" s="404">
        <f t="shared" si="178"/>
        <v>23.61533846630136</v>
      </c>
      <c r="S117" s="404">
        <f t="shared" si="178"/>
        <v>23.61533846630136</v>
      </c>
      <c r="T117" s="405">
        <f t="shared" si="178"/>
        <v>23.61533846630136</v>
      </c>
      <c r="U117" s="406">
        <f t="shared" si="178"/>
        <v>6.1285239012432151E-2</v>
      </c>
      <c r="V117" s="407">
        <f t="shared" si="178"/>
        <v>7.2229031693223603E-2</v>
      </c>
      <c r="W117" s="407">
        <f t="shared" si="178"/>
        <v>8.3172824374015047E-2</v>
      </c>
      <c r="X117" s="407">
        <f t="shared" si="178"/>
        <v>8.7550341446331628E-2</v>
      </c>
      <c r="Y117" s="404">
        <f t="shared" si="178"/>
        <v>8.9739099982489912E-2</v>
      </c>
      <c r="Z117" s="407">
        <f t="shared" si="178"/>
        <v>9.1927858518648209E-2</v>
      </c>
      <c r="AA117" s="405">
        <f t="shared" si="178"/>
        <v>9.6305375590964803E-2</v>
      </c>
      <c r="AB117" s="1049"/>
      <c r="AC117" s="1049"/>
      <c r="AD117" s="1049"/>
      <c r="AE117" s="1049"/>
      <c r="AF117" s="1049"/>
      <c r="AG117" s="1049"/>
      <c r="AH117" s="1049"/>
      <c r="AI117" s="401">
        <f t="shared" si="178"/>
        <v>42.5</v>
      </c>
      <c r="AJ117" s="402">
        <f t="shared" si="178"/>
        <v>42.5</v>
      </c>
      <c r="AK117" s="402">
        <f t="shared" si="178"/>
        <v>42.5</v>
      </c>
      <c r="AL117" s="402">
        <f t="shared" si="178"/>
        <v>42.5</v>
      </c>
      <c r="AM117" s="585">
        <f t="shared" si="178"/>
        <v>42.5</v>
      </c>
      <c r="AN117" s="402">
        <f t="shared" si="178"/>
        <v>42.5</v>
      </c>
      <c r="AO117" s="586">
        <f t="shared" si="178"/>
        <v>42.5</v>
      </c>
      <c r="AP117" s="404"/>
      <c r="AQ117" s="404"/>
      <c r="AR117" s="404"/>
      <c r="AS117" s="404"/>
      <c r="AT117" s="404"/>
      <c r="AU117" s="404"/>
      <c r="AV117" s="405"/>
      <c r="AW117" s="401"/>
      <c r="AX117" s="409"/>
      <c r="AY117" s="104"/>
    </row>
    <row r="118" spans="1:51" x14ac:dyDescent="0.3">
      <c r="A118" s="917"/>
      <c r="B118" s="412" t="s">
        <v>269</v>
      </c>
      <c r="C118" s="414"/>
      <c r="D118" s="414"/>
      <c r="E118" s="414"/>
      <c r="F118" s="414"/>
      <c r="G118" s="415">
        <f t="shared" ref="G118:AO118" si="179">MAX(G111:G115)</f>
        <v>1000</v>
      </c>
      <c r="H118" s="416">
        <f t="shared" si="179"/>
        <v>1000</v>
      </c>
      <c r="I118" s="416">
        <f t="shared" si="179"/>
        <v>1000</v>
      </c>
      <c r="J118" s="416">
        <f t="shared" si="179"/>
        <v>1000</v>
      </c>
      <c r="K118" s="416">
        <f t="shared" si="179"/>
        <v>1000</v>
      </c>
      <c r="L118" s="416">
        <f t="shared" si="179"/>
        <v>10000</v>
      </c>
      <c r="M118" s="417">
        <f t="shared" si="179"/>
        <v>1000</v>
      </c>
      <c r="N118" s="416">
        <f t="shared" si="179"/>
        <v>27</v>
      </c>
      <c r="O118" s="416">
        <f t="shared" si="179"/>
        <v>27</v>
      </c>
      <c r="P118" s="416">
        <f t="shared" si="179"/>
        <v>27</v>
      </c>
      <c r="Q118" s="416">
        <f t="shared" si="179"/>
        <v>27</v>
      </c>
      <c r="R118" s="416">
        <f t="shared" si="179"/>
        <v>27</v>
      </c>
      <c r="S118" s="416">
        <f t="shared" si="179"/>
        <v>27</v>
      </c>
      <c r="T118" s="417">
        <f t="shared" si="179"/>
        <v>27</v>
      </c>
      <c r="U118" s="418">
        <f t="shared" si="179"/>
        <v>7.0040273157065305E-2</v>
      </c>
      <c r="V118" s="419">
        <f t="shared" si="179"/>
        <v>8.098406583785675E-2</v>
      </c>
      <c r="W118" s="419">
        <f t="shared" si="179"/>
        <v>9.1927858518648209E-2</v>
      </c>
      <c r="X118" s="419">
        <f t="shared" si="179"/>
        <v>9.6305375590964803E-2</v>
      </c>
      <c r="Y118" s="416">
        <f t="shared" si="179"/>
        <v>9.8494134127123101E-2</v>
      </c>
      <c r="Z118" s="419">
        <f t="shared" si="179"/>
        <v>0.10068289266328138</v>
      </c>
      <c r="AA118" s="417">
        <f t="shared" si="179"/>
        <v>0.10506040973559795</v>
      </c>
      <c r="AB118" s="416"/>
      <c r="AC118" s="416"/>
      <c r="AD118" s="416"/>
      <c r="AE118" s="416"/>
      <c r="AF118" s="416"/>
      <c r="AG118" s="416"/>
      <c r="AH118" s="416"/>
      <c r="AI118" s="413">
        <f t="shared" si="179"/>
        <v>45</v>
      </c>
      <c r="AJ118" s="414">
        <f t="shared" si="179"/>
        <v>45</v>
      </c>
      <c r="AK118" s="414">
        <f t="shared" si="179"/>
        <v>45</v>
      </c>
      <c r="AL118" s="414">
        <f t="shared" si="179"/>
        <v>45</v>
      </c>
      <c r="AM118" s="422">
        <f t="shared" si="179"/>
        <v>45</v>
      </c>
      <c r="AN118" s="414">
        <f t="shared" si="179"/>
        <v>45</v>
      </c>
      <c r="AO118" s="423">
        <f t="shared" si="179"/>
        <v>45</v>
      </c>
      <c r="AP118" s="416"/>
      <c r="AQ118" s="416"/>
      <c r="AR118" s="416"/>
      <c r="AS118" s="416"/>
      <c r="AT118" s="416"/>
      <c r="AU118" s="416"/>
      <c r="AV118" s="417"/>
      <c r="AW118" s="413"/>
      <c r="AX118" s="421"/>
      <c r="AY118" s="104"/>
    </row>
    <row r="119" spans="1:51" x14ac:dyDescent="0.3">
      <c r="A119" s="917"/>
      <c r="B119" s="424" t="s">
        <v>97</v>
      </c>
      <c r="C119" s="425">
        <v>4</v>
      </c>
      <c r="D119" s="426" t="s">
        <v>31</v>
      </c>
      <c r="E119" s="426">
        <v>2022</v>
      </c>
      <c r="F119" s="427" t="s">
        <v>19</v>
      </c>
      <c r="G119" s="428">
        <v>144.88</v>
      </c>
      <c r="H119" s="429">
        <v>121.52</v>
      </c>
      <c r="I119" s="429">
        <v>98.15</v>
      </c>
      <c r="J119" s="429">
        <v>90.55</v>
      </c>
      <c r="K119" s="429">
        <v>90.28</v>
      </c>
      <c r="L119" s="429">
        <v>90.01</v>
      </c>
      <c r="M119" s="348">
        <f>K119+((L119-K119)/(2050-2045))*(2060-2045)</f>
        <v>89.470000000000013</v>
      </c>
      <c r="N119" s="429">
        <f>G119*0.01*$BC$6</f>
        <v>1.9539559643494104</v>
      </c>
      <c r="O119" s="429">
        <f t="shared" ref="O119:S119" si="180">H119*0.01*$BC$6</f>
        <v>1.6389061898656843</v>
      </c>
      <c r="P119" s="429">
        <f t="shared" si="180"/>
        <v>1.3237215481839772</v>
      </c>
      <c r="Q119" s="429">
        <f t="shared" si="180"/>
        <v>1.2212224777183813</v>
      </c>
      <c r="R119" s="429">
        <f t="shared" si="180"/>
        <v>1.2175810633728932</v>
      </c>
      <c r="S119" s="429">
        <f t="shared" si="180"/>
        <v>1.213939649027405</v>
      </c>
      <c r="T119" s="348">
        <f>R119+((S119-R119)/(2050-2045))*(2060-2045)</f>
        <v>1.2066568203364287</v>
      </c>
      <c r="U119" s="430"/>
      <c r="V119" s="430"/>
      <c r="W119" s="430"/>
      <c r="X119" s="430"/>
      <c r="Y119" s="429"/>
      <c r="Z119" s="430"/>
      <c r="AA119" s="431"/>
      <c r="AB119" s="429"/>
      <c r="AC119" s="429"/>
      <c r="AD119" s="429"/>
      <c r="AE119" s="429"/>
      <c r="AF119" s="429"/>
      <c r="AG119" s="429"/>
      <c r="AH119" s="429"/>
      <c r="AI119" s="432">
        <v>30</v>
      </c>
      <c r="AJ119" s="430">
        <v>30</v>
      </c>
      <c r="AK119" s="430">
        <v>30</v>
      </c>
      <c r="AL119" s="430">
        <v>30</v>
      </c>
      <c r="AM119" s="433">
        <v>30</v>
      </c>
      <c r="AN119" s="430">
        <v>30</v>
      </c>
      <c r="AO119" s="434">
        <f>AM119+((AN119-AM119)/(2050-2045))*(2060-2045)</f>
        <v>30</v>
      </c>
      <c r="AP119" s="430"/>
      <c r="AQ119" s="430"/>
      <c r="AR119" s="430"/>
      <c r="AS119" s="430"/>
      <c r="AT119" s="429"/>
      <c r="AU119" s="430"/>
      <c r="AV119" s="431"/>
      <c r="AW119" s="435"/>
      <c r="AX119" s="436"/>
      <c r="AY119" s="104" t="s">
        <v>285</v>
      </c>
    </row>
    <row r="120" spans="1:51" x14ac:dyDescent="0.3">
      <c r="A120" s="437"/>
      <c r="B120" s="438"/>
      <c r="C120" s="439"/>
      <c r="D120" s="439"/>
      <c r="E120" s="439"/>
      <c r="F120" s="439"/>
      <c r="G120" s="440"/>
      <c r="H120" s="441"/>
      <c r="I120" s="441"/>
      <c r="J120" s="441"/>
      <c r="K120" s="441"/>
      <c r="L120" s="442"/>
      <c r="M120" s="441"/>
      <c r="N120" s="440"/>
      <c r="O120" s="441"/>
      <c r="P120" s="441"/>
      <c r="Q120" s="441"/>
      <c r="R120" s="441"/>
      <c r="S120" s="441"/>
      <c r="T120" s="441"/>
      <c r="U120" s="443"/>
      <c r="V120" s="444"/>
      <c r="W120" s="444"/>
      <c r="X120" s="444"/>
      <c r="Y120" s="441"/>
      <c r="Z120" s="444"/>
      <c r="AA120" s="441"/>
      <c r="AB120" s="441"/>
      <c r="AC120" s="441"/>
      <c r="AD120" s="441"/>
      <c r="AE120" s="441"/>
      <c r="AF120" s="441"/>
      <c r="AG120" s="441"/>
      <c r="AH120" s="441"/>
      <c r="AI120" s="445"/>
      <c r="AJ120" s="439"/>
      <c r="AK120" s="439"/>
      <c r="AL120" s="439"/>
      <c r="AM120" s="441"/>
      <c r="AN120" s="439"/>
      <c r="AO120" s="441"/>
      <c r="AP120" s="440"/>
      <c r="AQ120" s="441"/>
      <c r="AR120" s="441"/>
      <c r="AS120" s="441"/>
      <c r="AT120" s="441"/>
      <c r="AU120" s="441"/>
      <c r="AV120" s="441"/>
      <c r="AW120" s="445"/>
      <c r="AX120" s="446"/>
      <c r="AY120" s="104"/>
    </row>
    <row r="121" spans="1:51" x14ac:dyDescent="0.3">
      <c r="A121" s="896" t="s">
        <v>132</v>
      </c>
      <c r="B121" s="854" t="s">
        <v>9</v>
      </c>
      <c r="C121" s="90">
        <v>6</v>
      </c>
      <c r="D121" s="90" t="s">
        <v>39</v>
      </c>
      <c r="E121" s="90">
        <v>2020</v>
      </c>
      <c r="F121" s="91" t="s">
        <v>19</v>
      </c>
      <c r="G121" s="447">
        <f t="shared" ref="G121:G123" si="181">4040/1.1422</f>
        <v>3537.033794431798</v>
      </c>
      <c r="H121" s="93">
        <f t="shared" ref="H121:H123" si="182">G121+((I121-G121)/(2030-2020))*(2025-2020)</f>
        <v>2889.161267728944</v>
      </c>
      <c r="I121" s="94">
        <f>2560/1.1422</f>
        <v>2241.2887410260896</v>
      </c>
      <c r="J121" s="93">
        <f t="shared" ref="J121:J123" si="183">I121+((L121-I121)/(2050-2030))*(2040-2030)</f>
        <v>1961.1276483978286</v>
      </c>
      <c r="K121" s="93">
        <f t="shared" ref="K121:K123" si="184">J121+((L121-J121)/(2050-2040))*(2045-2040)</f>
        <v>1821.0471020836981</v>
      </c>
      <c r="L121" s="94">
        <f>1920/1.1422</f>
        <v>1680.9665557695673</v>
      </c>
      <c r="M121" s="95">
        <f t="shared" ref="M121:M123" si="185">K121+((L121-K121)/(2050-2045))*(2060-2045)</f>
        <v>1400.8054631413058</v>
      </c>
      <c r="N121" s="93">
        <f t="shared" ref="N121:N124" si="186">G121*0.02*$BC$7</f>
        <v>94.609940844771529</v>
      </c>
      <c r="O121" s="93">
        <f t="shared" ref="O121:T123" si="187">H121*0.02*$BC$7</f>
        <v>77.280397224689622</v>
      </c>
      <c r="P121" s="93">
        <f t="shared" si="187"/>
        <v>59.950853604607701</v>
      </c>
      <c r="Q121" s="93">
        <f t="shared" si="187"/>
        <v>52.45699690403174</v>
      </c>
      <c r="R121" s="93">
        <f t="shared" si="187"/>
        <v>48.71006855374376</v>
      </c>
      <c r="S121" s="93">
        <f t="shared" si="187"/>
        <v>44.963140203455772</v>
      </c>
      <c r="T121" s="93">
        <f t="shared" si="187"/>
        <v>37.469283502879804</v>
      </c>
      <c r="U121" s="448">
        <f t="shared" ref="U121:U123" si="188">(35/1.1422)*0.001</f>
        <v>3.0642619506216072E-2</v>
      </c>
      <c r="V121" s="286">
        <f t="shared" ref="V121:V123" si="189">U121+((W121-U121)/(2030-2020))*(2025-2020)</f>
        <v>2.6265102433899491E-2</v>
      </c>
      <c r="W121" s="449">
        <f>(25/1.1422)*0.001</f>
        <v>2.1887585361582907E-2</v>
      </c>
      <c r="X121" s="286">
        <f t="shared" ref="X121:X123" si="190">W121+((Z121-W121)/(2050-2030))*(2040-2030)</f>
        <v>1.7510068289266326E-2</v>
      </c>
      <c r="Y121" s="286">
        <f t="shared" ref="Y121:Y123" si="191">X121+((Z121-X121)/(2050-2040))*(2045-2040)</f>
        <v>1.5321309753108036E-2</v>
      </c>
      <c r="Z121" s="449">
        <f t="shared" ref="Z121:Z123" si="192">(15/1.1422)*0.001</f>
        <v>1.3132551216949746E-2</v>
      </c>
      <c r="AA121" s="366">
        <f t="shared" ref="AA121:AA123" si="193">Y121+((Z121-Y121)/(2050-2045))*(2060-2045)</f>
        <v>8.7550341446331649E-3</v>
      </c>
      <c r="AB121" s="286"/>
      <c r="AC121" s="286"/>
      <c r="AD121" s="286"/>
      <c r="AE121" s="286"/>
      <c r="AF121" s="286"/>
      <c r="AG121" s="286"/>
      <c r="AH121" s="286"/>
      <c r="AI121" s="96"/>
      <c r="AJ121" s="97"/>
      <c r="AK121" s="97"/>
      <c r="AL121" s="97"/>
      <c r="AM121" s="94"/>
      <c r="AN121" s="97"/>
      <c r="AO121" s="98"/>
      <c r="AP121" s="856">
        <v>1</v>
      </c>
      <c r="AQ121" s="857"/>
      <c r="AR121" s="857"/>
      <c r="AS121" s="857"/>
      <c r="AT121" s="857"/>
      <c r="AU121" s="857"/>
      <c r="AV121" s="858"/>
      <c r="AW121" s="826" t="s">
        <v>287</v>
      </c>
      <c r="AX121" s="827"/>
      <c r="AY121" s="104" t="s">
        <v>307</v>
      </c>
    </row>
    <row r="122" spans="1:51" x14ac:dyDescent="0.3">
      <c r="A122" s="896"/>
      <c r="B122" s="855"/>
      <c r="C122" s="105">
        <v>6</v>
      </c>
      <c r="D122" s="105" t="s">
        <v>39</v>
      </c>
      <c r="E122" s="105">
        <v>2020</v>
      </c>
      <c r="F122" s="91" t="s">
        <v>19</v>
      </c>
      <c r="G122" s="113">
        <f t="shared" si="181"/>
        <v>3537.033794431798</v>
      </c>
      <c r="H122" s="107">
        <f t="shared" si="182"/>
        <v>2836.631062861145</v>
      </c>
      <c r="I122" s="108">
        <f>2440/1.1422</f>
        <v>2136.228331290492</v>
      </c>
      <c r="J122" s="107">
        <f t="shared" si="183"/>
        <v>1803.5370337944316</v>
      </c>
      <c r="K122" s="107">
        <f t="shared" si="184"/>
        <v>1637.1913850464016</v>
      </c>
      <c r="L122" s="108">
        <f>1680/1.1422</f>
        <v>1470.8457362983713</v>
      </c>
      <c r="M122" s="109">
        <f t="shared" si="185"/>
        <v>1138.1544388023108</v>
      </c>
      <c r="N122" s="107">
        <f t="shared" si="186"/>
        <v>94.609940844771529</v>
      </c>
      <c r="O122" s="107">
        <f t="shared" si="187"/>
        <v>75.875299093331634</v>
      </c>
      <c r="P122" s="107">
        <f t="shared" ref="P122:P123" si="194">I122*0.02*$BC$7</f>
        <v>57.140657341891725</v>
      </c>
      <c r="Q122" s="107">
        <f t="shared" ref="Q122:Q123" si="195">J122*0.02*$BC$7</f>
        <v>48.241702509957761</v>
      </c>
      <c r="R122" s="107">
        <f t="shared" ref="R122:R123" si="196">K122*0.02*$BC$7</f>
        <v>43.79222509399078</v>
      </c>
      <c r="S122" s="107">
        <f t="shared" ref="S122:S123" si="197">L122*0.02*$BC$7</f>
        <v>39.342747678023798</v>
      </c>
      <c r="T122" s="109">
        <f t="shared" ref="T122:T123" si="198">M122*0.02*$BC$7</f>
        <v>30.443792846089838</v>
      </c>
      <c r="U122" s="450">
        <f t="shared" si="188"/>
        <v>3.0642619506216072E-2</v>
      </c>
      <c r="V122" s="295">
        <f t="shared" si="189"/>
        <v>2.4076343897741201E-2</v>
      </c>
      <c r="W122" s="451">
        <f t="shared" ref="W122:W123" si="199">(20/1.1422)*0.001</f>
        <v>1.7510068289266326E-2</v>
      </c>
      <c r="X122" s="295">
        <f t="shared" si="190"/>
        <v>1.5321309753108036E-2</v>
      </c>
      <c r="Y122" s="295">
        <f t="shared" si="191"/>
        <v>1.4226930485028891E-2</v>
      </c>
      <c r="Z122" s="451">
        <f t="shared" si="192"/>
        <v>1.3132551216949746E-2</v>
      </c>
      <c r="AA122" s="452">
        <f t="shared" si="193"/>
        <v>1.0943792680791455E-2</v>
      </c>
      <c r="AB122" s="1041"/>
      <c r="AC122" s="1041"/>
      <c r="AD122" s="1041"/>
      <c r="AE122" s="1041"/>
      <c r="AF122" s="1041"/>
      <c r="AG122" s="1041"/>
      <c r="AH122" s="1041"/>
      <c r="AI122" s="110"/>
      <c r="AJ122" s="111"/>
      <c r="AK122" s="111"/>
      <c r="AL122" s="111"/>
      <c r="AM122" s="108"/>
      <c r="AN122" s="111"/>
      <c r="AO122" s="112"/>
      <c r="AP122" s="859"/>
      <c r="AQ122" s="860"/>
      <c r="AR122" s="860"/>
      <c r="AS122" s="860"/>
      <c r="AT122" s="860"/>
      <c r="AU122" s="860"/>
      <c r="AV122" s="861"/>
      <c r="AW122" s="828" t="s">
        <v>287</v>
      </c>
      <c r="AX122" s="829"/>
      <c r="AY122" s="104" t="s">
        <v>308</v>
      </c>
    </row>
    <row r="123" spans="1:51" x14ac:dyDescent="0.3">
      <c r="A123" s="896"/>
      <c r="B123" s="855"/>
      <c r="C123" s="105">
        <v>6</v>
      </c>
      <c r="D123" s="105" t="s">
        <v>39</v>
      </c>
      <c r="E123" s="105">
        <v>2020</v>
      </c>
      <c r="F123" s="91" t="s">
        <v>19</v>
      </c>
      <c r="G123" s="113">
        <f t="shared" si="181"/>
        <v>3537.033794431798</v>
      </c>
      <c r="H123" s="107">
        <f t="shared" si="182"/>
        <v>2827.8760287165114</v>
      </c>
      <c r="I123" s="108">
        <f>2420/1.1422</f>
        <v>2118.7182630012253</v>
      </c>
      <c r="J123" s="107">
        <f t="shared" si="183"/>
        <v>1786.0269655051652</v>
      </c>
      <c r="K123" s="107">
        <f t="shared" si="184"/>
        <v>1619.6813167571352</v>
      </c>
      <c r="L123" s="108">
        <f>1660/1.1422</f>
        <v>1453.3356680091051</v>
      </c>
      <c r="M123" s="109">
        <f t="shared" si="185"/>
        <v>1120.644370513045</v>
      </c>
      <c r="N123" s="107">
        <f t="shared" si="186"/>
        <v>94.609940844771529</v>
      </c>
      <c r="O123" s="107">
        <f t="shared" si="187"/>
        <v>75.641116071438617</v>
      </c>
      <c r="P123" s="107">
        <f t="shared" si="194"/>
        <v>56.672291298105712</v>
      </c>
      <c r="Q123" s="107">
        <f t="shared" si="195"/>
        <v>47.773336466171763</v>
      </c>
      <c r="R123" s="107">
        <f t="shared" si="196"/>
        <v>43.323859050204788</v>
      </c>
      <c r="S123" s="107">
        <f t="shared" si="197"/>
        <v>38.874381634237807</v>
      </c>
      <c r="T123" s="109">
        <f t="shared" si="198"/>
        <v>29.975426802303854</v>
      </c>
      <c r="U123" s="450">
        <f t="shared" si="188"/>
        <v>3.0642619506216072E-2</v>
      </c>
      <c r="V123" s="295">
        <f t="shared" si="189"/>
        <v>2.4076343897741201E-2</v>
      </c>
      <c r="W123" s="451">
        <f t="shared" si="199"/>
        <v>1.7510068289266326E-2</v>
      </c>
      <c r="X123" s="295">
        <f t="shared" si="190"/>
        <v>1.5321309753108036E-2</v>
      </c>
      <c r="Y123" s="295">
        <f t="shared" si="191"/>
        <v>1.4226930485028891E-2</v>
      </c>
      <c r="Z123" s="451">
        <f t="shared" si="192"/>
        <v>1.3132551216949746E-2</v>
      </c>
      <c r="AA123" s="452">
        <f t="shared" si="193"/>
        <v>1.0943792680791455E-2</v>
      </c>
      <c r="AB123" s="1041"/>
      <c r="AC123" s="1041"/>
      <c r="AD123" s="1041"/>
      <c r="AE123" s="1041"/>
      <c r="AF123" s="1041"/>
      <c r="AG123" s="1041"/>
      <c r="AH123" s="1041"/>
      <c r="AI123" s="110"/>
      <c r="AJ123" s="111"/>
      <c r="AK123" s="111"/>
      <c r="AL123" s="111"/>
      <c r="AM123" s="108"/>
      <c r="AN123" s="111"/>
      <c r="AO123" s="112"/>
      <c r="AP123" s="859"/>
      <c r="AQ123" s="860"/>
      <c r="AR123" s="860"/>
      <c r="AS123" s="860"/>
      <c r="AT123" s="860"/>
      <c r="AU123" s="860"/>
      <c r="AV123" s="861"/>
      <c r="AW123" s="828" t="s">
        <v>287</v>
      </c>
      <c r="AX123" s="829"/>
      <c r="AY123" s="104" t="s">
        <v>309</v>
      </c>
    </row>
    <row r="124" spans="1:51" x14ac:dyDescent="0.3">
      <c r="A124" s="896"/>
      <c r="B124" s="119"/>
      <c r="C124" s="120">
        <v>13</v>
      </c>
      <c r="D124" s="120" t="s">
        <v>63</v>
      </c>
      <c r="E124" s="120">
        <v>2020</v>
      </c>
      <c r="F124" s="91" t="s">
        <v>19</v>
      </c>
      <c r="G124" s="587">
        <v>2349.96</v>
      </c>
      <c r="H124" s="121"/>
      <c r="I124" s="121"/>
      <c r="J124" s="121"/>
      <c r="K124" s="121"/>
      <c r="L124" s="121"/>
      <c r="M124" s="588"/>
      <c r="N124" s="122">
        <f t="shared" si="186"/>
        <v>62.857634252062653</v>
      </c>
      <c r="O124" s="121"/>
      <c r="P124" s="121"/>
      <c r="Q124" s="121"/>
      <c r="R124" s="121"/>
      <c r="S124" s="121"/>
      <c r="T124" s="588"/>
      <c r="U124" s="454"/>
      <c r="V124" s="455"/>
      <c r="W124" s="455"/>
      <c r="X124" s="455"/>
      <c r="Y124" s="121"/>
      <c r="Z124" s="455"/>
      <c r="AA124" s="588"/>
      <c r="AB124" s="121"/>
      <c r="AC124" s="121"/>
      <c r="AD124" s="121"/>
      <c r="AE124" s="121"/>
      <c r="AF124" s="121"/>
      <c r="AG124" s="121"/>
      <c r="AH124" s="121"/>
      <c r="AI124" s="123"/>
      <c r="AJ124" s="124"/>
      <c r="AK124" s="124"/>
      <c r="AL124" s="124"/>
      <c r="AM124" s="121"/>
      <c r="AN124" s="124"/>
      <c r="AO124" s="588"/>
      <c r="AP124" s="859"/>
      <c r="AQ124" s="860"/>
      <c r="AR124" s="860"/>
      <c r="AS124" s="860"/>
      <c r="AT124" s="860"/>
      <c r="AU124" s="860"/>
      <c r="AV124" s="861"/>
      <c r="AW124" s="123"/>
      <c r="AX124" s="51"/>
      <c r="AY124" s="116"/>
    </row>
    <row r="125" spans="1:51" x14ac:dyDescent="0.3">
      <c r="A125" s="896"/>
      <c r="B125" s="125" t="s">
        <v>267</v>
      </c>
      <c r="C125" s="126"/>
      <c r="D125" s="126"/>
      <c r="E125" s="126"/>
      <c r="F125" s="126"/>
      <c r="G125" s="127">
        <f>MIN(G121:G124)</f>
        <v>2349.96</v>
      </c>
      <c r="H125" s="128">
        <f t="shared" ref="H125:AA125" si="200">MIN(H121:H124)</f>
        <v>2827.8760287165114</v>
      </c>
      <c r="I125" s="128">
        <f t="shared" si="200"/>
        <v>2118.7182630012253</v>
      </c>
      <c r="J125" s="128">
        <f t="shared" si="200"/>
        <v>1786.0269655051652</v>
      </c>
      <c r="K125" s="128">
        <f t="shared" si="200"/>
        <v>1619.6813167571352</v>
      </c>
      <c r="L125" s="128">
        <f t="shared" si="200"/>
        <v>1453.3356680091051</v>
      </c>
      <c r="M125" s="456">
        <f t="shared" si="200"/>
        <v>1120.644370513045</v>
      </c>
      <c r="N125" s="128">
        <f t="shared" si="200"/>
        <v>62.857634252062653</v>
      </c>
      <c r="O125" s="128">
        <f t="shared" si="200"/>
        <v>75.641116071438617</v>
      </c>
      <c r="P125" s="128">
        <f t="shared" si="200"/>
        <v>56.672291298105712</v>
      </c>
      <c r="Q125" s="128">
        <f t="shared" si="200"/>
        <v>47.773336466171763</v>
      </c>
      <c r="R125" s="128">
        <f t="shared" si="200"/>
        <v>43.323859050204788</v>
      </c>
      <c r="S125" s="128">
        <f t="shared" si="200"/>
        <v>38.874381634237807</v>
      </c>
      <c r="T125" s="456">
        <f t="shared" si="200"/>
        <v>29.975426802303854</v>
      </c>
      <c r="U125" s="457">
        <f t="shared" si="200"/>
        <v>3.0642619506216072E-2</v>
      </c>
      <c r="V125" s="458">
        <f t="shared" si="200"/>
        <v>2.4076343897741201E-2</v>
      </c>
      <c r="W125" s="458">
        <f t="shared" si="200"/>
        <v>1.7510068289266326E-2</v>
      </c>
      <c r="X125" s="458">
        <f t="shared" si="200"/>
        <v>1.5321309753108036E-2</v>
      </c>
      <c r="Y125" s="458">
        <f t="shared" si="200"/>
        <v>1.4226930485028891E-2</v>
      </c>
      <c r="Z125" s="458">
        <f t="shared" si="200"/>
        <v>1.3132551216949746E-2</v>
      </c>
      <c r="AA125" s="589">
        <f t="shared" si="200"/>
        <v>8.7550341446331649E-3</v>
      </c>
      <c r="AB125" s="458"/>
      <c r="AC125" s="458"/>
      <c r="AD125" s="458"/>
      <c r="AE125" s="458"/>
      <c r="AF125" s="458"/>
      <c r="AG125" s="458"/>
      <c r="AH125" s="458"/>
      <c r="AI125" s="131"/>
      <c r="AJ125" s="126"/>
      <c r="AK125" s="126"/>
      <c r="AL125" s="126"/>
      <c r="AM125" s="128"/>
      <c r="AN125" s="126"/>
      <c r="AO125" s="456"/>
      <c r="AP125" s="889">
        <v>1</v>
      </c>
      <c r="AQ125" s="890"/>
      <c r="AR125" s="890"/>
      <c r="AS125" s="890"/>
      <c r="AT125" s="890"/>
      <c r="AU125" s="890"/>
      <c r="AV125" s="891"/>
      <c r="AW125" s="909"/>
      <c r="AX125" s="910"/>
      <c r="AY125" s="104"/>
    </row>
    <row r="126" spans="1:51" x14ac:dyDescent="0.3">
      <c r="A126" s="896"/>
      <c r="B126" s="133" t="s">
        <v>268</v>
      </c>
      <c r="C126" s="134"/>
      <c r="D126" s="134"/>
      <c r="E126" s="134"/>
      <c r="F126" s="134"/>
      <c r="G126" s="135">
        <f>MEDIAN(G121:G124)</f>
        <v>3537.033794431798</v>
      </c>
      <c r="H126" s="136">
        <f t="shared" ref="H126:AA126" si="201">MEDIAN(H121:H124)</f>
        <v>2836.631062861145</v>
      </c>
      <c r="I126" s="136">
        <f t="shared" si="201"/>
        <v>2136.228331290492</v>
      </c>
      <c r="J126" s="136">
        <f t="shared" si="201"/>
        <v>1803.5370337944316</v>
      </c>
      <c r="K126" s="136">
        <f t="shared" si="201"/>
        <v>1637.1913850464016</v>
      </c>
      <c r="L126" s="136">
        <f t="shared" si="201"/>
        <v>1470.8457362983713</v>
      </c>
      <c r="M126" s="459">
        <f t="shared" si="201"/>
        <v>1138.1544388023108</v>
      </c>
      <c r="N126" s="136">
        <f t="shared" si="201"/>
        <v>94.609940844771529</v>
      </c>
      <c r="O126" s="136">
        <f t="shared" si="201"/>
        <v>75.875299093331634</v>
      </c>
      <c r="P126" s="136">
        <f t="shared" si="201"/>
        <v>57.140657341891725</v>
      </c>
      <c r="Q126" s="136">
        <f t="shared" si="201"/>
        <v>48.241702509957761</v>
      </c>
      <c r="R126" s="136">
        <f t="shared" si="201"/>
        <v>43.79222509399078</v>
      </c>
      <c r="S126" s="136">
        <f t="shared" si="201"/>
        <v>39.342747678023798</v>
      </c>
      <c r="T126" s="459">
        <f t="shared" si="201"/>
        <v>30.443792846089838</v>
      </c>
      <c r="U126" s="460">
        <f t="shared" si="201"/>
        <v>3.0642619506216072E-2</v>
      </c>
      <c r="V126" s="461">
        <f t="shared" si="201"/>
        <v>2.4076343897741201E-2</v>
      </c>
      <c r="W126" s="461">
        <f t="shared" si="201"/>
        <v>1.7510068289266326E-2</v>
      </c>
      <c r="X126" s="461">
        <f t="shared" si="201"/>
        <v>1.5321309753108036E-2</v>
      </c>
      <c r="Y126" s="461">
        <f t="shared" si="201"/>
        <v>1.4226930485028891E-2</v>
      </c>
      <c r="Z126" s="461">
        <f t="shared" si="201"/>
        <v>1.3132551216949746E-2</v>
      </c>
      <c r="AA126" s="590">
        <f t="shared" si="201"/>
        <v>1.0943792680791455E-2</v>
      </c>
      <c r="AB126" s="1050"/>
      <c r="AC126" s="1050"/>
      <c r="AD126" s="1050"/>
      <c r="AE126" s="1050"/>
      <c r="AF126" s="1050"/>
      <c r="AG126" s="1050"/>
      <c r="AH126" s="1050"/>
      <c r="AI126" s="139"/>
      <c r="AJ126" s="134"/>
      <c r="AK126" s="134"/>
      <c r="AL126" s="134"/>
      <c r="AM126" s="136"/>
      <c r="AN126" s="134"/>
      <c r="AO126" s="459"/>
      <c r="AP126" s="892"/>
      <c r="AQ126" s="893"/>
      <c r="AR126" s="893"/>
      <c r="AS126" s="893"/>
      <c r="AT126" s="893"/>
      <c r="AU126" s="893"/>
      <c r="AV126" s="894"/>
      <c r="AW126" s="139"/>
      <c r="AX126" s="140"/>
      <c r="AY126" s="104"/>
    </row>
    <row r="127" spans="1:51" x14ac:dyDescent="0.3">
      <c r="A127" s="896"/>
      <c r="B127" s="141" t="s">
        <v>269</v>
      </c>
      <c r="C127" s="142"/>
      <c r="D127" s="142"/>
      <c r="E127" s="142"/>
      <c r="F127" s="142"/>
      <c r="G127" s="591">
        <f>MAX(G121:G124)</f>
        <v>3537.033794431798</v>
      </c>
      <c r="H127" s="143">
        <f t="shared" ref="H127:AA127" si="202">MAX(H121:H124)</f>
        <v>2889.161267728944</v>
      </c>
      <c r="I127" s="143">
        <f t="shared" si="202"/>
        <v>2241.2887410260896</v>
      </c>
      <c r="J127" s="143">
        <f t="shared" si="202"/>
        <v>1961.1276483978286</v>
      </c>
      <c r="K127" s="143">
        <f t="shared" si="202"/>
        <v>1821.0471020836981</v>
      </c>
      <c r="L127" s="143">
        <f t="shared" si="202"/>
        <v>1680.9665557695673</v>
      </c>
      <c r="M127" s="592">
        <f t="shared" si="202"/>
        <v>1400.8054631413058</v>
      </c>
      <c r="N127" s="143">
        <f t="shared" si="202"/>
        <v>94.609940844771529</v>
      </c>
      <c r="O127" s="143">
        <f t="shared" si="202"/>
        <v>77.280397224689622</v>
      </c>
      <c r="P127" s="143">
        <f t="shared" si="202"/>
        <v>59.950853604607701</v>
      </c>
      <c r="Q127" s="143">
        <f t="shared" si="202"/>
        <v>52.45699690403174</v>
      </c>
      <c r="R127" s="143">
        <f t="shared" si="202"/>
        <v>48.71006855374376</v>
      </c>
      <c r="S127" s="143">
        <f t="shared" si="202"/>
        <v>44.963140203455772</v>
      </c>
      <c r="T127" s="592">
        <f t="shared" si="202"/>
        <v>37.469283502879804</v>
      </c>
      <c r="U127" s="462">
        <f t="shared" si="202"/>
        <v>3.0642619506216072E-2</v>
      </c>
      <c r="V127" s="463">
        <f t="shared" si="202"/>
        <v>2.6265102433899491E-2</v>
      </c>
      <c r="W127" s="463">
        <f t="shared" si="202"/>
        <v>2.1887585361582907E-2</v>
      </c>
      <c r="X127" s="463">
        <f t="shared" si="202"/>
        <v>1.7510068289266326E-2</v>
      </c>
      <c r="Y127" s="463">
        <f t="shared" si="202"/>
        <v>1.5321309753108036E-2</v>
      </c>
      <c r="Z127" s="463">
        <f t="shared" si="202"/>
        <v>1.3132551216949746E-2</v>
      </c>
      <c r="AA127" s="593">
        <f t="shared" si="202"/>
        <v>1.0943792680791455E-2</v>
      </c>
      <c r="AB127" s="463"/>
      <c r="AC127" s="463"/>
      <c r="AD127" s="463"/>
      <c r="AE127" s="463"/>
      <c r="AF127" s="463"/>
      <c r="AG127" s="463"/>
      <c r="AH127" s="463"/>
      <c r="AI127" s="145"/>
      <c r="AJ127" s="142"/>
      <c r="AK127" s="142"/>
      <c r="AL127" s="142"/>
      <c r="AM127" s="143"/>
      <c r="AN127" s="142"/>
      <c r="AO127" s="592"/>
      <c r="AP127" s="892"/>
      <c r="AQ127" s="893"/>
      <c r="AR127" s="893"/>
      <c r="AS127" s="893"/>
      <c r="AT127" s="893"/>
      <c r="AU127" s="893"/>
      <c r="AV127" s="894"/>
      <c r="AW127" s="145"/>
      <c r="AX127" s="146"/>
      <c r="AY127" s="104"/>
    </row>
    <row r="128" spans="1:51" x14ac:dyDescent="0.3">
      <c r="A128" s="896"/>
      <c r="B128" s="895" t="s">
        <v>15</v>
      </c>
      <c r="C128" s="147">
        <v>6</v>
      </c>
      <c r="D128" s="147" t="s">
        <v>39</v>
      </c>
      <c r="E128" s="147">
        <v>2020</v>
      </c>
      <c r="F128" s="148" t="s">
        <v>19</v>
      </c>
      <c r="G128" s="464">
        <f t="shared" ref="G128:G130" si="203">1390/1.1422</f>
        <v>1216.9497461040096</v>
      </c>
      <c r="H128" s="93">
        <f t="shared" ref="H128:H130" si="204">G128+((I128-G128)/(2030-2020))*(2025-2020)</f>
        <v>1181.929609525477</v>
      </c>
      <c r="I128" s="149">
        <f>1310/1.1422</f>
        <v>1146.9094729469443</v>
      </c>
      <c r="J128" s="93">
        <f t="shared" ref="J128:J130" si="205">I128+((L128-I128)/(2050-2030))*(2040-2030)</f>
        <v>1129.3994046576781</v>
      </c>
      <c r="K128" s="93">
        <f t="shared" ref="K128:K130" si="206">J128+((L128-J128)/(2050-2040))*(2045-2040)</f>
        <v>1120.644370513045</v>
      </c>
      <c r="L128" s="149">
        <f>1270/1.1422</f>
        <v>1111.8893363684117</v>
      </c>
      <c r="M128" s="95">
        <f t="shared" ref="M128:M130" si="207">K128+((L128-K128)/(2050-2045))*(2060-2045)</f>
        <v>1094.379268079145</v>
      </c>
      <c r="N128" s="93">
        <f t="shared" ref="N128:N131" si="208">G128*0.02*$BC$7</f>
        <v>32.551440043126838</v>
      </c>
      <c r="O128" s="93">
        <f t="shared" ref="O128:O130" si="209">H128*0.02*$BC$7</f>
        <v>31.614707955554838</v>
      </c>
      <c r="P128" s="93">
        <f t="shared" ref="P128:P130" si="210">I128*0.02*$BC$7</f>
        <v>30.677975867982845</v>
      </c>
      <c r="Q128" s="93">
        <f t="shared" ref="Q128:Q130" si="211">J128*0.02*$BC$7</f>
        <v>30.20960982419685</v>
      </c>
      <c r="R128" s="93">
        <f t="shared" ref="R128:R130" si="212">K128*0.02*$BC$7</f>
        <v>29.975426802303854</v>
      </c>
      <c r="S128" s="93">
        <f t="shared" ref="S128:S130" si="213">L128*0.02*$BC$7</f>
        <v>29.741243780410851</v>
      </c>
      <c r="T128" s="93">
        <f t="shared" ref="T128:T130" si="214">M128*0.02*$BC$7</f>
        <v>29.272877736624842</v>
      </c>
      <c r="U128" s="465">
        <f t="shared" ref="U128:U130" si="215">(10/1.1422)*0.001</f>
        <v>8.7550341446331632E-3</v>
      </c>
      <c r="V128" s="286">
        <f t="shared" ref="V128:V130" si="216">U128+((W128-U128)/(2030-2020))*(2025-2020)</f>
        <v>8.7550341446331632E-3</v>
      </c>
      <c r="W128" s="466">
        <f t="shared" ref="W128:W130" si="217">(10/1.1422)*0.001</f>
        <v>8.7550341446331632E-3</v>
      </c>
      <c r="X128" s="286">
        <f t="shared" ref="X128:X130" si="218">W128+((Z128-W128)/(2050-2030))*(2040-2030)</f>
        <v>8.7550341446331632E-3</v>
      </c>
      <c r="Y128" s="286">
        <f t="shared" ref="Y128:Y130" si="219">X128+((Z128-X128)/(2050-2040))*(2045-2040)</f>
        <v>8.7550341446331632E-3</v>
      </c>
      <c r="Z128" s="466">
        <f t="shared" ref="Z128:Z130" si="220">(10/1.1422)*0.001</f>
        <v>8.7550341446331632E-3</v>
      </c>
      <c r="AA128" s="366">
        <f t="shared" ref="AA128:AA130" si="221">Y128+((Z128-Y128)/(2050-2045))*(2060-2045)</f>
        <v>8.7550341446331632E-3</v>
      </c>
      <c r="AB128" s="286"/>
      <c r="AC128" s="286"/>
      <c r="AD128" s="286"/>
      <c r="AE128" s="286"/>
      <c r="AF128" s="286"/>
      <c r="AG128" s="286"/>
      <c r="AH128" s="286"/>
      <c r="AI128" s="150"/>
      <c r="AJ128" s="147"/>
      <c r="AK128" s="147"/>
      <c r="AL128" s="147"/>
      <c r="AM128" s="149"/>
      <c r="AN128" s="147"/>
      <c r="AO128" s="151"/>
      <c r="AP128" s="897">
        <v>1</v>
      </c>
      <c r="AQ128" s="898"/>
      <c r="AR128" s="898"/>
      <c r="AS128" s="898"/>
      <c r="AT128" s="898"/>
      <c r="AU128" s="898"/>
      <c r="AV128" s="899"/>
      <c r="AW128" s="830" t="s">
        <v>292</v>
      </c>
      <c r="AX128" s="831"/>
      <c r="AY128" s="104" t="s">
        <v>307</v>
      </c>
    </row>
    <row r="129" spans="1:51" x14ac:dyDescent="0.3">
      <c r="A129" s="896"/>
      <c r="B129" s="896"/>
      <c r="C129" s="153">
        <v>6</v>
      </c>
      <c r="D129" s="153" t="s">
        <v>39</v>
      </c>
      <c r="E129" s="153">
        <v>2020</v>
      </c>
      <c r="F129" s="148" t="s">
        <v>19</v>
      </c>
      <c r="G129" s="158">
        <f t="shared" si="203"/>
        <v>1216.9497461040096</v>
      </c>
      <c r="H129" s="107">
        <f t="shared" si="204"/>
        <v>1173.1745753808439</v>
      </c>
      <c r="I129" s="154">
        <f>1290/1.1422</f>
        <v>1129.3994046576781</v>
      </c>
      <c r="J129" s="107">
        <f t="shared" si="205"/>
        <v>1098.7567851514621</v>
      </c>
      <c r="K129" s="107">
        <f t="shared" si="206"/>
        <v>1083.4354753983539</v>
      </c>
      <c r="L129" s="154">
        <f>1220/1.1422</f>
        <v>1068.114165645246</v>
      </c>
      <c r="M129" s="109">
        <f t="shared" si="207"/>
        <v>1037.4715461390301</v>
      </c>
      <c r="N129" s="107">
        <f t="shared" si="208"/>
        <v>32.551440043126838</v>
      </c>
      <c r="O129" s="107">
        <f t="shared" si="209"/>
        <v>31.380524933661842</v>
      </c>
      <c r="P129" s="107">
        <f t="shared" si="210"/>
        <v>30.20960982419685</v>
      </c>
      <c r="Q129" s="107">
        <f t="shared" si="211"/>
        <v>29.389969247571354</v>
      </c>
      <c r="R129" s="107">
        <f t="shared" si="212"/>
        <v>28.980148959258607</v>
      </c>
      <c r="S129" s="107">
        <f t="shared" si="213"/>
        <v>28.570328670945862</v>
      </c>
      <c r="T129" s="109">
        <f t="shared" si="214"/>
        <v>27.75068809432037</v>
      </c>
      <c r="U129" s="467">
        <f t="shared" si="215"/>
        <v>8.7550341446331632E-3</v>
      </c>
      <c r="V129" s="295">
        <f t="shared" si="216"/>
        <v>8.7550341446331632E-3</v>
      </c>
      <c r="W129" s="468">
        <f t="shared" si="217"/>
        <v>8.7550341446331632E-3</v>
      </c>
      <c r="X129" s="295">
        <f t="shared" si="218"/>
        <v>8.7550341446331632E-3</v>
      </c>
      <c r="Y129" s="295">
        <f t="shared" si="219"/>
        <v>8.7550341446331632E-3</v>
      </c>
      <c r="Z129" s="468">
        <f t="shared" si="220"/>
        <v>8.7550341446331632E-3</v>
      </c>
      <c r="AA129" s="452">
        <f t="shared" si="221"/>
        <v>8.7550341446331632E-3</v>
      </c>
      <c r="AB129" s="1041"/>
      <c r="AC129" s="1041"/>
      <c r="AD129" s="1041"/>
      <c r="AE129" s="1041"/>
      <c r="AF129" s="1041"/>
      <c r="AG129" s="1041"/>
      <c r="AH129" s="1041"/>
      <c r="AI129" s="155"/>
      <c r="AJ129" s="153"/>
      <c r="AK129" s="153"/>
      <c r="AL129" s="153"/>
      <c r="AM129" s="154"/>
      <c r="AN129" s="153"/>
      <c r="AO129" s="156"/>
      <c r="AP129" s="900"/>
      <c r="AQ129" s="901"/>
      <c r="AR129" s="901"/>
      <c r="AS129" s="901"/>
      <c r="AT129" s="901"/>
      <c r="AU129" s="901"/>
      <c r="AV129" s="902"/>
      <c r="AW129" s="832" t="s">
        <v>292</v>
      </c>
      <c r="AX129" s="833"/>
      <c r="AY129" s="104" t="s">
        <v>308</v>
      </c>
    </row>
    <row r="130" spans="1:51" x14ac:dyDescent="0.3">
      <c r="A130" s="896"/>
      <c r="B130" s="896"/>
      <c r="C130" s="153">
        <v>6</v>
      </c>
      <c r="D130" s="153" t="s">
        <v>39</v>
      </c>
      <c r="E130" s="153">
        <v>2020</v>
      </c>
      <c r="F130" s="148" t="s">
        <v>19</v>
      </c>
      <c r="G130" s="158">
        <f t="shared" si="203"/>
        <v>1216.9497461040096</v>
      </c>
      <c r="H130" s="107">
        <f t="shared" si="204"/>
        <v>1168.7970583085271</v>
      </c>
      <c r="I130" s="154">
        <f>1280/1.1422</f>
        <v>1120.6443705130448</v>
      </c>
      <c r="J130" s="107">
        <f t="shared" si="205"/>
        <v>1085.6242339345122</v>
      </c>
      <c r="K130" s="107">
        <f t="shared" si="206"/>
        <v>1068.114165645246</v>
      </c>
      <c r="L130" s="154">
        <f>1200/1.1422</f>
        <v>1050.6040973559795</v>
      </c>
      <c r="M130" s="109">
        <f t="shared" si="207"/>
        <v>1015.5839607774467</v>
      </c>
      <c r="N130" s="107">
        <f t="shared" si="208"/>
        <v>32.551440043126838</v>
      </c>
      <c r="O130" s="107">
        <f t="shared" si="209"/>
        <v>31.263433422715337</v>
      </c>
      <c r="P130" s="107">
        <f t="shared" si="210"/>
        <v>29.975426802303851</v>
      </c>
      <c r="Q130" s="107">
        <f t="shared" si="211"/>
        <v>29.038694714731854</v>
      </c>
      <c r="R130" s="107">
        <f t="shared" si="212"/>
        <v>28.570328670945862</v>
      </c>
      <c r="S130" s="107">
        <f t="shared" si="213"/>
        <v>28.101962627159857</v>
      </c>
      <c r="T130" s="109">
        <f t="shared" si="214"/>
        <v>27.16523053958786</v>
      </c>
      <c r="U130" s="467">
        <f t="shared" si="215"/>
        <v>8.7550341446331632E-3</v>
      </c>
      <c r="V130" s="295">
        <f t="shared" si="216"/>
        <v>8.7550341446331632E-3</v>
      </c>
      <c r="W130" s="468">
        <f t="shared" si="217"/>
        <v>8.7550341446331632E-3</v>
      </c>
      <c r="X130" s="295">
        <f t="shared" si="218"/>
        <v>8.7550341446331632E-3</v>
      </c>
      <c r="Y130" s="295">
        <f t="shared" si="219"/>
        <v>8.7550341446331632E-3</v>
      </c>
      <c r="Z130" s="468">
        <f t="shared" si="220"/>
        <v>8.7550341446331632E-3</v>
      </c>
      <c r="AA130" s="452">
        <f t="shared" si="221"/>
        <v>8.7550341446331632E-3</v>
      </c>
      <c r="AB130" s="1041"/>
      <c r="AC130" s="1041"/>
      <c r="AD130" s="1041"/>
      <c r="AE130" s="1041"/>
      <c r="AF130" s="1041"/>
      <c r="AG130" s="1041"/>
      <c r="AH130" s="1041"/>
      <c r="AI130" s="155"/>
      <c r="AJ130" s="153"/>
      <c r="AK130" s="153"/>
      <c r="AL130" s="153"/>
      <c r="AM130" s="154"/>
      <c r="AN130" s="153"/>
      <c r="AO130" s="156"/>
      <c r="AP130" s="900"/>
      <c r="AQ130" s="901"/>
      <c r="AR130" s="901"/>
      <c r="AS130" s="901"/>
      <c r="AT130" s="901"/>
      <c r="AU130" s="901"/>
      <c r="AV130" s="902"/>
      <c r="AW130" s="832" t="s">
        <v>292</v>
      </c>
      <c r="AX130" s="833"/>
      <c r="AY130" s="104" t="s">
        <v>309</v>
      </c>
    </row>
    <row r="131" spans="1:51" x14ac:dyDescent="0.3">
      <c r="A131" s="896"/>
      <c r="B131" s="911"/>
      <c r="C131" s="163">
        <v>13</v>
      </c>
      <c r="D131" s="163" t="s">
        <v>63</v>
      </c>
      <c r="E131" s="163">
        <v>2020</v>
      </c>
      <c r="F131" s="148" t="s">
        <v>19</v>
      </c>
      <c r="G131" s="594">
        <v>1636.72</v>
      </c>
      <c r="H131" s="164"/>
      <c r="I131" s="164"/>
      <c r="J131" s="164"/>
      <c r="K131" s="164"/>
      <c r="L131" s="164"/>
      <c r="M131" s="595"/>
      <c r="N131" s="122">
        <f t="shared" si="208"/>
        <v>43.77961630539923</v>
      </c>
      <c r="O131" s="121"/>
      <c r="P131" s="121"/>
      <c r="Q131" s="121"/>
      <c r="R131" s="121"/>
      <c r="S131" s="121"/>
      <c r="T131" s="588"/>
      <c r="U131" s="470"/>
      <c r="V131" s="471"/>
      <c r="W131" s="471"/>
      <c r="X131" s="471"/>
      <c r="Y131" s="164"/>
      <c r="Z131" s="471"/>
      <c r="AA131" s="595"/>
      <c r="AB131" s="164"/>
      <c r="AC131" s="164"/>
      <c r="AD131" s="164"/>
      <c r="AE131" s="164"/>
      <c r="AF131" s="164"/>
      <c r="AG131" s="164"/>
      <c r="AH131" s="164"/>
      <c r="AI131" s="165"/>
      <c r="AJ131" s="163"/>
      <c r="AK131" s="163"/>
      <c r="AL131" s="163"/>
      <c r="AM131" s="164"/>
      <c r="AN131" s="163"/>
      <c r="AO131" s="595"/>
      <c r="AP131" s="900"/>
      <c r="AQ131" s="901"/>
      <c r="AR131" s="901"/>
      <c r="AS131" s="901"/>
      <c r="AT131" s="901"/>
      <c r="AU131" s="901"/>
      <c r="AV131" s="902"/>
      <c r="AW131" s="834"/>
      <c r="AX131" s="835"/>
      <c r="AY131" s="104"/>
    </row>
    <row r="132" spans="1:51" x14ac:dyDescent="0.3">
      <c r="A132" s="896"/>
      <c r="B132" s="167" t="s">
        <v>267</v>
      </c>
      <c r="C132" s="168"/>
      <c r="D132" s="168"/>
      <c r="E132" s="168"/>
      <c r="F132" s="168"/>
      <c r="G132" s="169">
        <f>MIN(G128:G131)</f>
        <v>1216.9497461040096</v>
      </c>
      <c r="H132" s="170">
        <f t="shared" ref="H132:AA132" si="222">MIN(H128:H131)</f>
        <v>1168.7970583085271</v>
      </c>
      <c r="I132" s="170">
        <f t="shared" si="222"/>
        <v>1120.6443705130448</v>
      </c>
      <c r="J132" s="170">
        <f t="shared" si="222"/>
        <v>1085.6242339345122</v>
      </c>
      <c r="K132" s="170">
        <f t="shared" si="222"/>
        <v>1068.114165645246</v>
      </c>
      <c r="L132" s="170">
        <f t="shared" si="222"/>
        <v>1050.6040973559795</v>
      </c>
      <c r="M132" s="171">
        <f t="shared" si="222"/>
        <v>1015.5839607774467</v>
      </c>
      <c r="N132" s="170">
        <f t="shared" si="222"/>
        <v>32.551440043126838</v>
      </c>
      <c r="O132" s="170">
        <f t="shared" si="222"/>
        <v>31.263433422715337</v>
      </c>
      <c r="P132" s="170">
        <f t="shared" si="222"/>
        <v>29.975426802303851</v>
      </c>
      <c r="Q132" s="170">
        <f t="shared" si="222"/>
        <v>29.038694714731854</v>
      </c>
      <c r="R132" s="170">
        <f t="shared" si="222"/>
        <v>28.570328670945862</v>
      </c>
      <c r="S132" s="170">
        <f t="shared" si="222"/>
        <v>28.101962627159857</v>
      </c>
      <c r="T132" s="171">
        <f t="shared" si="222"/>
        <v>27.16523053958786</v>
      </c>
      <c r="U132" s="472">
        <f t="shared" si="222"/>
        <v>8.7550341446331632E-3</v>
      </c>
      <c r="V132" s="473">
        <f t="shared" si="222"/>
        <v>8.7550341446331632E-3</v>
      </c>
      <c r="W132" s="473">
        <f t="shared" si="222"/>
        <v>8.7550341446331632E-3</v>
      </c>
      <c r="X132" s="473">
        <f t="shared" si="222"/>
        <v>8.7550341446331632E-3</v>
      </c>
      <c r="Y132" s="473">
        <f t="shared" si="222"/>
        <v>8.7550341446331632E-3</v>
      </c>
      <c r="Z132" s="473">
        <f t="shared" si="222"/>
        <v>8.7550341446331632E-3</v>
      </c>
      <c r="AA132" s="474">
        <f t="shared" si="222"/>
        <v>8.7550341446331632E-3</v>
      </c>
      <c r="AB132" s="473"/>
      <c r="AC132" s="473"/>
      <c r="AD132" s="473"/>
      <c r="AE132" s="473"/>
      <c r="AF132" s="473"/>
      <c r="AG132" s="473"/>
      <c r="AH132" s="473"/>
      <c r="AI132" s="175"/>
      <c r="AJ132" s="168"/>
      <c r="AK132" s="168"/>
      <c r="AL132" s="168"/>
      <c r="AM132" s="170"/>
      <c r="AN132" s="168"/>
      <c r="AO132" s="171"/>
      <c r="AP132" s="871">
        <v>1</v>
      </c>
      <c r="AQ132" s="872"/>
      <c r="AR132" s="872"/>
      <c r="AS132" s="872"/>
      <c r="AT132" s="872"/>
      <c r="AU132" s="872"/>
      <c r="AV132" s="873"/>
      <c r="AW132" s="175"/>
      <c r="AX132" s="178"/>
      <c r="AY132" s="104"/>
    </row>
    <row r="133" spans="1:51" x14ac:dyDescent="0.3">
      <c r="A133" s="896"/>
      <c r="B133" s="179" t="s">
        <v>268</v>
      </c>
      <c r="C133" s="180"/>
      <c r="D133" s="180"/>
      <c r="E133" s="180"/>
      <c r="F133" s="180"/>
      <c r="G133" s="181">
        <f>MEDIAN(G128:G131)</f>
        <v>1216.9497461040096</v>
      </c>
      <c r="H133" s="182">
        <f t="shared" ref="H133:AA133" si="223">MEDIAN(H128:H131)</f>
        <v>1173.1745753808439</v>
      </c>
      <c r="I133" s="182">
        <f t="shared" si="223"/>
        <v>1129.3994046576781</v>
      </c>
      <c r="J133" s="182">
        <f t="shared" si="223"/>
        <v>1098.7567851514621</v>
      </c>
      <c r="K133" s="182">
        <f t="shared" si="223"/>
        <v>1083.4354753983539</v>
      </c>
      <c r="L133" s="182">
        <f t="shared" si="223"/>
        <v>1068.114165645246</v>
      </c>
      <c r="M133" s="183">
        <f t="shared" si="223"/>
        <v>1037.4715461390301</v>
      </c>
      <c r="N133" s="182">
        <f t="shared" si="223"/>
        <v>32.551440043126838</v>
      </c>
      <c r="O133" s="182">
        <f t="shared" si="223"/>
        <v>31.380524933661842</v>
      </c>
      <c r="P133" s="182">
        <f t="shared" si="223"/>
        <v>30.20960982419685</v>
      </c>
      <c r="Q133" s="182">
        <f t="shared" si="223"/>
        <v>29.389969247571354</v>
      </c>
      <c r="R133" s="182">
        <f t="shared" si="223"/>
        <v>28.980148959258607</v>
      </c>
      <c r="S133" s="182">
        <f t="shared" si="223"/>
        <v>28.570328670945862</v>
      </c>
      <c r="T133" s="183">
        <f t="shared" si="223"/>
        <v>27.75068809432037</v>
      </c>
      <c r="U133" s="475">
        <f t="shared" si="223"/>
        <v>8.7550341446331632E-3</v>
      </c>
      <c r="V133" s="476">
        <f t="shared" si="223"/>
        <v>8.7550341446331632E-3</v>
      </c>
      <c r="W133" s="476">
        <f t="shared" si="223"/>
        <v>8.7550341446331632E-3</v>
      </c>
      <c r="X133" s="476">
        <f t="shared" si="223"/>
        <v>8.7550341446331632E-3</v>
      </c>
      <c r="Y133" s="476">
        <f t="shared" si="223"/>
        <v>8.7550341446331632E-3</v>
      </c>
      <c r="Z133" s="476">
        <f t="shared" si="223"/>
        <v>8.7550341446331632E-3</v>
      </c>
      <c r="AA133" s="477">
        <f t="shared" si="223"/>
        <v>8.7550341446331632E-3</v>
      </c>
      <c r="AB133" s="1042"/>
      <c r="AC133" s="1042"/>
      <c r="AD133" s="1042"/>
      <c r="AE133" s="1042"/>
      <c r="AF133" s="1042"/>
      <c r="AG133" s="1042"/>
      <c r="AH133" s="1042"/>
      <c r="AI133" s="187"/>
      <c r="AJ133" s="180"/>
      <c r="AK133" s="180"/>
      <c r="AL133" s="180"/>
      <c r="AM133" s="182"/>
      <c r="AN133" s="180"/>
      <c r="AO133" s="183"/>
      <c r="AP133" s="874"/>
      <c r="AQ133" s="875"/>
      <c r="AR133" s="875"/>
      <c r="AS133" s="875"/>
      <c r="AT133" s="875"/>
      <c r="AU133" s="875"/>
      <c r="AV133" s="876"/>
      <c r="AW133" s="187"/>
      <c r="AX133" s="190"/>
      <c r="AY133" s="104"/>
    </row>
    <row r="134" spans="1:51" x14ac:dyDescent="0.3">
      <c r="A134" s="896"/>
      <c r="B134" s="191" t="s">
        <v>269</v>
      </c>
      <c r="C134" s="192"/>
      <c r="D134" s="192"/>
      <c r="E134" s="192"/>
      <c r="F134" s="192"/>
      <c r="G134" s="193">
        <f>MAX(G128:G131)</f>
        <v>1636.72</v>
      </c>
      <c r="H134" s="194">
        <f t="shared" ref="H134:AA134" si="224">MAX(H128:H131)</f>
        <v>1181.929609525477</v>
      </c>
      <c r="I134" s="194">
        <f t="shared" si="224"/>
        <v>1146.9094729469443</v>
      </c>
      <c r="J134" s="194">
        <f t="shared" si="224"/>
        <v>1129.3994046576781</v>
      </c>
      <c r="K134" s="194">
        <f t="shared" si="224"/>
        <v>1120.644370513045</v>
      </c>
      <c r="L134" s="194">
        <f t="shared" si="224"/>
        <v>1111.8893363684117</v>
      </c>
      <c r="M134" s="195">
        <f t="shared" si="224"/>
        <v>1094.379268079145</v>
      </c>
      <c r="N134" s="194">
        <f t="shared" si="224"/>
        <v>43.77961630539923</v>
      </c>
      <c r="O134" s="194">
        <f t="shared" si="224"/>
        <v>31.614707955554838</v>
      </c>
      <c r="P134" s="194">
        <f t="shared" si="224"/>
        <v>30.677975867982845</v>
      </c>
      <c r="Q134" s="194">
        <f t="shared" si="224"/>
        <v>30.20960982419685</v>
      </c>
      <c r="R134" s="194">
        <f t="shared" si="224"/>
        <v>29.975426802303854</v>
      </c>
      <c r="S134" s="194">
        <f t="shared" si="224"/>
        <v>29.741243780410851</v>
      </c>
      <c r="T134" s="195">
        <f t="shared" si="224"/>
        <v>29.272877736624842</v>
      </c>
      <c r="U134" s="478">
        <f t="shared" si="224"/>
        <v>8.7550341446331632E-3</v>
      </c>
      <c r="V134" s="479">
        <f t="shared" si="224"/>
        <v>8.7550341446331632E-3</v>
      </c>
      <c r="W134" s="479">
        <f t="shared" si="224"/>
        <v>8.7550341446331632E-3</v>
      </c>
      <c r="X134" s="479">
        <f t="shared" si="224"/>
        <v>8.7550341446331632E-3</v>
      </c>
      <c r="Y134" s="479">
        <f t="shared" si="224"/>
        <v>8.7550341446331632E-3</v>
      </c>
      <c r="Z134" s="479">
        <f t="shared" si="224"/>
        <v>8.7550341446331632E-3</v>
      </c>
      <c r="AA134" s="596">
        <f t="shared" si="224"/>
        <v>8.7550341446331632E-3</v>
      </c>
      <c r="AB134" s="479"/>
      <c r="AC134" s="479"/>
      <c r="AD134" s="479"/>
      <c r="AE134" s="479"/>
      <c r="AF134" s="479"/>
      <c r="AG134" s="479"/>
      <c r="AH134" s="479"/>
      <c r="AI134" s="198"/>
      <c r="AJ134" s="192"/>
      <c r="AK134" s="192"/>
      <c r="AL134" s="192"/>
      <c r="AM134" s="194"/>
      <c r="AN134" s="192"/>
      <c r="AO134" s="195"/>
      <c r="AP134" s="874"/>
      <c r="AQ134" s="875"/>
      <c r="AR134" s="875"/>
      <c r="AS134" s="875"/>
      <c r="AT134" s="875"/>
      <c r="AU134" s="875"/>
      <c r="AV134" s="876"/>
      <c r="AW134" s="198"/>
      <c r="AX134" s="201"/>
      <c r="AY134" s="104"/>
    </row>
    <row r="135" spans="1:51" ht="14.4" customHeight="1" x14ac:dyDescent="0.3">
      <c r="A135" s="896"/>
      <c r="B135" s="877" t="s">
        <v>270</v>
      </c>
      <c r="C135" s="202">
        <v>6</v>
      </c>
      <c r="D135" s="202" t="s">
        <v>39</v>
      </c>
      <c r="E135" s="202">
        <v>2020</v>
      </c>
      <c r="F135" s="203" t="s">
        <v>19</v>
      </c>
      <c r="G135" s="480">
        <f t="shared" ref="G135:G137" si="225">1100/1.1422</f>
        <v>963.05375590964798</v>
      </c>
      <c r="H135" s="93">
        <f t="shared" ref="H135:H137" si="226">G135+((I135-G135)/(2030-2020))*(2025-2020)</f>
        <v>792.33059008930127</v>
      </c>
      <c r="I135" s="204">
        <f>710/1.1422</f>
        <v>621.60742426895456</v>
      </c>
      <c r="J135" s="93">
        <f t="shared" ref="J135:J137" si="227">I135+((L135-I135)/(2050-2030))*(2040-2030)</f>
        <v>542.81211696725609</v>
      </c>
      <c r="K135" s="93">
        <f t="shared" ref="K135:K137" si="228">J135+((L135-J135)/(2050-2040))*(2045-2040)</f>
        <v>503.41446331640691</v>
      </c>
      <c r="L135" s="204">
        <f>530/1.1422</f>
        <v>464.01680966555767</v>
      </c>
      <c r="M135" s="95">
        <f t="shared" ref="M135:M137" si="229">K135+((L135-K135)/(2050-2045))*(2060-2045)</f>
        <v>385.2215023638592</v>
      </c>
      <c r="N135" s="93">
        <f t="shared" ref="N135:N138" si="230">G135*0.02*$BC$7</f>
        <v>25.760132408229872</v>
      </c>
      <c r="O135" s="93">
        <f t="shared" ref="O135:O137" si="231">H135*0.02*$BC$7</f>
        <v>21.193563481316392</v>
      </c>
      <c r="P135" s="93">
        <f t="shared" ref="P135:P137" si="232">I135*0.02*$BC$7</f>
        <v>16.626994554402916</v>
      </c>
      <c r="Q135" s="93">
        <f t="shared" ref="Q135:Q137" si="233">J135*0.02*$BC$7</f>
        <v>14.519347357365927</v>
      </c>
      <c r="R135" s="93">
        <f t="shared" ref="R135:R137" si="234">K135*0.02*$BC$7</f>
        <v>13.465523758847434</v>
      </c>
      <c r="S135" s="93">
        <f t="shared" ref="S135:S137" si="235">L135*0.02*$BC$7</f>
        <v>12.411700160328939</v>
      </c>
      <c r="T135" s="93">
        <f t="shared" ref="T135:T137" si="236">M135*0.02*$BC$7</f>
        <v>10.30405296329195</v>
      </c>
      <c r="U135" s="481">
        <f t="shared" ref="U135:U137" si="237">(10/1.1422)*0.001</f>
        <v>8.7550341446331632E-3</v>
      </c>
      <c r="V135" s="286">
        <f t="shared" ref="V135:V137" si="238">U135+((W135-U135)/(2030-2020))*(2025-2020)</f>
        <v>8.7550341446331632E-3</v>
      </c>
      <c r="W135" s="482">
        <f t="shared" ref="W135:W137" si="239">(10/1.1422)*0.001</f>
        <v>8.7550341446331632E-3</v>
      </c>
      <c r="X135" s="286">
        <f t="shared" ref="X135:X137" si="240">W135+((Z135-W135)/(2050-2030))*(2040-2030)</f>
        <v>8.7550341446331632E-3</v>
      </c>
      <c r="Y135" s="286">
        <f t="shared" ref="Y135:Y137" si="241">X135+((Z135-X135)/(2050-2040))*(2045-2040)</f>
        <v>8.7550341446331632E-3</v>
      </c>
      <c r="Z135" s="482">
        <f t="shared" ref="Z135:Z137" si="242">(10/1.1422)*0.001</f>
        <v>8.7550341446331632E-3</v>
      </c>
      <c r="AA135" s="366">
        <f t="shared" ref="AA135:AA137" si="243">Y135+((Z135-Y135)/(2050-2045))*(2060-2045)</f>
        <v>8.7550341446331632E-3</v>
      </c>
      <c r="AB135" s="286"/>
      <c r="AC135" s="286"/>
      <c r="AD135" s="286"/>
      <c r="AE135" s="286"/>
      <c r="AF135" s="286"/>
      <c r="AG135" s="286"/>
      <c r="AH135" s="286"/>
      <c r="AI135" s="205"/>
      <c r="AJ135" s="202"/>
      <c r="AK135" s="202"/>
      <c r="AL135" s="202"/>
      <c r="AM135" s="204"/>
      <c r="AN135" s="202"/>
      <c r="AO135" s="206"/>
      <c r="AP135" s="880">
        <v>1</v>
      </c>
      <c r="AQ135" s="881"/>
      <c r="AR135" s="881"/>
      <c r="AS135" s="881"/>
      <c r="AT135" s="881"/>
      <c r="AU135" s="881"/>
      <c r="AV135" s="882"/>
      <c r="AW135" s="836" t="s">
        <v>292</v>
      </c>
      <c r="AX135" s="837"/>
      <c r="AY135" s="104" t="s">
        <v>307</v>
      </c>
    </row>
    <row r="136" spans="1:51" x14ac:dyDescent="0.3">
      <c r="A136" s="896"/>
      <c r="B136" s="878"/>
      <c r="C136" s="208">
        <v>6</v>
      </c>
      <c r="D136" s="208" t="s">
        <v>39</v>
      </c>
      <c r="E136" s="208">
        <v>2020</v>
      </c>
      <c r="F136" s="203" t="s">
        <v>19</v>
      </c>
      <c r="G136" s="212">
        <f t="shared" si="225"/>
        <v>963.05375590964798</v>
      </c>
      <c r="H136" s="107">
        <f t="shared" si="226"/>
        <v>770.4430047277184</v>
      </c>
      <c r="I136" s="209">
        <f>660/1.1422</f>
        <v>577.83225354578883</v>
      </c>
      <c r="J136" s="107">
        <f t="shared" si="227"/>
        <v>490.28191209945714</v>
      </c>
      <c r="K136" s="107">
        <f t="shared" si="228"/>
        <v>446.5067413762913</v>
      </c>
      <c r="L136" s="209">
        <f>460/1.1422</f>
        <v>402.73157065312552</v>
      </c>
      <c r="M136" s="109">
        <f t="shared" si="229"/>
        <v>315.18122920679394</v>
      </c>
      <c r="N136" s="107">
        <f t="shared" si="230"/>
        <v>25.760132408229872</v>
      </c>
      <c r="O136" s="107">
        <f t="shared" si="231"/>
        <v>20.6081059265839</v>
      </c>
      <c r="P136" s="107">
        <f t="shared" si="232"/>
        <v>15.456079444937924</v>
      </c>
      <c r="Q136" s="107">
        <f t="shared" si="233"/>
        <v>13.114249226007935</v>
      </c>
      <c r="R136" s="107">
        <f t="shared" si="234"/>
        <v>11.943334116542941</v>
      </c>
      <c r="S136" s="107">
        <f t="shared" si="235"/>
        <v>10.772419007077946</v>
      </c>
      <c r="T136" s="109">
        <f t="shared" si="236"/>
        <v>8.4305887881479595</v>
      </c>
      <c r="U136" s="483">
        <f t="shared" si="237"/>
        <v>8.7550341446331632E-3</v>
      </c>
      <c r="V136" s="295">
        <f t="shared" si="238"/>
        <v>8.7550341446331632E-3</v>
      </c>
      <c r="W136" s="484">
        <f t="shared" si="239"/>
        <v>8.7550341446331632E-3</v>
      </c>
      <c r="X136" s="295">
        <f t="shared" si="240"/>
        <v>8.7550341446331632E-3</v>
      </c>
      <c r="Y136" s="295">
        <f t="shared" si="241"/>
        <v>8.7550341446331632E-3</v>
      </c>
      <c r="Z136" s="484">
        <f t="shared" si="242"/>
        <v>8.7550341446331632E-3</v>
      </c>
      <c r="AA136" s="452">
        <f t="shared" si="243"/>
        <v>8.7550341446331632E-3</v>
      </c>
      <c r="AB136" s="1041"/>
      <c r="AC136" s="1041"/>
      <c r="AD136" s="1041"/>
      <c r="AE136" s="1041"/>
      <c r="AF136" s="1041"/>
      <c r="AG136" s="1041"/>
      <c r="AH136" s="1041"/>
      <c r="AI136" s="210"/>
      <c r="AJ136" s="208"/>
      <c r="AK136" s="208"/>
      <c r="AL136" s="208"/>
      <c r="AM136" s="209"/>
      <c r="AN136" s="208"/>
      <c r="AO136" s="211"/>
      <c r="AP136" s="883"/>
      <c r="AQ136" s="884"/>
      <c r="AR136" s="884"/>
      <c r="AS136" s="884"/>
      <c r="AT136" s="884"/>
      <c r="AU136" s="884"/>
      <c r="AV136" s="885"/>
      <c r="AW136" s="824" t="s">
        <v>292</v>
      </c>
      <c r="AX136" s="825"/>
      <c r="AY136" s="104" t="s">
        <v>308</v>
      </c>
    </row>
    <row r="137" spans="1:51" x14ac:dyDescent="0.3">
      <c r="A137" s="896"/>
      <c r="B137" s="878"/>
      <c r="C137" s="208">
        <v>6</v>
      </c>
      <c r="D137" s="208" t="s">
        <v>39</v>
      </c>
      <c r="E137" s="208">
        <v>2020</v>
      </c>
      <c r="F137" s="203" t="s">
        <v>19</v>
      </c>
      <c r="G137" s="212">
        <f t="shared" si="225"/>
        <v>963.05375590964798</v>
      </c>
      <c r="H137" s="107">
        <f t="shared" si="226"/>
        <v>761.68797058308519</v>
      </c>
      <c r="I137" s="209">
        <f>640/1.1422</f>
        <v>560.3221852565224</v>
      </c>
      <c r="J137" s="107">
        <f t="shared" si="227"/>
        <v>472.77184381019083</v>
      </c>
      <c r="K137" s="107">
        <f t="shared" si="228"/>
        <v>428.99667308702499</v>
      </c>
      <c r="L137" s="209">
        <f>440/1.1422</f>
        <v>385.2215023638592</v>
      </c>
      <c r="M137" s="109">
        <f t="shared" si="229"/>
        <v>297.67116091752763</v>
      </c>
      <c r="N137" s="107">
        <f t="shared" si="230"/>
        <v>25.760132408229872</v>
      </c>
      <c r="O137" s="107">
        <f t="shared" si="231"/>
        <v>20.3739229046909</v>
      </c>
      <c r="P137" s="107">
        <f t="shared" si="232"/>
        <v>14.987713401151925</v>
      </c>
      <c r="Q137" s="107">
        <f t="shared" si="233"/>
        <v>12.645883182221938</v>
      </c>
      <c r="R137" s="107">
        <f t="shared" si="234"/>
        <v>11.474968072756944</v>
      </c>
      <c r="S137" s="107">
        <f t="shared" si="235"/>
        <v>10.30405296329195</v>
      </c>
      <c r="T137" s="109">
        <f t="shared" si="236"/>
        <v>7.9622227443619629</v>
      </c>
      <c r="U137" s="483">
        <f t="shared" si="237"/>
        <v>8.7550341446331632E-3</v>
      </c>
      <c r="V137" s="295">
        <f t="shared" si="238"/>
        <v>8.7550341446331632E-3</v>
      </c>
      <c r="W137" s="484">
        <f t="shared" si="239"/>
        <v>8.7550341446331632E-3</v>
      </c>
      <c r="X137" s="295">
        <f t="shared" si="240"/>
        <v>8.7550341446331632E-3</v>
      </c>
      <c r="Y137" s="295">
        <f t="shared" si="241"/>
        <v>8.7550341446331632E-3</v>
      </c>
      <c r="Z137" s="484">
        <f t="shared" si="242"/>
        <v>8.7550341446331632E-3</v>
      </c>
      <c r="AA137" s="452">
        <f t="shared" si="243"/>
        <v>8.7550341446331632E-3</v>
      </c>
      <c r="AB137" s="1041"/>
      <c r="AC137" s="1041"/>
      <c r="AD137" s="1041"/>
      <c r="AE137" s="1041"/>
      <c r="AF137" s="1041"/>
      <c r="AG137" s="1041"/>
      <c r="AH137" s="1041"/>
      <c r="AI137" s="210"/>
      <c r="AJ137" s="208"/>
      <c r="AK137" s="208"/>
      <c r="AL137" s="208"/>
      <c r="AM137" s="209"/>
      <c r="AN137" s="208"/>
      <c r="AO137" s="211"/>
      <c r="AP137" s="883"/>
      <c r="AQ137" s="884"/>
      <c r="AR137" s="884"/>
      <c r="AS137" s="884"/>
      <c r="AT137" s="884"/>
      <c r="AU137" s="884"/>
      <c r="AV137" s="885"/>
      <c r="AW137" s="824" t="s">
        <v>292</v>
      </c>
      <c r="AX137" s="825"/>
      <c r="AY137" s="104" t="s">
        <v>309</v>
      </c>
    </row>
    <row r="138" spans="1:51" x14ac:dyDescent="0.3">
      <c r="A138" s="896"/>
      <c r="B138" s="879"/>
      <c r="C138" s="214">
        <v>13</v>
      </c>
      <c r="D138" s="214" t="s">
        <v>63</v>
      </c>
      <c r="E138" s="214">
        <v>2020</v>
      </c>
      <c r="F138" s="203" t="s">
        <v>19</v>
      </c>
      <c r="G138" s="597">
        <v>1139.56</v>
      </c>
      <c r="H138" s="215"/>
      <c r="I138" s="215"/>
      <c r="J138" s="215"/>
      <c r="K138" s="215"/>
      <c r="L138" s="215"/>
      <c r="M138" s="598"/>
      <c r="N138" s="122">
        <f t="shared" si="230"/>
        <v>30.481389337810224</v>
      </c>
      <c r="O138" s="215"/>
      <c r="P138" s="215"/>
      <c r="Q138" s="215"/>
      <c r="R138" s="215"/>
      <c r="S138" s="215"/>
      <c r="T138" s="598"/>
      <c r="U138" s="486"/>
      <c r="V138" s="487"/>
      <c r="W138" s="487"/>
      <c r="X138" s="487"/>
      <c r="Y138" s="215"/>
      <c r="Z138" s="487"/>
      <c r="AA138" s="598"/>
      <c r="AB138" s="215"/>
      <c r="AC138" s="215"/>
      <c r="AD138" s="215"/>
      <c r="AE138" s="215"/>
      <c r="AF138" s="215"/>
      <c r="AG138" s="215"/>
      <c r="AH138" s="215"/>
      <c r="AI138" s="216"/>
      <c r="AJ138" s="214"/>
      <c r="AK138" s="214"/>
      <c r="AL138" s="214"/>
      <c r="AM138" s="215"/>
      <c r="AN138" s="214"/>
      <c r="AO138" s="598"/>
      <c r="AP138" s="883"/>
      <c r="AQ138" s="884"/>
      <c r="AR138" s="884"/>
      <c r="AS138" s="884"/>
      <c r="AT138" s="884"/>
      <c r="AU138" s="884"/>
      <c r="AV138" s="885"/>
      <c r="AW138" s="912"/>
      <c r="AX138" s="913"/>
      <c r="AY138" s="104"/>
    </row>
    <row r="139" spans="1:51" x14ac:dyDescent="0.3">
      <c r="A139" s="896"/>
      <c r="B139" s="217" t="s">
        <v>267</v>
      </c>
      <c r="C139" s="218"/>
      <c r="D139" s="218"/>
      <c r="E139" s="218"/>
      <c r="F139" s="218"/>
      <c r="G139" s="219">
        <f>MIN(G135:G138)</f>
        <v>963.05375590964798</v>
      </c>
      <c r="H139" s="220">
        <f t="shared" ref="H139:AA139" si="244">MIN(H135:H138)</f>
        <v>761.68797058308519</v>
      </c>
      <c r="I139" s="220">
        <f t="shared" si="244"/>
        <v>560.3221852565224</v>
      </c>
      <c r="J139" s="220">
        <f t="shared" si="244"/>
        <v>472.77184381019083</v>
      </c>
      <c r="K139" s="220">
        <f t="shared" si="244"/>
        <v>428.99667308702499</v>
      </c>
      <c r="L139" s="220">
        <f t="shared" si="244"/>
        <v>385.2215023638592</v>
      </c>
      <c r="M139" s="221">
        <f t="shared" si="244"/>
        <v>297.67116091752763</v>
      </c>
      <c r="N139" s="220">
        <f t="shared" si="244"/>
        <v>25.760132408229872</v>
      </c>
      <c r="O139" s="220">
        <f t="shared" si="244"/>
        <v>20.3739229046909</v>
      </c>
      <c r="P139" s="220">
        <f t="shared" si="244"/>
        <v>14.987713401151925</v>
      </c>
      <c r="Q139" s="220">
        <f t="shared" si="244"/>
        <v>12.645883182221938</v>
      </c>
      <c r="R139" s="220">
        <f t="shared" si="244"/>
        <v>11.474968072756944</v>
      </c>
      <c r="S139" s="220">
        <f t="shared" si="244"/>
        <v>10.30405296329195</v>
      </c>
      <c r="T139" s="221">
        <f t="shared" si="244"/>
        <v>7.9622227443619629</v>
      </c>
      <c r="U139" s="488">
        <f t="shared" si="244"/>
        <v>8.7550341446331632E-3</v>
      </c>
      <c r="V139" s="489">
        <f t="shared" si="244"/>
        <v>8.7550341446331632E-3</v>
      </c>
      <c r="W139" s="489">
        <f t="shared" si="244"/>
        <v>8.7550341446331632E-3</v>
      </c>
      <c r="X139" s="489">
        <f t="shared" si="244"/>
        <v>8.7550341446331632E-3</v>
      </c>
      <c r="Y139" s="489">
        <f t="shared" si="244"/>
        <v>8.7550341446331632E-3</v>
      </c>
      <c r="Z139" s="489">
        <f t="shared" si="244"/>
        <v>8.7550341446331632E-3</v>
      </c>
      <c r="AA139" s="489">
        <f t="shared" si="244"/>
        <v>8.7550341446331632E-3</v>
      </c>
      <c r="AB139" s="489"/>
      <c r="AC139" s="489"/>
      <c r="AD139" s="489"/>
      <c r="AE139" s="489"/>
      <c r="AF139" s="489"/>
      <c r="AG139" s="489"/>
      <c r="AH139" s="489"/>
      <c r="AI139" s="222"/>
      <c r="AJ139" s="218"/>
      <c r="AK139" s="218"/>
      <c r="AL139" s="218"/>
      <c r="AM139" s="220"/>
      <c r="AN139" s="218"/>
      <c r="AO139" s="221"/>
      <c r="AP139" s="865">
        <v>1</v>
      </c>
      <c r="AQ139" s="866"/>
      <c r="AR139" s="866"/>
      <c r="AS139" s="866"/>
      <c r="AT139" s="866"/>
      <c r="AU139" s="866"/>
      <c r="AV139" s="867"/>
      <c r="AW139" s="222"/>
      <c r="AX139" s="223"/>
      <c r="AY139" s="104"/>
    </row>
    <row r="140" spans="1:51" x14ac:dyDescent="0.3">
      <c r="A140" s="896"/>
      <c r="B140" s="224" t="s">
        <v>268</v>
      </c>
      <c r="C140" s="225"/>
      <c r="D140" s="225"/>
      <c r="E140" s="225"/>
      <c r="F140" s="225"/>
      <c r="G140" s="226">
        <f>MEDIAN(G135:G138)</f>
        <v>963.05375590964798</v>
      </c>
      <c r="H140" s="227">
        <f t="shared" ref="H140:AA140" si="245">MEDIAN(H135:H138)</f>
        <v>770.4430047277184</v>
      </c>
      <c r="I140" s="227">
        <f t="shared" si="245"/>
        <v>577.83225354578883</v>
      </c>
      <c r="J140" s="227">
        <f t="shared" si="245"/>
        <v>490.28191209945714</v>
      </c>
      <c r="K140" s="227">
        <f t="shared" si="245"/>
        <v>446.5067413762913</v>
      </c>
      <c r="L140" s="227">
        <f t="shared" si="245"/>
        <v>402.73157065312552</v>
      </c>
      <c r="M140" s="228">
        <f t="shared" si="245"/>
        <v>315.18122920679394</v>
      </c>
      <c r="N140" s="227">
        <f t="shared" si="245"/>
        <v>25.760132408229872</v>
      </c>
      <c r="O140" s="227">
        <f t="shared" si="245"/>
        <v>20.6081059265839</v>
      </c>
      <c r="P140" s="227">
        <f t="shared" si="245"/>
        <v>15.456079444937924</v>
      </c>
      <c r="Q140" s="227">
        <f t="shared" si="245"/>
        <v>13.114249226007935</v>
      </c>
      <c r="R140" s="227">
        <f t="shared" si="245"/>
        <v>11.943334116542941</v>
      </c>
      <c r="S140" s="227">
        <f t="shared" si="245"/>
        <v>10.772419007077946</v>
      </c>
      <c r="T140" s="228">
        <f t="shared" si="245"/>
        <v>8.4305887881479595</v>
      </c>
      <c r="U140" s="492">
        <f t="shared" si="245"/>
        <v>8.7550341446331632E-3</v>
      </c>
      <c r="V140" s="493">
        <f t="shared" si="245"/>
        <v>8.7550341446331632E-3</v>
      </c>
      <c r="W140" s="493">
        <f t="shared" si="245"/>
        <v>8.7550341446331632E-3</v>
      </c>
      <c r="X140" s="493">
        <f t="shared" si="245"/>
        <v>8.7550341446331632E-3</v>
      </c>
      <c r="Y140" s="493">
        <f t="shared" si="245"/>
        <v>8.7550341446331632E-3</v>
      </c>
      <c r="Z140" s="493">
        <f t="shared" si="245"/>
        <v>8.7550341446331632E-3</v>
      </c>
      <c r="AA140" s="493">
        <f t="shared" si="245"/>
        <v>8.7550341446331632E-3</v>
      </c>
      <c r="AB140" s="493"/>
      <c r="AC140" s="493"/>
      <c r="AD140" s="493"/>
      <c r="AE140" s="493"/>
      <c r="AF140" s="493"/>
      <c r="AG140" s="493"/>
      <c r="AH140" s="493"/>
      <c r="AI140" s="229"/>
      <c r="AJ140" s="225"/>
      <c r="AK140" s="225"/>
      <c r="AL140" s="225"/>
      <c r="AM140" s="227"/>
      <c r="AN140" s="225"/>
      <c r="AO140" s="228"/>
      <c r="AP140" s="868"/>
      <c r="AQ140" s="869"/>
      <c r="AR140" s="869"/>
      <c r="AS140" s="869"/>
      <c r="AT140" s="869"/>
      <c r="AU140" s="869"/>
      <c r="AV140" s="870"/>
      <c r="AW140" s="229"/>
      <c r="AX140" s="230"/>
      <c r="AY140" s="104"/>
    </row>
    <row r="141" spans="1:51" x14ac:dyDescent="0.3">
      <c r="A141" s="896"/>
      <c r="B141" s="231" t="s">
        <v>269</v>
      </c>
      <c r="C141" s="232"/>
      <c r="D141" s="232"/>
      <c r="E141" s="232"/>
      <c r="F141" s="232"/>
      <c r="G141" s="599">
        <f>MAX(G135:G138)</f>
        <v>1139.56</v>
      </c>
      <c r="H141" s="233">
        <f t="shared" ref="H141:AA141" si="246">MAX(H135:H138)</f>
        <v>792.33059008930127</v>
      </c>
      <c r="I141" s="233">
        <f t="shared" si="246"/>
        <v>621.60742426895456</v>
      </c>
      <c r="J141" s="233">
        <f t="shared" si="246"/>
        <v>542.81211696725609</v>
      </c>
      <c r="K141" s="233">
        <f t="shared" si="246"/>
        <v>503.41446331640691</v>
      </c>
      <c r="L141" s="233">
        <f t="shared" si="246"/>
        <v>464.01680966555767</v>
      </c>
      <c r="M141" s="600">
        <f t="shared" si="246"/>
        <v>385.2215023638592</v>
      </c>
      <c r="N141" s="233">
        <f t="shared" si="246"/>
        <v>30.481389337810224</v>
      </c>
      <c r="O141" s="233">
        <f t="shared" si="246"/>
        <v>21.193563481316392</v>
      </c>
      <c r="P141" s="233">
        <f t="shared" si="246"/>
        <v>16.626994554402916</v>
      </c>
      <c r="Q141" s="233">
        <f t="shared" si="246"/>
        <v>14.519347357365927</v>
      </c>
      <c r="R141" s="233">
        <f t="shared" si="246"/>
        <v>13.465523758847434</v>
      </c>
      <c r="S141" s="233">
        <f t="shared" si="246"/>
        <v>12.411700160328939</v>
      </c>
      <c r="T141" s="600">
        <f t="shared" si="246"/>
        <v>10.30405296329195</v>
      </c>
      <c r="U141" s="496">
        <f t="shared" si="246"/>
        <v>8.7550341446331632E-3</v>
      </c>
      <c r="V141" s="497">
        <f t="shared" si="246"/>
        <v>8.7550341446331632E-3</v>
      </c>
      <c r="W141" s="497">
        <f t="shared" si="246"/>
        <v>8.7550341446331632E-3</v>
      </c>
      <c r="X141" s="497">
        <f t="shared" si="246"/>
        <v>8.7550341446331632E-3</v>
      </c>
      <c r="Y141" s="497">
        <f t="shared" si="246"/>
        <v>8.7550341446331632E-3</v>
      </c>
      <c r="Z141" s="497">
        <f t="shared" si="246"/>
        <v>8.7550341446331632E-3</v>
      </c>
      <c r="AA141" s="497">
        <f t="shared" si="246"/>
        <v>8.7550341446331632E-3</v>
      </c>
      <c r="AB141" s="497"/>
      <c r="AC141" s="497"/>
      <c r="AD141" s="497"/>
      <c r="AE141" s="497"/>
      <c r="AF141" s="497"/>
      <c r="AG141" s="497"/>
      <c r="AH141" s="497"/>
      <c r="AI141" s="234"/>
      <c r="AJ141" s="232"/>
      <c r="AK141" s="232"/>
      <c r="AL141" s="232"/>
      <c r="AM141" s="233"/>
      <c r="AN141" s="232"/>
      <c r="AO141" s="600"/>
      <c r="AP141" s="868"/>
      <c r="AQ141" s="869"/>
      <c r="AR141" s="869"/>
      <c r="AS141" s="869"/>
      <c r="AT141" s="869"/>
      <c r="AU141" s="869"/>
      <c r="AV141" s="870"/>
      <c r="AW141" s="234"/>
      <c r="AX141" s="235"/>
      <c r="AY141" s="104"/>
    </row>
    <row r="142" spans="1:51" x14ac:dyDescent="0.3">
      <c r="A142" s="896"/>
      <c r="B142" s="601" t="s">
        <v>20</v>
      </c>
      <c r="C142" s="432">
        <v>13</v>
      </c>
      <c r="D142" s="430" t="s">
        <v>63</v>
      </c>
      <c r="E142" s="430">
        <v>2020</v>
      </c>
      <c r="F142" s="602" t="s">
        <v>19</v>
      </c>
      <c r="G142" s="238">
        <f>2169.29</f>
        <v>2169.29</v>
      </c>
      <c r="H142" s="239"/>
      <c r="I142" s="239"/>
      <c r="J142" s="239"/>
      <c r="K142" s="239"/>
      <c r="L142" s="239"/>
      <c r="M142" s="241"/>
      <c r="N142" s="122">
        <f t="shared" ref="N142:N145" si="247">G142*0.02*$BC$7</f>
        <v>58.025003577361737</v>
      </c>
      <c r="O142" s="429"/>
      <c r="P142" s="429"/>
      <c r="Q142" s="429"/>
      <c r="R142" s="239"/>
      <c r="S142" s="429"/>
      <c r="T142" s="241"/>
      <c r="U142" s="603"/>
      <c r="V142" s="604"/>
      <c r="W142" s="604"/>
      <c r="X142" s="604"/>
      <c r="Y142" s="239"/>
      <c r="Z142" s="604"/>
      <c r="AA142" s="241"/>
      <c r="AB142" s="239"/>
      <c r="AC142" s="239"/>
      <c r="AD142" s="239"/>
      <c r="AE142" s="239"/>
      <c r="AF142" s="239"/>
      <c r="AG142" s="239"/>
      <c r="AH142" s="239"/>
      <c r="AI142" s="432"/>
      <c r="AJ142" s="430"/>
      <c r="AK142" s="430"/>
      <c r="AL142" s="430"/>
      <c r="AM142" s="239"/>
      <c r="AN142" s="430"/>
      <c r="AO142" s="241"/>
      <c r="AP142" s="838">
        <v>1</v>
      </c>
      <c r="AQ142" s="839"/>
      <c r="AR142" s="839"/>
      <c r="AS142" s="839"/>
      <c r="AT142" s="839"/>
      <c r="AU142" s="839"/>
      <c r="AV142" s="840"/>
      <c r="AW142" s="432"/>
      <c r="AX142" s="605"/>
      <c r="AY142" s="104"/>
    </row>
    <row r="143" spans="1:51" x14ac:dyDescent="0.3">
      <c r="A143" s="896"/>
      <c r="B143" s="841" t="s">
        <v>24</v>
      </c>
      <c r="C143" s="290">
        <v>6</v>
      </c>
      <c r="D143" s="290" t="s">
        <v>39</v>
      </c>
      <c r="E143" s="290">
        <v>2020</v>
      </c>
      <c r="F143" s="507" t="s">
        <v>19</v>
      </c>
      <c r="G143" s="508">
        <f t="shared" ref="G143:G145" si="248">(2100)/1.1422</f>
        <v>1838.5571703729643</v>
      </c>
      <c r="H143" s="93">
        <f t="shared" ref="H143:H145" si="249">G143+((I143-G143)/(2030-2020))*(2025-2020)</f>
        <v>1838.5571703729643</v>
      </c>
      <c r="I143" s="281">
        <f t="shared" ref="I143:I145" si="250">(2100)/1.1422</f>
        <v>1838.5571703729643</v>
      </c>
      <c r="J143" s="93">
        <f t="shared" ref="J143:J145" si="251">I143+((L143-I143)/(2050-2030))*(2040-2030)</f>
        <v>1838.5571703729643</v>
      </c>
      <c r="K143" s="93">
        <f t="shared" ref="K143:K145" si="252">J143+((L143-J143)/(2050-2040))*(2045-2040)</f>
        <v>1838.5571703729643</v>
      </c>
      <c r="L143" s="281">
        <f t="shared" ref="L143:L145" si="253">(2100)/1.1422</f>
        <v>1838.5571703729643</v>
      </c>
      <c r="M143" s="95">
        <f t="shared" ref="M143:M145" si="254">K143+((L143-K143)/(2050-2045))*(2060-2045)</f>
        <v>1838.5571703729643</v>
      </c>
      <c r="N143" s="93">
        <f t="shared" si="247"/>
        <v>49.178434597529751</v>
      </c>
      <c r="O143" s="93">
        <f t="shared" ref="O143:O145" si="255">H143*0.02*$BC$7</f>
        <v>49.178434597529751</v>
      </c>
      <c r="P143" s="93">
        <f t="shared" ref="P143:P145" si="256">I143*0.02*$BC$7</f>
        <v>49.178434597529751</v>
      </c>
      <c r="Q143" s="93">
        <f t="shared" ref="Q143:Q145" si="257">J143*0.02*$BC$7</f>
        <v>49.178434597529751</v>
      </c>
      <c r="R143" s="93">
        <f t="shared" ref="R143:R145" si="258">K143*0.02*$BC$7</f>
        <v>49.178434597529751</v>
      </c>
      <c r="S143" s="93">
        <f t="shared" ref="S143:S145" si="259">L143*0.02*$BC$7</f>
        <v>49.178434597529751</v>
      </c>
      <c r="T143" s="93">
        <f t="shared" ref="T143:T145" si="260">M143*0.02*$BC$7</f>
        <v>49.178434597529751</v>
      </c>
      <c r="U143" s="284">
        <f>(25)/1.1422*0.001</f>
        <v>2.1887585361582907E-2</v>
      </c>
      <c r="V143" s="286">
        <f t="shared" ref="V143:V145" si="261">U143+((W143-U143)/(2030-2020))*(2025-2020)</f>
        <v>2.1887585361582907E-2</v>
      </c>
      <c r="W143" s="285">
        <f>(25)/1.1422*0.001</f>
        <v>2.1887585361582907E-2</v>
      </c>
      <c r="X143" s="286">
        <f t="shared" ref="X143:X145" si="262">W143+((Z143-W143)/(2050-2030))*(2040-2030)</f>
        <v>2.1887585361582907E-2</v>
      </c>
      <c r="Y143" s="286">
        <f t="shared" ref="Y143:Y145" si="263">X143+((Z143-X143)/(2050-2040))*(2045-2040)</f>
        <v>2.1887585361582907E-2</v>
      </c>
      <c r="Z143" s="285">
        <f>(25)/1.1422*0.001</f>
        <v>2.1887585361582907E-2</v>
      </c>
      <c r="AA143" s="366">
        <f t="shared" ref="AA143:AA145" si="264">Y143+((Z143-Y143)/(2050-2045))*(2060-2045)</f>
        <v>2.1887585361582907E-2</v>
      </c>
      <c r="AB143" s="286"/>
      <c r="AC143" s="286"/>
      <c r="AD143" s="286"/>
      <c r="AE143" s="286"/>
      <c r="AF143" s="286"/>
      <c r="AG143" s="286"/>
      <c r="AH143" s="286"/>
      <c r="AI143" s="278"/>
      <c r="AJ143" s="279"/>
      <c r="AK143" s="279"/>
      <c r="AL143" s="279"/>
      <c r="AM143" s="281"/>
      <c r="AN143" s="279"/>
      <c r="AO143" s="509"/>
      <c r="AP143" s="281"/>
      <c r="AQ143" s="281"/>
      <c r="AR143" s="281"/>
      <c r="AS143" s="281"/>
      <c r="AT143" s="281"/>
      <c r="AU143" s="281"/>
      <c r="AV143" s="509"/>
      <c r="AW143" s="278"/>
      <c r="AX143" s="7"/>
      <c r="AY143" s="104" t="s">
        <v>296</v>
      </c>
    </row>
    <row r="144" spans="1:51" x14ac:dyDescent="0.3">
      <c r="A144" s="896"/>
      <c r="B144" s="842"/>
      <c r="C144" s="290">
        <v>6</v>
      </c>
      <c r="D144" s="290" t="s">
        <v>39</v>
      </c>
      <c r="E144" s="290">
        <v>2020</v>
      </c>
      <c r="F144" s="507" t="s">
        <v>19</v>
      </c>
      <c r="G144" s="510">
        <f t="shared" si="248"/>
        <v>1838.5571703729643</v>
      </c>
      <c r="H144" s="107">
        <f t="shared" si="249"/>
        <v>1838.5571703729643</v>
      </c>
      <c r="I144" s="282">
        <f t="shared" si="250"/>
        <v>1838.5571703729643</v>
      </c>
      <c r="J144" s="107">
        <f t="shared" si="251"/>
        <v>1838.5571703729643</v>
      </c>
      <c r="K144" s="107">
        <f t="shared" si="252"/>
        <v>1838.5571703729643</v>
      </c>
      <c r="L144" s="282">
        <f t="shared" si="253"/>
        <v>1838.5571703729643</v>
      </c>
      <c r="M144" s="109">
        <f t="shared" si="254"/>
        <v>1838.5571703729643</v>
      </c>
      <c r="N144" s="107">
        <f t="shared" si="247"/>
        <v>49.178434597529751</v>
      </c>
      <c r="O144" s="107">
        <f t="shared" si="255"/>
        <v>49.178434597529751</v>
      </c>
      <c r="P144" s="107">
        <f t="shared" si="256"/>
        <v>49.178434597529751</v>
      </c>
      <c r="Q144" s="107">
        <f t="shared" si="257"/>
        <v>49.178434597529751</v>
      </c>
      <c r="R144" s="107">
        <f t="shared" si="258"/>
        <v>49.178434597529751</v>
      </c>
      <c r="S144" s="107">
        <f t="shared" si="259"/>
        <v>49.178434597529751</v>
      </c>
      <c r="T144" s="109">
        <f t="shared" si="260"/>
        <v>49.178434597529751</v>
      </c>
      <c r="U144" s="293">
        <f t="shared" ref="U144:U145" si="265">(65*0.001)/1.1422</f>
        <v>5.6907721940115563E-2</v>
      </c>
      <c r="V144" s="295">
        <f t="shared" si="261"/>
        <v>8.3172824374015047E-2</v>
      </c>
      <c r="W144" s="294">
        <f t="shared" ref="W144:W145" si="266">(125*0.001)/1.1422</f>
        <v>0.10943792680791455</v>
      </c>
      <c r="X144" s="295">
        <f t="shared" si="262"/>
        <v>0.12257047802486429</v>
      </c>
      <c r="Y144" s="295">
        <f t="shared" si="263"/>
        <v>0.12913675363333915</v>
      </c>
      <c r="Z144" s="294">
        <f t="shared" ref="Z144:Z145" si="267">(155*0.001)/1.1422</f>
        <v>0.13570302924181402</v>
      </c>
      <c r="AA144" s="452">
        <f t="shared" si="264"/>
        <v>0.14883558045876374</v>
      </c>
      <c r="AB144" s="1041"/>
      <c r="AC144" s="1041"/>
      <c r="AD144" s="1041"/>
      <c r="AE144" s="1041"/>
      <c r="AF144" s="1041"/>
      <c r="AG144" s="1041"/>
      <c r="AH144" s="1041"/>
      <c r="AI144" s="289"/>
      <c r="AJ144" s="290"/>
      <c r="AK144" s="290"/>
      <c r="AL144" s="290"/>
      <c r="AM144" s="282"/>
      <c r="AN144" s="290"/>
      <c r="AO144" s="298"/>
      <c r="AP144" s="282"/>
      <c r="AQ144" s="282"/>
      <c r="AR144" s="282"/>
      <c r="AS144" s="282"/>
      <c r="AT144" s="282"/>
      <c r="AU144" s="282"/>
      <c r="AV144" s="298"/>
      <c r="AW144" s="289"/>
      <c r="AX144" s="11"/>
      <c r="AY144" s="104" t="s">
        <v>297</v>
      </c>
    </row>
    <row r="145" spans="1:51" x14ac:dyDescent="0.3">
      <c r="A145" s="896"/>
      <c r="B145" s="843"/>
      <c r="C145" s="300">
        <v>6</v>
      </c>
      <c r="D145" s="300" t="s">
        <v>39</v>
      </c>
      <c r="E145" s="300">
        <v>2020</v>
      </c>
      <c r="F145" s="507" t="s">
        <v>19</v>
      </c>
      <c r="G145" s="512">
        <f t="shared" si="248"/>
        <v>1838.5571703729643</v>
      </c>
      <c r="H145" s="122">
        <f t="shared" si="249"/>
        <v>1838.5571703729643</v>
      </c>
      <c r="I145" s="302">
        <f t="shared" si="250"/>
        <v>1838.5571703729643</v>
      </c>
      <c r="J145" s="122">
        <f t="shared" si="251"/>
        <v>1838.5571703729643</v>
      </c>
      <c r="K145" s="122">
        <f t="shared" si="252"/>
        <v>1838.5571703729643</v>
      </c>
      <c r="L145" s="302">
        <f t="shared" si="253"/>
        <v>1838.5571703729643</v>
      </c>
      <c r="M145" s="303">
        <f t="shared" si="254"/>
        <v>1838.5571703729643</v>
      </c>
      <c r="N145" s="107">
        <f t="shared" si="247"/>
        <v>49.178434597529751</v>
      </c>
      <c r="O145" s="107">
        <f t="shared" si="255"/>
        <v>49.178434597529751</v>
      </c>
      <c r="P145" s="107">
        <f t="shared" si="256"/>
        <v>49.178434597529751</v>
      </c>
      <c r="Q145" s="107">
        <f t="shared" si="257"/>
        <v>49.178434597529751</v>
      </c>
      <c r="R145" s="107">
        <f t="shared" si="258"/>
        <v>49.178434597529751</v>
      </c>
      <c r="S145" s="107">
        <f t="shared" si="259"/>
        <v>49.178434597529751</v>
      </c>
      <c r="T145" s="109">
        <f t="shared" si="260"/>
        <v>49.178434597529751</v>
      </c>
      <c r="U145" s="304">
        <f t="shared" si="265"/>
        <v>5.6907721940115563E-2</v>
      </c>
      <c r="V145" s="305">
        <f t="shared" si="261"/>
        <v>8.3172824374015047E-2</v>
      </c>
      <c r="W145" s="513">
        <f t="shared" si="266"/>
        <v>0.10943792680791455</v>
      </c>
      <c r="X145" s="305">
        <f t="shared" si="262"/>
        <v>0.12257047802486429</v>
      </c>
      <c r="Y145" s="305">
        <f t="shared" si="263"/>
        <v>0.12913675363333915</v>
      </c>
      <c r="Z145" s="513">
        <f t="shared" si="267"/>
        <v>0.13570302924181402</v>
      </c>
      <c r="AA145" s="514">
        <f t="shared" si="264"/>
        <v>0.14883558045876374</v>
      </c>
      <c r="AB145" s="305"/>
      <c r="AC145" s="305"/>
      <c r="AD145" s="305"/>
      <c r="AE145" s="305"/>
      <c r="AF145" s="305"/>
      <c r="AG145" s="305"/>
      <c r="AH145" s="305"/>
      <c r="AI145" s="299"/>
      <c r="AJ145" s="300"/>
      <c r="AK145" s="300"/>
      <c r="AL145" s="300"/>
      <c r="AM145" s="302"/>
      <c r="AN145" s="300"/>
      <c r="AO145" s="309"/>
      <c r="AP145" s="302"/>
      <c r="AQ145" s="302"/>
      <c r="AR145" s="302"/>
      <c r="AS145" s="302"/>
      <c r="AT145" s="302"/>
      <c r="AU145" s="302"/>
      <c r="AV145" s="309"/>
      <c r="AW145" s="299"/>
      <c r="AX145" s="18"/>
      <c r="AY145" s="104" t="s">
        <v>298</v>
      </c>
    </row>
    <row r="146" spans="1:51" x14ac:dyDescent="0.3">
      <c r="A146" s="896"/>
      <c r="B146" s="310" t="s">
        <v>267</v>
      </c>
      <c r="C146" s="318"/>
      <c r="D146" s="318"/>
      <c r="E146" s="318"/>
      <c r="F146" s="318"/>
      <c r="G146" s="323">
        <f>MIN(G143:G145)</f>
        <v>1838.5571703729643</v>
      </c>
      <c r="H146" s="324">
        <f t="shared" ref="H146:AA146" si="268">MIN(H143:H145)</f>
        <v>1838.5571703729643</v>
      </c>
      <c r="I146" s="324">
        <f t="shared" si="268"/>
        <v>1838.5571703729643</v>
      </c>
      <c r="J146" s="324">
        <f t="shared" si="268"/>
        <v>1838.5571703729643</v>
      </c>
      <c r="K146" s="324">
        <f t="shared" si="268"/>
        <v>1838.5571703729643</v>
      </c>
      <c r="L146" s="324">
        <f t="shared" si="268"/>
        <v>1838.5571703729643</v>
      </c>
      <c r="M146" s="325">
        <f t="shared" si="268"/>
        <v>1838.5571703729643</v>
      </c>
      <c r="N146" s="312">
        <f t="shared" si="268"/>
        <v>49.178434597529751</v>
      </c>
      <c r="O146" s="313">
        <f t="shared" si="268"/>
        <v>49.178434597529751</v>
      </c>
      <c r="P146" s="313">
        <f t="shared" si="268"/>
        <v>49.178434597529751</v>
      </c>
      <c r="Q146" s="313">
        <f t="shared" si="268"/>
        <v>49.178434597529751</v>
      </c>
      <c r="R146" s="313">
        <f t="shared" si="268"/>
        <v>49.178434597529751</v>
      </c>
      <c r="S146" s="313">
        <f t="shared" si="268"/>
        <v>49.178434597529751</v>
      </c>
      <c r="T146" s="314">
        <f t="shared" si="268"/>
        <v>49.178434597529751</v>
      </c>
      <c r="U146" s="326">
        <f t="shared" si="268"/>
        <v>2.1887585361582907E-2</v>
      </c>
      <c r="V146" s="327">
        <f t="shared" si="268"/>
        <v>2.1887585361582907E-2</v>
      </c>
      <c r="W146" s="327">
        <f t="shared" si="268"/>
        <v>2.1887585361582907E-2</v>
      </c>
      <c r="X146" s="327">
        <f t="shared" si="268"/>
        <v>2.1887585361582907E-2</v>
      </c>
      <c r="Y146" s="327">
        <f t="shared" si="268"/>
        <v>2.1887585361582907E-2</v>
      </c>
      <c r="Z146" s="327">
        <f t="shared" si="268"/>
        <v>2.1887585361582907E-2</v>
      </c>
      <c r="AA146" s="327">
        <f t="shared" si="268"/>
        <v>2.1887585361582907E-2</v>
      </c>
      <c r="AB146" s="327"/>
      <c r="AC146" s="327"/>
      <c r="AD146" s="327"/>
      <c r="AE146" s="327"/>
      <c r="AF146" s="327"/>
      <c r="AG146" s="327"/>
      <c r="AH146" s="327"/>
      <c r="AI146" s="317"/>
      <c r="AJ146" s="318"/>
      <c r="AK146" s="318"/>
      <c r="AL146" s="318"/>
      <c r="AM146" s="324"/>
      <c r="AN146" s="318"/>
      <c r="AO146" s="325"/>
      <c r="AP146" s="313"/>
      <c r="AQ146" s="313"/>
      <c r="AR146" s="313"/>
      <c r="AS146" s="313"/>
      <c r="AT146" s="324"/>
      <c r="AU146" s="313"/>
      <c r="AV146" s="325"/>
      <c r="AW146" s="317"/>
      <c r="AX146" s="321"/>
      <c r="AY146" s="104"/>
    </row>
    <row r="147" spans="1:51" x14ac:dyDescent="0.3">
      <c r="A147" s="896"/>
      <c r="B147" s="322" t="s">
        <v>268</v>
      </c>
      <c r="C147" s="311"/>
      <c r="D147" s="311"/>
      <c r="E147" s="311"/>
      <c r="F147" s="311"/>
      <c r="G147" s="323">
        <f>MEDIAN(G143:G145)</f>
        <v>1838.5571703729643</v>
      </c>
      <c r="H147" s="324">
        <f t="shared" ref="H147:AA147" si="269">MEDIAN(H143:H145)</f>
        <v>1838.5571703729643</v>
      </c>
      <c r="I147" s="324">
        <f t="shared" si="269"/>
        <v>1838.5571703729643</v>
      </c>
      <c r="J147" s="324">
        <f t="shared" si="269"/>
        <v>1838.5571703729643</v>
      </c>
      <c r="K147" s="324">
        <f t="shared" si="269"/>
        <v>1838.5571703729643</v>
      </c>
      <c r="L147" s="324">
        <f t="shared" si="269"/>
        <v>1838.5571703729643</v>
      </c>
      <c r="M147" s="325">
        <f t="shared" si="269"/>
        <v>1838.5571703729643</v>
      </c>
      <c r="N147" s="323">
        <f t="shared" si="269"/>
        <v>49.178434597529751</v>
      </c>
      <c r="O147" s="324">
        <f t="shared" si="269"/>
        <v>49.178434597529751</v>
      </c>
      <c r="P147" s="324">
        <f t="shared" si="269"/>
        <v>49.178434597529751</v>
      </c>
      <c r="Q147" s="324">
        <f t="shared" si="269"/>
        <v>49.178434597529751</v>
      </c>
      <c r="R147" s="324">
        <f t="shared" si="269"/>
        <v>49.178434597529751</v>
      </c>
      <c r="S147" s="324">
        <f t="shared" si="269"/>
        <v>49.178434597529751</v>
      </c>
      <c r="T147" s="325">
        <f t="shared" si="269"/>
        <v>49.178434597529751</v>
      </c>
      <c r="U147" s="326">
        <f t="shared" si="269"/>
        <v>5.6907721940115563E-2</v>
      </c>
      <c r="V147" s="327">
        <f t="shared" si="269"/>
        <v>8.3172824374015047E-2</v>
      </c>
      <c r="W147" s="327">
        <f t="shared" si="269"/>
        <v>0.10943792680791455</v>
      </c>
      <c r="X147" s="327">
        <f t="shared" si="269"/>
        <v>0.12257047802486429</v>
      </c>
      <c r="Y147" s="327">
        <f t="shared" si="269"/>
        <v>0.12913675363333915</v>
      </c>
      <c r="Z147" s="327">
        <f t="shared" si="269"/>
        <v>0.13570302924181402</v>
      </c>
      <c r="AA147" s="327">
        <f t="shared" si="269"/>
        <v>0.14883558045876374</v>
      </c>
      <c r="AB147" s="327"/>
      <c r="AC147" s="327"/>
      <c r="AD147" s="327"/>
      <c r="AE147" s="327"/>
      <c r="AF147" s="327"/>
      <c r="AG147" s="327"/>
      <c r="AH147" s="327"/>
      <c r="AI147" s="328"/>
      <c r="AJ147" s="311"/>
      <c r="AK147" s="311"/>
      <c r="AL147" s="311"/>
      <c r="AM147" s="324"/>
      <c r="AN147" s="311"/>
      <c r="AO147" s="325"/>
      <c r="AP147" s="324"/>
      <c r="AQ147" s="324"/>
      <c r="AR147" s="324"/>
      <c r="AS147" s="324"/>
      <c r="AT147" s="324"/>
      <c r="AU147" s="324"/>
      <c r="AV147" s="325"/>
      <c r="AW147" s="328"/>
      <c r="AX147" s="331"/>
      <c r="AY147" s="104"/>
    </row>
    <row r="148" spans="1:51" x14ac:dyDescent="0.3">
      <c r="A148" s="896"/>
      <c r="B148" s="332" t="s">
        <v>269</v>
      </c>
      <c r="C148" s="333"/>
      <c r="D148" s="333"/>
      <c r="E148" s="333"/>
      <c r="F148" s="333"/>
      <c r="G148" s="334">
        <f>MAX(G143:G145)</f>
        <v>1838.5571703729643</v>
      </c>
      <c r="H148" s="335">
        <f t="shared" ref="H148:AA148" si="270">MAX(H143:H145)</f>
        <v>1838.5571703729643</v>
      </c>
      <c r="I148" s="335">
        <f t="shared" si="270"/>
        <v>1838.5571703729643</v>
      </c>
      <c r="J148" s="335">
        <f t="shared" si="270"/>
        <v>1838.5571703729643</v>
      </c>
      <c r="K148" s="335">
        <f t="shared" si="270"/>
        <v>1838.5571703729643</v>
      </c>
      <c r="L148" s="335">
        <f t="shared" si="270"/>
        <v>1838.5571703729643</v>
      </c>
      <c r="M148" s="336">
        <f t="shared" si="270"/>
        <v>1838.5571703729643</v>
      </c>
      <c r="N148" s="334">
        <f t="shared" si="270"/>
        <v>49.178434597529751</v>
      </c>
      <c r="O148" s="335">
        <f t="shared" si="270"/>
        <v>49.178434597529751</v>
      </c>
      <c r="P148" s="335">
        <f t="shared" si="270"/>
        <v>49.178434597529751</v>
      </c>
      <c r="Q148" s="335">
        <f t="shared" si="270"/>
        <v>49.178434597529751</v>
      </c>
      <c r="R148" s="335">
        <f t="shared" si="270"/>
        <v>49.178434597529751</v>
      </c>
      <c r="S148" s="335">
        <f t="shared" si="270"/>
        <v>49.178434597529751</v>
      </c>
      <c r="T148" s="336">
        <f t="shared" si="270"/>
        <v>49.178434597529751</v>
      </c>
      <c r="U148" s="337">
        <f t="shared" si="270"/>
        <v>5.6907721940115563E-2</v>
      </c>
      <c r="V148" s="338">
        <f t="shared" si="270"/>
        <v>8.3172824374015047E-2</v>
      </c>
      <c r="W148" s="338">
        <f t="shared" si="270"/>
        <v>0.10943792680791455</v>
      </c>
      <c r="X148" s="338">
        <f t="shared" si="270"/>
        <v>0.12257047802486429</v>
      </c>
      <c r="Y148" s="338">
        <f t="shared" si="270"/>
        <v>0.12913675363333915</v>
      </c>
      <c r="Z148" s="338">
        <f t="shared" si="270"/>
        <v>0.13570302924181402</v>
      </c>
      <c r="AA148" s="338">
        <f t="shared" si="270"/>
        <v>0.14883558045876374</v>
      </c>
      <c r="AB148" s="338"/>
      <c r="AC148" s="338"/>
      <c r="AD148" s="338"/>
      <c r="AE148" s="338"/>
      <c r="AF148" s="338"/>
      <c r="AG148" s="338"/>
      <c r="AH148" s="338"/>
      <c r="AI148" s="339"/>
      <c r="AJ148" s="333"/>
      <c r="AK148" s="333"/>
      <c r="AL148" s="333"/>
      <c r="AM148" s="335"/>
      <c r="AN148" s="333"/>
      <c r="AO148" s="336"/>
      <c r="AP148" s="335"/>
      <c r="AQ148" s="335"/>
      <c r="AR148" s="335"/>
      <c r="AS148" s="335"/>
      <c r="AT148" s="335"/>
      <c r="AU148" s="335"/>
      <c r="AV148" s="336"/>
      <c r="AW148" s="339"/>
      <c r="AX148" s="342"/>
      <c r="AY148" s="104"/>
    </row>
    <row r="149" spans="1:51" x14ac:dyDescent="0.3">
      <c r="A149" s="896"/>
      <c r="B149" s="844" t="s">
        <v>29</v>
      </c>
      <c r="C149" s="344">
        <v>6</v>
      </c>
      <c r="D149" s="344" t="s">
        <v>39</v>
      </c>
      <c r="E149" s="344">
        <v>2020</v>
      </c>
      <c r="F149" s="345" t="s">
        <v>19</v>
      </c>
      <c r="G149" s="516">
        <f t="shared" ref="G149:G151" si="271">(5000)/1.1422</f>
        <v>4377.517072316582</v>
      </c>
      <c r="H149" s="93">
        <f t="shared" ref="H149:H151" si="272">G149+((I149-G149)/(2030-2020))*(2025-2020)</f>
        <v>4289.9667308702501</v>
      </c>
      <c r="I149" s="517">
        <f t="shared" ref="I149:I151" si="273">(4800)/1.1422</f>
        <v>4202.4163894239182</v>
      </c>
      <c r="J149" s="93">
        <f t="shared" ref="J149:J151" si="274">I149+((L149-I149)/(2050-2030))*(2040-2030)</f>
        <v>4071.0908772544208</v>
      </c>
      <c r="K149" s="93">
        <f t="shared" ref="K149:K151" si="275">J149+((L149-J149)/(2050-2040))*(2045-2040)</f>
        <v>4005.4281211696721</v>
      </c>
      <c r="L149" s="517">
        <f t="shared" ref="L149:L151" si="276">(4500)/1.1422</f>
        <v>3939.7653650849234</v>
      </c>
      <c r="M149" s="95">
        <f t="shared" ref="M149:M151" si="277">K149+((L149-K149)/(2050-2045))*(2060-2045)</f>
        <v>3808.4398529154259</v>
      </c>
      <c r="N149" s="93">
        <f t="shared" ref="N149:N152" si="278">G149*0.02*$BC$7</f>
        <v>117.09151094649943</v>
      </c>
      <c r="O149" s="93">
        <f t="shared" ref="O149:O151" si="279">H149*0.02*$BC$7</f>
        <v>114.74968072756944</v>
      </c>
      <c r="P149" s="93">
        <f t="shared" ref="P149:P151" si="280">I149*0.02*$BC$7</f>
        <v>112.40785050863943</v>
      </c>
      <c r="Q149" s="93">
        <f t="shared" ref="Q149:Q151" si="281">J149*0.02*$BC$7</f>
        <v>108.89510518024446</v>
      </c>
      <c r="R149" s="93">
        <f t="shared" ref="R149:R151" si="282">K149*0.02*$BC$7</f>
        <v>107.13873251604696</v>
      </c>
      <c r="S149" s="93">
        <f t="shared" ref="S149:S151" si="283">L149*0.02*$BC$7</f>
        <v>105.38235985184947</v>
      </c>
      <c r="T149" s="93">
        <f t="shared" ref="T149:T151" si="284">M149*0.02*$BC$7</f>
        <v>101.8696145234545</v>
      </c>
      <c r="U149" s="518">
        <f t="shared" ref="U149:U151" si="285">(30*0.001)/1.1422</f>
        <v>2.6265102433899488E-2</v>
      </c>
      <c r="V149" s="286">
        <f t="shared" ref="V149:V151" si="286">U149+((W149-U149)/(2030-2020))*(2025-2020)</f>
        <v>2.6265102433899488E-2</v>
      </c>
      <c r="W149" s="519">
        <f t="shared" ref="W149:W151" si="287">(30*0.001)/1.1422</f>
        <v>2.6265102433899488E-2</v>
      </c>
      <c r="X149" s="286">
        <f t="shared" ref="X149:X151" si="288">W149+((Z149-W149)/(2050-2030))*(2040-2030)</f>
        <v>2.6265102433899488E-2</v>
      </c>
      <c r="Y149" s="286">
        <f t="shared" ref="Y149:Y151" si="289">X149+((Z149-X149)/(2050-2040))*(2045-2040)</f>
        <v>2.6265102433899488E-2</v>
      </c>
      <c r="Z149" s="519">
        <f t="shared" ref="Z149:Z151" si="290">(30*0.001)/1.1422</f>
        <v>2.6265102433899488E-2</v>
      </c>
      <c r="AA149" s="366">
        <f t="shared" ref="AA149:AA151" si="291">Y149+((Z149-Y149)/(2050-2045))*(2060-2045)</f>
        <v>2.6265102433899488E-2</v>
      </c>
      <c r="AB149" s="286"/>
      <c r="AC149" s="286"/>
      <c r="AD149" s="286"/>
      <c r="AE149" s="286"/>
      <c r="AF149" s="286"/>
      <c r="AG149" s="286"/>
      <c r="AH149" s="286"/>
      <c r="AI149" s="520"/>
      <c r="AJ149" s="344"/>
      <c r="AK149" s="344"/>
      <c r="AL149" s="344"/>
      <c r="AM149" s="517"/>
      <c r="AN149" s="344"/>
      <c r="AO149" s="521"/>
      <c r="AP149" s="517"/>
      <c r="AQ149" s="517"/>
      <c r="AR149" s="517"/>
      <c r="AS149" s="517"/>
      <c r="AT149" s="517"/>
      <c r="AU149" s="517"/>
      <c r="AV149" s="521"/>
      <c r="AW149" s="520"/>
      <c r="AX149" s="54"/>
      <c r="AY149" s="104" t="s">
        <v>299</v>
      </c>
    </row>
    <row r="150" spans="1:51" x14ac:dyDescent="0.3">
      <c r="A150" s="896"/>
      <c r="B150" s="845"/>
      <c r="C150" s="522">
        <v>6</v>
      </c>
      <c r="D150" s="522" t="s">
        <v>39</v>
      </c>
      <c r="E150" s="522">
        <v>2020</v>
      </c>
      <c r="F150" s="345" t="s">
        <v>19</v>
      </c>
      <c r="G150" s="523">
        <f t="shared" si="271"/>
        <v>4377.517072316582</v>
      </c>
      <c r="H150" s="107">
        <f t="shared" si="272"/>
        <v>4289.9667308702501</v>
      </c>
      <c r="I150" s="524">
        <f t="shared" si="273"/>
        <v>4202.4163894239182</v>
      </c>
      <c r="J150" s="107">
        <f t="shared" si="274"/>
        <v>4071.0908772544208</v>
      </c>
      <c r="K150" s="107">
        <f t="shared" si="275"/>
        <v>4005.4281211696721</v>
      </c>
      <c r="L150" s="524">
        <f t="shared" si="276"/>
        <v>3939.7653650849234</v>
      </c>
      <c r="M150" s="109">
        <f t="shared" si="277"/>
        <v>3808.4398529154259</v>
      </c>
      <c r="N150" s="107">
        <f t="shared" si="278"/>
        <v>117.09151094649943</v>
      </c>
      <c r="O150" s="107">
        <f t="shared" si="279"/>
        <v>114.74968072756944</v>
      </c>
      <c r="P150" s="107">
        <f t="shared" si="280"/>
        <v>112.40785050863943</v>
      </c>
      <c r="Q150" s="107">
        <f t="shared" si="281"/>
        <v>108.89510518024446</v>
      </c>
      <c r="R150" s="107">
        <f t="shared" si="282"/>
        <v>107.13873251604696</v>
      </c>
      <c r="S150" s="107">
        <f t="shared" si="283"/>
        <v>105.38235985184947</v>
      </c>
      <c r="T150" s="109">
        <f t="shared" si="284"/>
        <v>101.8696145234545</v>
      </c>
      <c r="U150" s="525">
        <f t="shared" si="285"/>
        <v>2.6265102433899488E-2</v>
      </c>
      <c r="V150" s="295">
        <f t="shared" si="286"/>
        <v>2.6265102433899488E-2</v>
      </c>
      <c r="W150" s="526">
        <f t="shared" si="287"/>
        <v>2.6265102433899488E-2</v>
      </c>
      <c r="X150" s="295">
        <f t="shared" si="288"/>
        <v>2.6265102433899488E-2</v>
      </c>
      <c r="Y150" s="295">
        <f t="shared" si="289"/>
        <v>2.6265102433899488E-2</v>
      </c>
      <c r="Z150" s="526">
        <f t="shared" si="290"/>
        <v>2.6265102433899488E-2</v>
      </c>
      <c r="AA150" s="452">
        <f t="shared" si="291"/>
        <v>2.6265102433899488E-2</v>
      </c>
      <c r="AB150" s="1041"/>
      <c r="AC150" s="1041"/>
      <c r="AD150" s="1041"/>
      <c r="AE150" s="1041"/>
      <c r="AF150" s="1041"/>
      <c r="AG150" s="1041"/>
      <c r="AH150" s="1041"/>
      <c r="AI150" s="527"/>
      <c r="AJ150" s="522"/>
      <c r="AK150" s="522"/>
      <c r="AL150" s="522"/>
      <c r="AM150" s="524"/>
      <c r="AN150" s="522"/>
      <c r="AO150" s="528"/>
      <c r="AP150" s="524"/>
      <c r="AQ150" s="524"/>
      <c r="AR150" s="524"/>
      <c r="AS150" s="524"/>
      <c r="AT150" s="524"/>
      <c r="AU150" s="524"/>
      <c r="AV150" s="528"/>
      <c r="AW150" s="527"/>
      <c r="AX150" s="529"/>
      <c r="AY150" s="104" t="s">
        <v>300</v>
      </c>
    </row>
    <row r="151" spans="1:51" x14ac:dyDescent="0.3">
      <c r="A151" s="896"/>
      <c r="B151" s="845"/>
      <c r="C151" s="522">
        <v>6</v>
      </c>
      <c r="D151" s="522" t="s">
        <v>39</v>
      </c>
      <c r="E151" s="522">
        <v>2020</v>
      </c>
      <c r="F151" s="345" t="s">
        <v>19</v>
      </c>
      <c r="G151" s="523">
        <f t="shared" si="271"/>
        <v>4377.517072316582</v>
      </c>
      <c r="H151" s="107">
        <f t="shared" si="272"/>
        <v>4289.9667308702501</v>
      </c>
      <c r="I151" s="524">
        <f t="shared" si="273"/>
        <v>4202.4163894239182</v>
      </c>
      <c r="J151" s="107">
        <f t="shared" si="274"/>
        <v>4071.0908772544208</v>
      </c>
      <c r="K151" s="107">
        <f t="shared" si="275"/>
        <v>4005.4281211696721</v>
      </c>
      <c r="L151" s="524">
        <f t="shared" si="276"/>
        <v>3939.7653650849234</v>
      </c>
      <c r="M151" s="109">
        <f t="shared" si="277"/>
        <v>3808.4398529154259</v>
      </c>
      <c r="N151" s="107">
        <f t="shared" si="278"/>
        <v>117.09151094649943</v>
      </c>
      <c r="O151" s="107">
        <f t="shared" si="279"/>
        <v>114.74968072756944</v>
      </c>
      <c r="P151" s="107">
        <f t="shared" si="280"/>
        <v>112.40785050863943</v>
      </c>
      <c r="Q151" s="107">
        <f t="shared" si="281"/>
        <v>108.89510518024446</v>
      </c>
      <c r="R151" s="107">
        <f t="shared" si="282"/>
        <v>107.13873251604696</v>
      </c>
      <c r="S151" s="107">
        <f t="shared" si="283"/>
        <v>105.38235985184947</v>
      </c>
      <c r="T151" s="109">
        <f t="shared" si="284"/>
        <v>101.8696145234545</v>
      </c>
      <c r="U151" s="525">
        <f t="shared" si="285"/>
        <v>2.6265102433899488E-2</v>
      </c>
      <c r="V151" s="295">
        <f t="shared" si="286"/>
        <v>2.6265102433899488E-2</v>
      </c>
      <c r="W151" s="526">
        <f t="shared" si="287"/>
        <v>2.6265102433899488E-2</v>
      </c>
      <c r="X151" s="295">
        <f t="shared" si="288"/>
        <v>2.6265102433899488E-2</v>
      </c>
      <c r="Y151" s="295">
        <f t="shared" si="289"/>
        <v>2.6265102433899488E-2</v>
      </c>
      <c r="Z151" s="526">
        <f t="shared" si="290"/>
        <v>2.6265102433899488E-2</v>
      </c>
      <c r="AA151" s="452">
        <f t="shared" si="291"/>
        <v>2.6265102433899488E-2</v>
      </c>
      <c r="AB151" s="1041"/>
      <c r="AC151" s="1041"/>
      <c r="AD151" s="1041"/>
      <c r="AE151" s="1041"/>
      <c r="AF151" s="1041"/>
      <c r="AG151" s="1041"/>
      <c r="AH151" s="1041"/>
      <c r="AI151" s="527"/>
      <c r="AJ151" s="522"/>
      <c r="AK151" s="522"/>
      <c r="AL151" s="522"/>
      <c r="AM151" s="524"/>
      <c r="AN151" s="522"/>
      <c r="AO151" s="528"/>
      <c r="AP151" s="524"/>
      <c r="AQ151" s="524"/>
      <c r="AR151" s="524"/>
      <c r="AS151" s="524"/>
      <c r="AT151" s="524"/>
      <c r="AU151" s="524"/>
      <c r="AV151" s="528"/>
      <c r="AW151" s="527"/>
      <c r="AX151" s="529"/>
      <c r="AY151" s="104" t="s">
        <v>301</v>
      </c>
    </row>
    <row r="152" spans="1:51" x14ac:dyDescent="0.3">
      <c r="A152" s="896"/>
      <c r="B152" s="846"/>
      <c r="C152" s="532">
        <v>13</v>
      </c>
      <c r="D152" s="532" t="s">
        <v>63</v>
      </c>
      <c r="E152" s="532">
        <v>2020</v>
      </c>
      <c r="F152" s="345" t="s">
        <v>19</v>
      </c>
      <c r="G152" s="533">
        <v>4250</v>
      </c>
      <c r="H152" s="534"/>
      <c r="I152" s="534"/>
      <c r="J152" s="534"/>
      <c r="K152" s="534"/>
      <c r="L152" s="534"/>
      <c r="M152" s="535"/>
      <c r="N152" s="122">
        <f t="shared" si="278"/>
        <v>113.68063523262789</v>
      </c>
      <c r="O152" s="534"/>
      <c r="P152" s="534"/>
      <c r="Q152" s="534"/>
      <c r="R152" s="534"/>
      <c r="S152" s="534"/>
      <c r="T152" s="535"/>
      <c r="U152" s="536"/>
      <c r="V152" s="537"/>
      <c r="W152" s="537"/>
      <c r="X152" s="537"/>
      <c r="Y152" s="534"/>
      <c r="Z152" s="537"/>
      <c r="AA152" s="535"/>
      <c r="AB152" s="534"/>
      <c r="AC152" s="534"/>
      <c r="AD152" s="534"/>
      <c r="AE152" s="534"/>
      <c r="AF152" s="534"/>
      <c r="AG152" s="534"/>
      <c r="AH152" s="534"/>
      <c r="AI152" s="538"/>
      <c r="AJ152" s="532"/>
      <c r="AK152" s="532"/>
      <c r="AL152" s="532"/>
      <c r="AM152" s="534"/>
      <c r="AN152" s="532"/>
      <c r="AO152" s="535"/>
      <c r="AP152" s="534"/>
      <c r="AQ152" s="534"/>
      <c r="AR152" s="534"/>
      <c r="AS152" s="534"/>
      <c r="AT152" s="534"/>
      <c r="AU152" s="534"/>
      <c r="AV152" s="535"/>
      <c r="AW152" s="538"/>
      <c r="AX152" s="57"/>
      <c r="AY152" s="104"/>
    </row>
    <row r="153" spans="1:51" x14ac:dyDescent="0.3">
      <c r="A153" s="896"/>
      <c r="B153" s="539" t="s">
        <v>267</v>
      </c>
      <c r="C153" s="540"/>
      <c r="D153" s="540"/>
      <c r="E153" s="540"/>
      <c r="F153" s="540"/>
      <c r="G153" s="541">
        <f>MIN(G149:G152)</f>
        <v>4250</v>
      </c>
      <c r="H153" s="542">
        <f t="shared" ref="H153:AA153" si="292">MIN(H149:H152)</f>
        <v>4289.9667308702501</v>
      </c>
      <c r="I153" s="542">
        <f t="shared" si="292"/>
        <v>4202.4163894239182</v>
      </c>
      <c r="J153" s="542">
        <f t="shared" si="292"/>
        <v>4071.0908772544208</v>
      </c>
      <c r="K153" s="542">
        <f t="shared" si="292"/>
        <v>4005.4281211696721</v>
      </c>
      <c r="L153" s="542">
        <f t="shared" si="292"/>
        <v>3939.7653650849234</v>
      </c>
      <c r="M153" s="543">
        <f t="shared" si="292"/>
        <v>3808.4398529154259</v>
      </c>
      <c r="N153" s="542">
        <f t="shared" si="292"/>
        <v>113.68063523262789</v>
      </c>
      <c r="O153" s="542">
        <f t="shared" si="292"/>
        <v>114.74968072756944</v>
      </c>
      <c r="P153" s="542">
        <f t="shared" si="292"/>
        <v>112.40785050863943</v>
      </c>
      <c r="Q153" s="542">
        <f t="shared" si="292"/>
        <v>108.89510518024446</v>
      </c>
      <c r="R153" s="542">
        <f t="shared" si="292"/>
        <v>107.13873251604696</v>
      </c>
      <c r="S153" s="542">
        <f t="shared" si="292"/>
        <v>105.38235985184947</v>
      </c>
      <c r="T153" s="543">
        <f t="shared" si="292"/>
        <v>101.8696145234545</v>
      </c>
      <c r="U153" s="544">
        <f t="shared" si="292"/>
        <v>2.6265102433899488E-2</v>
      </c>
      <c r="V153" s="545">
        <f t="shared" si="292"/>
        <v>2.6265102433899488E-2</v>
      </c>
      <c r="W153" s="545">
        <f t="shared" si="292"/>
        <v>2.6265102433899488E-2</v>
      </c>
      <c r="X153" s="545">
        <f t="shared" si="292"/>
        <v>2.6265102433899488E-2</v>
      </c>
      <c r="Y153" s="545">
        <f t="shared" si="292"/>
        <v>2.6265102433899488E-2</v>
      </c>
      <c r="Z153" s="545">
        <f t="shared" si="292"/>
        <v>2.6265102433899488E-2</v>
      </c>
      <c r="AA153" s="545">
        <f t="shared" si="292"/>
        <v>2.6265102433899488E-2</v>
      </c>
      <c r="AB153" s="545"/>
      <c r="AC153" s="545"/>
      <c r="AD153" s="545"/>
      <c r="AE153" s="545"/>
      <c r="AF153" s="545"/>
      <c r="AG153" s="545"/>
      <c r="AH153" s="545"/>
      <c r="AI153" s="550"/>
      <c r="AJ153" s="540"/>
      <c r="AK153" s="540"/>
      <c r="AL153" s="540"/>
      <c r="AM153" s="542"/>
      <c r="AN153" s="540"/>
      <c r="AO153" s="543"/>
      <c r="AP153" s="542"/>
      <c r="AQ153" s="542"/>
      <c r="AR153" s="542"/>
      <c r="AS153" s="542"/>
      <c r="AT153" s="542"/>
      <c r="AU153" s="542"/>
      <c r="AV153" s="543"/>
      <c r="AW153" s="550"/>
      <c r="AX153" s="551"/>
      <c r="AY153" s="104"/>
    </row>
    <row r="154" spans="1:51" x14ac:dyDescent="0.3">
      <c r="A154" s="896"/>
      <c r="B154" s="552" t="s">
        <v>268</v>
      </c>
      <c r="C154" s="553"/>
      <c r="D154" s="553"/>
      <c r="E154" s="553"/>
      <c r="F154" s="553"/>
      <c r="G154" s="554">
        <f>MEDIAN(G149:G152)</f>
        <v>4377.517072316582</v>
      </c>
      <c r="H154" s="555">
        <f t="shared" ref="H154:AA154" si="293">MEDIAN(H149:H152)</f>
        <v>4289.9667308702501</v>
      </c>
      <c r="I154" s="555">
        <f t="shared" si="293"/>
        <v>4202.4163894239182</v>
      </c>
      <c r="J154" s="555">
        <f t="shared" si="293"/>
        <v>4071.0908772544208</v>
      </c>
      <c r="K154" s="555">
        <f t="shared" si="293"/>
        <v>4005.4281211696721</v>
      </c>
      <c r="L154" s="555">
        <f t="shared" si="293"/>
        <v>3939.7653650849234</v>
      </c>
      <c r="M154" s="556">
        <f t="shared" si="293"/>
        <v>3808.4398529154259</v>
      </c>
      <c r="N154" s="555">
        <f t="shared" si="293"/>
        <v>117.09151094649943</v>
      </c>
      <c r="O154" s="555">
        <f t="shared" si="293"/>
        <v>114.74968072756944</v>
      </c>
      <c r="P154" s="555">
        <f t="shared" si="293"/>
        <v>112.40785050863943</v>
      </c>
      <c r="Q154" s="555">
        <f t="shared" si="293"/>
        <v>108.89510518024446</v>
      </c>
      <c r="R154" s="555">
        <f t="shared" si="293"/>
        <v>107.13873251604696</v>
      </c>
      <c r="S154" s="555">
        <f t="shared" si="293"/>
        <v>105.38235985184947</v>
      </c>
      <c r="T154" s="556">
        <f t="shared" si="293"/>
        <v>101.8696145234545</v>
      </c>
      <c r="U154" s="557">
        <f t="shared" si="293"/>
        <v>2.6265102433899488E-2</v>
      </c>
      <c r="V154" s="558">
        <f t="shared" si="293"/>
        <v>2.6265102433899488E-2</v>
      </c>
      <c r="W154" s="558">
        <f t="shared" si="293"/>
        <v>2.6265102433899488E-2</v>
      </c>
      <c r="X154" s="558">
        <f t="shared" si="293"/>
        <v>2.6265102433899488E-2</v>
      </c>
      <c r="Y154" s="558">
        <f t="shared" si="293"/>
        <v>2.6265102433899488E-2</v>
      </c>
      <c r="Z154" s="558">
        <f t="shared" si="293"/>
        <v>2.6265102433899488E-2</v>
      </c>
      <c r="AA154" s="558">
        <f t="shared" si="293"/>
        <v>2.6265102433899488E-2</v>
      </c>
      <c r="AB154" s="558"/>
      <c r="AC154" s="558"/>
      <c r="AD154" s="558"/>
      <c r="AE154" s="558"/>
      <c r="AF154" s="558"/>
      <c r="AG154" s="558"/>
      <c r="AH154" s="558"/>
      <c r="AI154" s="563"/>
      <c r="AJ154" s="553"/>
      <c r="AK154" s="553"/>
      <c r="AL154" s="553"/>
      <c r="AM154" s="555"/>
      <c r="AN154" s="553"/>
      <c r="AO154" s="556"/>
      <c r="AP154" s="555"/>
      <c r="AQ154" s="555"/>
      <c r="AR154" s="555"/>
      <c r="AS154" s="555"/>
      <c r="AT154" s="555"/>
      <c r="AU154" s="555"/>
      <c r="AV154" s="556"/>
      <c r="AW154" s="563"/>
      <c r="AX154" s="564"/>
      <c r="AY154" s="104"/>
    </row>
    <row r="155" spans="1:51" x14ac:dyDescent="0.3">
      <c r="A155" s="896"/>
      <c r="B155" s="565" t="s">
        <v>269</v>
      </c>
      <c r="C155" s="566"/>
      <c r="D155" s="566"/>
      <c r="E155" s="566"/>
      <c r="F155" s="566"/>
      <c r="G155" s="567">
        <f>MAX(G149:G152)</f>
        <v>4377.517072316582</v>
      </c>
      <c r="H155" s="568">
        <f t="shared" ref="H155:AA155" si="294">MAX(H149:H152)</f>
        <v>4289.9667308702501</v>
      </c>
      <c r="I155" s="568">
        <f t="shared" si="294"/>
        <v>4202.4163894239182</v>
      </c>
      <c r="J155" s="568">
        <f t="shared" si="294"/>
        <v>4071.0908772544208</v>
      </c>
      <c r="K155" s="568">
        <f t="shared" si="294"/>
        <v>4005.4281211696721</v>
      </c>
      <c r="L155" s="568">
        <f t="shared" si="294"/>
        <v>3939.7653650849234</v>
      </c>
      <c r="M155" s="569">
        <f t="shared" si="294"/>
        <v>3808.4398529154259</v>
      </c>
      <c r="N155" s="568">
        <f t="shared" si="294"/>
        <v>117.09151094649943</v>
      </c>
      <c r="O155" s="568">
        <f t="shared" si="294"/>
        <v>114.74968072756944</v>
      </c>
      <c r="P155" s="568">
        <f t="shared" si="294"/>
        <v>112.40785050863943</v>
      </c>
      <c r="Q155" s="568">
        <f t="shared" si="294"/>
        <v>108.89510518024446</v>
      </c>
      <c r="R155" s="568">
        <f t="shared" si="294"/>
        <v>107.13873251604696</v>
      </c>
      <c r="S155" s="568">
        <f t="shared" si="294"/>
        <v>105.38235985184947</v>
      </c>
      <c r="T155" s="569">
        <f t="shared" si="294"/>
        <v>101.8696145234545</v>
      </c>
      <c r="U155" s="570">
        <f t="shared" si="294"/>
        <v>2.6265102433899488E-2</v>
      </c>
      <c r="V155" s="571">
        <f t="shared" si="294"/>
        <v>2.6265102433899488E-2</v>
      </c>
      <c r="W155" s="571">
        <f t="shared" si="294"/>
        <v>2.6265102433899488E-2</v>
      </c>
      <c r="X155" s="571">
        <f t="shared" si="294"/>
        <v>2.6265102433899488E-2</v>
      </c>
      <c r="Y155" s="571">
        <f t="shared" si="294"/>
        <v>2.6265102433899488E-2</v>
      </c>
      <c r="Z155" s="571">
        <f t="shared" si="294"/>
        <v>2.6265102433899488E-2</v>
      </c>
      <c r="AA155" s="571">
        <f t="shared" si="294"/>
        <v>2.6265102433899488E-2</v>
      </c>
      <c r="AB155" s="571"/>
      <c r="AC155" s="571"/>
      <c r="AD155" s="571"/>
      <c r="AE155" s="571"/>
      <c r="AF155" s="571"/>
      <c r="AG155" s="571"/>
      <c r="AH155" s="571"/>
      <c r="AI155" s="576"/>
      <c r="AJ155" s="566"/>
      <c r="AK155" s="566"/>
      <c r="AL155" s="566"/>
      <c r="AM155" s="568"/>
      <c r="AN155" s="566"/>
      <c r="AO155" s="569"/>
      <c r="AP155" s="568"/>
      <c r="AQ155" s="568"/>
      <c r="AR155" s="568"/>
      <c r="AS155" s="568"/>
      <c r="AT155" s="568"/>
      <c r="AU155" s="568"/>
      <c r="AV155" s="569"/>
      <c r="AW155" s="576"/>
      <c r="AX155" s="577"/>
      <c r="AY155" s="104"/>
    </row>
    <row r="156" spans="1:51" x14ac:dyDescent="0.3">
      <c r="A156" s="896"/>
      <c r="B156" s="847" t="s">
        <v>32</v>
      </c>
      <c r="C156" s="359">
        <v>6</v>
      </c>
      <c r="D156" s="360" t="s">
        <v>39</v>
      </c>
      <c r="E156" s="360">
        <v>2020</v>
      </c>
      <c r="F156" s="361" t="s">
        <v>19</v>
      </c>
      <c r="G156" s="362">
        <f t="shared" ref="G156:G158" si="295">(1000)/1.1422</f>
        <v>875.50341446331629</v>
      </c>
      <c r="H156" s="93">
        <f t="shared" ref="H156:H158" si="296">G156+((I156-G156)/(2030-2020))*(2025-2020)</f>
        <v>875.50341446331629</v>
      </c>
      <c r="I156" s="363">
        <f t="shared" ref="I156:I158" si="297">(1000)/1.1422</f>
        <v>875.50341446331629</v>
      </c>
      <c r="J156" s="93">
        <f t="shared" ref="J156:J158" si="298">I156+((L156-I156)/(2050-2030))*(2040-2030)</f>
        <v>875.50341446331629</v>
      </c>
      <c r="K156" s="93">
        <f t="shared" ref="K156:K158" si="299">J156+((L156-J156)/(2050-2040))*(2045-2040)</f>
        <v>875.50341446331629</v>
      </c>
      <c r="L156" s="363">
        <f t="shared" ref="L156:L158" si="300">(1000)/1.1422</f>
        <v>875.50341446331629</v>
      </c>
      <c r="M156" s="95">
        <f t="shared" ref="M156:M158" si="301">K156+((L156-K156)/(2050-2045))*(2060-2045)</f>
        <v>875.50341446331629</v>
      </c>
      <c r="N156" s="92">
        <f t="shared" ref="N156:N158" si="302">G156*0.02*$BC$7</f>
        <v>23.41830218929988</v>
      </c>
      <c r="O156" s="93">
        <f t="shared" ref="O156:O158" si="303">H156*0.02*$BC$7</f>
        <v>23.41830218929988</v>
      </c>
      <c r="P156" s="93">
        <f t="shared" ref="P156:P158" si="304">I156*0.02*$BC$7</f>
        <v>23.41830218929988</v>
      </c>
      <c r="Q156" s="93">
        <f t="shared" ref="Q156:Q158" si="305">J156*0.02*$BC$7</f>
        <v>23.41830218929988</v>
      </c>
      <c r="R156" s="93">
        <f t="shared" ref="R156:R158" si="306">K156*0.02*$BC$7</f>
        <v>23.41830218929988</v>
      </c>
      <c r="S156" s="93">
        <f t="shared" ref="S156:S158" si="307">L156*0.02*$BC$7</f>
        <v>23.41830218929988</v>
      </c>
      <c r="T156" s="95">
        <f t="shared" ref="T156:T158" si="308">M156*0.02*$BC$7</f>
        <v>23.41830218929988</v>
      </c>
      <c r="U156" s="364">
        <f>(30*0.001)/1.1422</f>
        <v>2.6265102433899488E-2</v>
      </c>
      <c r="V156" s="286">
        <f t="shared" ref="V156:V158" si="309">U156+((W156-U156)/(2030-2020))*(2025-2020)</f>
        <v>2.8453860970057782E-2</v>
      </c>
      <c r="W156" s="365">
        <f>(35*0.001)/1.1422</f>
        <v>3.0642619506216075E-2</v>
      </c>
      <c r="X156" s="286">
        <f t="shared" ref="X156:X158" si="310">W156+((Z156-W156)/(2050-2030))*(2040-2030)</f>
        <v>3.2831378042374362E-2</v>
      </c>
      <c r="Y156" s="286">
        <f t="shared" ref="Y156:Y158" si="311">X156+((Z156-X156)/(2050-2040))*(2045-2040)</f>
        <v>3.3925757310453511E-2</v>
      </c>
      <c r="Z156" s="365">
        <f>(40*0.001)/1.1422</f>
        <v>3.5020136578532653E-2</v>
      </c>
      <c r="AA156" s="366">
        <f t="shared" ref="AA156:AA158" si="312">Y156+((Z156-Y156)/(2050-2045))*(2060-2045)</f>
        <v>3.7208895114690936E-2</v>
      </c>
      <c r="AB156" s="286"/>
      <c r="AC156" s="286"/>
      <c r="AD156" s="286"/>
      <c r="AE156" s="286"/>
      <c r="AF156" s="286"/>
      <c r="AG156" s="286"/>
      <c r="AH156" s="286"/>
      <c r="AI156" s="359"/>
      <c r="AJ156" s="360"/>
      <c r="AK156" s="360"/>
      <c r="AL156" s="360"/>
      <c r="AM156" s="363"/>
      <c r="AN156" s="360"/>
      <c r="AO156" s="578"/>
      <c r="AP156" s="363"/>
      <c r="AQ156" s="363"/>
      <c r="AR156" s="363"/>
      <c r="AS156" s="363"/>
      <c r="AT156" s="363"/>
      <c r="AU156" s="363"/>
      <c r="AV156" s="578"/>
      <c r="AW156" s="359"/>
      <c r="AX156" s="369"/>
      <c r="AY156" s="104" t="s">
        <v>302</v>
      </c>
    </row>
    <row r="157" spans="1:51" x14ac:dyDescent="0.3">
      <c r="A157" s="896"/>
      <c r="B157" s="848"/>
      <c r="C157" s="370">
        <v>6</v>
      </c>
      <c r="D157" s="371" t="s">
        <v>39</v>
      </c>
      <c r="E157" s="371">
        <v>2020</v>
      </c>
      <c r="F157" s="372" t="s">
        <v>19</v>
      </c>
      <c r="G157" s="373">
        <f t="shared" si="295"/>
        <v>875.50341446331629</v>
      </c>
      <c r="H157" s="107">
        <f t="shared" si="296"/>
        <v>875.50341446331629</v>
      </c>
      <c r="I157" s="374">
        <f t="shared" si="297"/>
        <v>875.50341446331629</v>
      </c>
      <c r="J157" s="107">
        <f t="shared" si="298"/>
        <v>875.50341446331629</v>
      </c>
      <c r="K157" s="107">
        <f t="shared" si="299"/>
        <v>875.50341446331629</v>
      </c>
      <c r="L157" s="374">
        <f t="shared" si="300"/>
        <v>875.50341446331629</v>
      </c>
      <c r="M157" s="109">
        <f t="shared" si="301"/>
        <v>875.50341446331629</v>
      </c>
      <c r="N157" s="106">
        <f t="shared" si="302"/>
        <v>23.41830218929988</v>
      </c>
      <c r="O157" s="107">
        <f t="shared" si="303"/>
        <v>23.41830218929988</v>
      </c>
      <c r="P157" s="107">
        <f t="shared" si="304"/>
        <v>23.41830218929988</v>
      </c>
      <c r="Q157" s="107">
        <f t="shared" si="305"/>
        <v>23.41830218929988</v>
      </c>
      <c r="R157" s="107">
        <f t="shared" si="306"/>
        <v>23.41830218929988</v>
      </c>
      <c r="S157" s="107">
        <f t="shared" si="307"/>
        <v>23.41830218929988</v>
      </c>
      <c r="T157" s="109">
        <f t="shared" si="308"/>
        <v>23.41830218929988</v>
      </c>
      <c r="U157" s="375">
        <f t="shared" ref="U157:U158" si="313">(40*0.001)/1.1422</f>
        <v>3.5020136578532653E-2</v>
      </c>
      <c r="V157" s="295">
        <f t="shared" si="309"/>
        <v>4.5963929259324104E-2</v>
      </c>
      <c r="W157" s="579">
        <f t="shared" ref="W157:W158" si="314">(65*0.001)/1.1422</f>
        <v>5.6907721940115563E-2</v>
      </c>
      <c r="X157" s="295">
        <f t="shared" si="310"/>
        <v>6.1285239012432144E-2</v>
      </c>
      <c r="Y157" s="295">
        <f t="shared" si="311"/>
        <v>6.3473997548590427E-2</v>
      </c>
      <c r="Z157" s="579">
        <f t="shared" ref="Z157:Z158" si="315">(75*0.001)/1.1422</f>
        <v>6.5662756084748725E-2</v>
      </c>
      <c r="AA157" s="452">
        <f t="shared" si="312"/>
        <v>7.0040273157065319E-2</v>
      </c>
      <c r="AB157" s="1041"/>
      <c r="AC157" s="1041"/>
      <c r="AD157" s="1041"/>
      <c r="AE157" s="1041"/>
      <c r="AF157" s="1041"/>
      <c r="AG157" s="1041"/>
      <c r="AH157" s="1041"/>
      <c r="AI157" s="370"/>
      <c r="AJ157" s="371"/>
      <c r="AK157" s="371"/>
      <c r="AL157" s="371"/>
      <c r="AM157" s="374"/>
      <c r="AN157" s="371"/>
      <c r="AO157" s="580"/>
      <c r="AP157" s="374"/>
      <c r="AQ157" s="374"/>
      <c r="AR157" s="374"/>
      <c r="AS157" s="374"/>
      <c r="AT157" s="374"/>
      <c r="AU157" s="374"/>
      <c r="AV157" s="580"/>
      <c r="AW157" s="370"/>
      <c r="AX157" s="379"/>
      <c r="AY157" s="104" t="s">
        <v>303</v>
      </c>
    </row>
    <row r="158" spans="1:51" x14ac:dyDescent="0.3">
      <c r="A158" s="896"/>
      <c r="B158" s="849"/>
      <c r="C158" s="380">
        <v>6</v>
      </c>
      <c r="D158" s="381" t="s">
        <v>39</v>
      </c>
      <c r="E158" s="381">
        <v>2020</v>
      </c>
      <c r="F158" s="606" t="s">
        <v>19</v>
      </c>
      <c r="G158" s="382">
        <f t="shared" si="295"/>
        <v>875.50341446331629</v>
      </c>
      <c r="H158" s="122">
        <f t="shared" si="296"/>
        <v>875.50341446331629</v>
      </c>
      <c r="I158" s="383">
        <f t="shared" si="297"/>
        <v>875.50341446331629</v>
      </c>
      <c r="J158" s="122">
        <f t="shared" si="298"/>
        <v>875.50341446331629</v>
      </c>
      <c r="K158" s="107">
        <f t="shared" si="299"/>
        <v>875.50341446331629</v>
      </c>
      <c r="L158" s="383">
        <f t="shared" si="300"/>
        <v>875.50341446331629</v>
      </c>
      <c r="M158" s="109">
        <f t="shared" si="301"/>
        <v>875.50341446331629</v>
      </c>
      <c r="N158" s="607">
        <f t="shared" si="302"/>
        <v>23.41830218929988</v>
      </c>
      <c r="O158" s="122">
        <f t="shared" si="303"/>
        <v>23.41830218929988</v>
      </c>
      <c r="P158" s="122">
        <f t="shared" si="304"/>
        <v>23.41830218929988</v>
      </c>
      <c r="Q158" s="122">
        <f t="shared" si="305"/>
        <v>23.41830218929988</v>
      </c>
      <c r="R158" s="122">
        <f t="shared" si="306"/>
        <v>23.41830218929988</v>
      </c>
      <c r="S158" s="122">
        <f t="shared" si="307"/>
        <v>23.41830218929988</v>
      </c>
      <c r="T158" s="303">
        <f t="shared" si="308"/>
        <v>23.41830218929988</v>
      </c>
      <c r="U158" s="375">
        <f t="shared" si="313"/>
        <v>3.5020136578532653E-2</v>
      </c>
      <c r="V158" s="295">
        <f t="shared" si="309"/>
        <v>4.5963929259324104E-2</v>
      </c>
      <c r="W158" s="579">
        <f t="shared" si="314"/>
        <v>5.6907721940115563E-2</v>
      </c>
      <c r="X158" s="295">
        <f t="shared" si="310"/>
        <v>6.1285239012432144E-2</v>
      </c>
      <c r="Y158" s="295">
        <f t="shared" si="311"/>
        <v>6.3473997548590427E-2</v>
      </c>
      <c r="Z158" s="579">
        <f t="shared" si="315"/>
        <v>6.5662756084748725E-2</v>
      </c>
      <c r="AA158" s="452">
        <f t="shared" si="312"/>
        <v>7.0040273157065319E-2</v>
      </c>
      <c r="AB158" s="1041"/>
      <c r="AC158" s="1041"/>
      <c r="AD158" s="1041"/>
      <c r="AE158" s="1041"/>
      <c r="AF158" s="1041"/>
      <c r="AG158" s="1041"/>
      <c r="AH158" s="1041"/>
      <c r="AI158" s="380"/>
      <c r="AJ158" s="381"/>
      <c r="AK158" s="381"/>
      <c r="AL158" s="381"/>
      <c r="AM158" s="383"/>
      <c r="AN158" s="381"/>
      <c r="AO158" s="583"/>
      <c r="AP158" s="383"/>
      <c r="AQ158" s="383"/>
      <c r="AR158" s="383"/>
      <c r="AS158" s="383"/>
      <c r="AT158" s="383"/>
      <c r="AU158" s="383"/>
      <c r="AV158" s="583"/>
      <c r="AW158" s="380"/>
      <c r="AX158" s="387"/>
      <c r="AY158" s="104" t="s">
        <v>304</v>
      </c>
    </row>
    <row r="159" spans="1:51" x14ac:dyDescent="0.3">
      <c r="A159" s="896"/>
      <c r="B159" s="400" t="s">
        <v>267</v>
      </c>
      <c r="C159" s="402"/>
      <c r="D159" s="402"/>
      <c r="E159" s="402"/>
      <c r="F159" s="402"/>
      <c r="G159" s="391">
        <f>MIN(G156:G158)</f>
        <v>875.50341446331629</v>
      </c>
      <c r="H159" s="392">
        <f t="shared" ref="H159:AA159" si="316">MIN(H156:H158)</f>
        <v>875.50341446331629</v>
      </c>
      <c r="I159" s="392">
        <f t="shared" si="316"/>
        <v>875.50341446331629</v>
      </c>
      <c r="J159" s="392">
        <f t="shared" si="316"/>
        <v>875.50341446331629</v>
      </c>
      <c r="K159" s="392">
        <f t="shared" si="316"/>
        <v>875.50341446331629</v>
      </c>
      <c r="L159" s="392">
        <f t="shared" si="316"/>
        <v>875.50341446331629</v>
      </c>
      <c r="M159" s="393">
        <f t="shared" si="316"/>
        <v>875.50341446331629</v>
      </c>
      <c r="N159" s="404">
        <f t="shared" si="316"/>
        <v>23.41830218929988</v>
      </c>
      <c r="O159" s="404">
        <f t="shared" si="316"/>
        <v>23.41830218929988</v>
      </c>
      <c r="P159" s="404">
        <f t="shared" si="316"/>
        <v>23.41830218929988</v>
      </c>
      <c r="Q159" s="404">
        <f t="shared" si="316"/>
        <v>23.41830218929988</v>
      </c>
      <c r="R159" s="404">
        <f t="shared" si="316"/>
        <v>23.41830218929988</v>
      </c>
      <c r="S159" s="404">
        <f t="shared" si="316"/>
        <v>23.41830218929988</v>
      </c>
      <c r="T159" s="405">
        <f t="shared" si="316"/>
        <v>23.41830218929988</v>
      </c>
      <c r="U159" s="394">
        <f t="shared" si="316"/>
        <v>2.6265102433899488E-2</v>
      </c>
      <c r="V159" s="395">
        <f t="shared" si="316"/>
        <v>2.8453860970057782E-2</v>
      </c>
      <c r="W159" s="395">
        <f t="shared" si="316"/>
        <v>3.0642619506216075E-2</v>
      </c>
      <c r="X159" s="395">
        <f t="shared" si="316"/>
        <v>3.2831378042374362E-2</v>
      </c>
      <c r="Y159" s="395">
        <f t="shared" si="316"/>
        <v>3.3925757310453511E-2</v>
      </c>
      <c r="Z159" s="395">
        <f t="shared" si="316"/>
        <v>3.5020136578532653E-2</v>
      </c>
      <c r="AA159" s="396">
        <f t="shared" si="316"/>
        <v>3.7208895114690936E-2</v>
      </c>
      <c r="AB159" s="1040"/>
      <c r="AC159" s="1040"/>
      <c r="AD159" s="1040"/>
      <c r="AE159" s="1040"/>
      <c r="AF159" s="1040"/>
      <c r="AG159" s="1040"/>
      <c r="AH159" s="1040"/>
      <c r="AI159" s="401"/>
      <c r="AJ159" s="402"/>
      <c r="AK159" s="402"/>
      <c r="AL159" s="402"/>
      <c r="AM159" s="392"/>
      <c r="AN159" s="402"/>
      <c r="AO159" s="393"/>
      <c r="AP159" s="404"/>
      <c r="AQ159" s="404"/>
      <c r="AR159" s="404"/>
      <c r="AS159" s="404"/>
      <c r="AT159" s="392"/>
      <c r="AU159" s="404"/>
      <c r="AV159" s="393"/>
      <c r="AW159" s="401"/>
      <c r="AX159" s="409"/>
      <c r="AY159" s="104"/>
    </row>
    <row r="160" spans="1:51" x14ac:dyDescent="0.3">
      <c r="A160" s="896"/>
      <c r="B160" s="400" t="s">
        <v>268</v>
      </c>
      <c r="C160" s="402"/>
      <c r="D160" s="402"/>
      <c r="E160" s="402"/>
      <c r="F160" s="402"/>
      <c r="G160" s="403">
        <f>MEDIAN(G156:G158)</f>
        <v>875.50341446331629</v>
      </c>
      <c r="H160" s="404">
        <f t="shared" ref="H160:AA160" si="317">MEDIAN(H156:H158)</f>
        <v>875.50341446331629</v>
      </c>
      <c r="I160" s="404">
        <f t="shared" si="317"/>
        <v>875.50341446331629</v>
      </c>
      <c r="J160" s="404">
        <f t="shared" si="317"/>
        <v>875.50341446331629</v>
      </c>
      <c r="K160" s="404">
        <f t="shared" si="317"/>
        <v>875.50341446331629</v>
      </c>
      <c r="L160" s="404">
        <f t="shared" si="317"/>
        <v>875.50341446331629</v>
      </c>
      <c r="M160" s="405">
        <f t="shared" si="317"/>
        <v>875.50341446331629</v>
      </c>
      <c r="N160" s="404">
        <f t="shared" si="317"/>
        <v>23.41830218929988</v>
      </c>
      <c r="O160" s="404">
        <f t="shared" si="317"/>
        <v>23.41830218929988</v>
      </c>
      <c r="P160" s="404">
        <f t="shared" si="317"/>
        <v>23.41830218929988</v>
      </c>
      <c r="Q160" s="404">
        <f t="shared" si="317"/>
        <v>23.41830218929988</v>
      </c>
      <c r="R160" s="404">
        <f t="shared" si="317"/>
        <v>23.41830218929988</v>
      </c>
      <c r="S160" s="404">
        <f t="shared" si="317"/>
        <v>23.41830218929988</v>
      </c>
      <c r="T160" s="405">
        <f t="shared" si="317"/>
        <v>23.41830218929988</v>
      </c>
      <c r="U160" s="406">
        <f t="shared" si="317"/>
        <v>3.5020136578532653E-2</v>
      </c>
      <c r="V160" s="407">
        <f t="shared" si="317"/>
        <v>4.5963929259324104E-2</v>
      </c>
      <c r="W160" s="407">
        <f t="shared" si="317"/>
        <v>5.6907721940115563E-2</v>
      </c>
      <c r="X160" s="407">
        <f t="shared" si="317"/>
        <v>6.1285239012432144E-2</v>
      </c>
      <c r="Y160" s="407">
        <f t="shared" si="317"/>
        <v>6.3473997548590427E-2</v>
      </c>
      <c r="Z160" s="407">
        <f t="shared" si="317"/>
        <v>6.5662756084748725E-2</v>
      </c>
      <c r="AA160" s="408">
        <f t="shared" si="317"/>
        <v>7.0040273157065319E-2</v>
      </c>
      <c r="AB160" s="1040"/>
      <c r="AC160" s="1040"/>
      <c r="AD160" s="1040"/>
      <c r="AE160" s="1040"/>
      <c r="AF160" s="1040"/>
      <c r="AG160" s="1040"/>
      <c r="AH160" s="1040"/>
      <c r="AI160" s="401"/>
      <c r="AJ160" s="402"/>
      <c r="AK160" s="402"/>
      <c r="AL160" s="402"/>
      <c r="AM160" s="404"/>
      <c r="AN160" s="402"/>
      <c r="AO160" s="405"/>
      <c r="AP160" s="404"/>
      <c r="AQ160" s="404"/>
      <c r="AR160" s="404"/>
      <c r="AS160" s="404"/>
      <c r="AT160" s="404"/>
      <c r="AU160" s="404"/>
      <c r="AV160" s="405"/>
      <c r="AW160" s="401"/>
      <c r="AX160" s="409"/>
      <c r="AY160" s="104"/>
    </row>
    <row r="161" spans="1:51" x14ac:dyDescent="0.3">
      <c r="A161" s="896"/>
      <c r="B161" s="400" t="s">
        <v>269</v>
      </c>
      <c r="C161" s="402"/>
      <c r="D161" s="402"/>
      <c r="E161" s="402"/>
      <c r="F161" s="402"/>
      <c r="G161" s="415">
        <f>MAX(G156:G158)</f>
        <v>875.50341446331629</v>
      </c>
      <c r="H161" s="416">
        <f t="shared" ref="H161:AA161" si="318">MAX(H156:H158)</f>
        <v>875.50341446331629</v>
      </c>
      <c r="I161" s="416">
        <f t="shared" si="318"/>
        <v>875.50341446331629</v>
      </c>
      <c r="J161" s="416">
        <f t="shared" si="318"/>
        <v>875.50341446331629</v>
      </c>
      <c r="K161" s="416">
        <f t="shared" si="318"/>
        <v>875.50341446331629</v>
      </c>
      <c r="L161" s="416">
        <f t="shared" si="318"/>
        <v>875.50341446331629</v>
      </c>
      <c r="M161" s="417">
        <f t="shared" si="318"/>
        <v>875.50341446331629</v>
      </c>
      <c r="N161" s="404">
        <f t="shared" si="318"/>
        <v>23.41830218929988</v>
      </c>
      <c r="O161" s="404">
        <f t="shared" si="318"/>
        <v>23.41830218929988</v>
      </c>
      <c r="P161" s="404">
        <f t="shared" si="318"/>
        <v>23.41830218929988</v>
      </c>
      <c r="Q161" s="404">
        <f t="shared" si="318"/>
        <v>23.41830218929988</v>
      </c>
      <c r="R161" s="416">
        <f t="shared" si="318"/>
        <v>23.41830218929988</v>
      </c>
      <c r="S161" s="404">
        <f t="shared" si="318"/>
        <v>23.41830218929988</v>
      </c>
      <c r="T161" s="417">
        <f t="shared" si="318"/>
        <v>23.41830218929988</v>
      </c>
      <c r="U161" s="418">
        <f t="shared" si="318"/>
        <v>3.5020136578532653E-2</v>
      </c>
      <c r="V161" s="419">
        <f t="shared" si="318"/>
        <v>4.5963929259324104E-2</v>
      </c>
      <c r="W161" s="419">
        <f t="shared" si="318"/>
        <v>5.6907721940115563E-2</v>
      </c>
      <c r="X161" s="419">
        <f t="shared" si="318"/>
        <v>6.1285239012432144E-2</v>
      </c>
      <c r="Y161" s="419">
        <f t="shared" si="318"/>
        <v>6.3473997548590427E-2</v>
      </c>
      <c r="Z161" s="419">
        <f t="shared" si="318"/>
        <v>6.5662756084748725E-2</v>
      </c>
      <c r="AA161" s="420">
        <f t="shared" si="318"/>
        <v>7.0040273157065319E-2</v>
      </c>
      <c r="AB161" s="1040"/>
      <c r="AC161" s="1040"/>
      <c r="AD161" s="1040"/>
      <c r="AE161" s="1040"/>
      <c r="AF161" s="1040"/>
      <c r="AG161" s="1040"/>
      <c r="AH161" s="1040"/>
      <c r="AI161" s="401"/>
      <c r="AJ161" s="402"/>
      <c r="AK161" s="402"/>
      <c r="AL161" s="402"/>
      <c r="AM161" s="416"/>
      <c r="AN161" s="402"/>
      <c r="AO161" s="417"/>
      <c r="AP161" s="404"/>
      <c r="AQ161" s="404"/>
      <c r="AR161" s="404"/>
      <c r="AS161" s="404"/>
      <c r="AT161" s="416"/>
      <c r="AU161" s="404"/>
      <c r="AV161" s="417"/>
      <c r="AW161" s="401"/>
      <c r="AX161" s="409"/>
      <c r="AY161" s="104"/>
    </row>
    <row r="162" spans="1:51" x14ac:dyDescent="0.3">
      <c r="A162" s="896"/>
      <c r="B162" s="424" t="s">
        <v>97</v>
      </c>
      <c r="C162" s="425">
        <v>4</v>
      </c>
      <c r="D162" s="426" t="s">
        <v>31</v>
      </c>
      <c r="E162" s="426">
        <v>2022</v>
      </c>
      <c r="F162" s="427" t="s">
        <v>19</v>
      </c>
      <c r="G162" s="428">
        <v>144.88</v>
      </c>
      <c r="H162" s="429">
        <v>121.52</v>
      </c>
      <c r="I162" s="429">
        <v>98.15</v>
      </c>
      <c r="J162" s="429">
        <v>90.55</v>
      </c>
      <c r="K162" s="429">
        <v>90.28</v>
      </c>
      <c r="L162" s="429">
        <v>90.01</v>
      </c>
      <c r="M162" s="348">
        <f>K162+((L162-K162)/(2050-2045))*(2060-2045)</f>
        <v>89.470000000000013</v>
      </c>
      <c r="N162" s="429">
        <f>G162*0.01*$BC$7</f>
        <v>1.9376529920591918</v>
      </c>
      <c r="O162" s="429">
        <f t="shared" ref="O162:S162" si="319">H162*0.01*$BC$7</f>
        <v>1.6252318580551697</v>
      </c>
      <c r="P162" s="429">
        <f t="shared" si="319"/>
        <v>1.3126769821273445</v>
      </c>
      <c r="Q162" s="429">
        <f t="shared" si="319"/>
        <v>1.2110331200369948</v>
      </c>
      <c r="R162" s="429">
        <f t="shared" si="319"/>
        <v>1.2074220880943114</v>
      </c>
      <c r="S162" s="429">
        <f t="shared" si="319"/>
        <v>1.203811056151628</v>
      </c>
      <c r="T162" s="348">
        <f>R162+((S162-R162)/(2050-2045))*(2060-2045)</f>
        <v>1.1965889922662611</v>
      </c>
      <c r="U162" s="430"/>
      <c r="V162" s="430"/>
      <c r="W162" s="430"/>
      <c r="X162" s="430"/>
      <c r="Y162" s="429"/>
      <c r="Z162" s="430"/>
      <c r="AA162" s="431"/>
      <c r="AB162" s="429"/>
      <c r="AC162" s="429"/>
      <c r="AD162" s="429"/>
      <c r="AE162" s="429"/>
      <c r="AF162" s="429"/>
      <c r="AG162" s="429"/>
      <c r="AH162" s="429"/>
      <c r="AI162" s="432">
        <v>30</v>
      </c>
      <c r="AJ162" s="430">
        <v>30</v>
      </c>
      <c r="AK162" s="430">
        <v>30</v>
      </c>
      <c r="AL162" s="430">
        <v>30</v>
      </c>
      <c r="AM162" s="433">
        <v>30</v>
      </c>
      <c r="AN162" s="430">
        <v>30</v>
      </c>
      <c r="AO162" s="434">
        <f>AM162+((AN162-AM162)/(2050-2045))*(2060-2045)</f>
        <v>30</v>
      </c>
      <c r="AP162" s="430"/>
      <c r="AQ162" s="430"/>
      <c r="AR162" s="430"/>
      <c r="AS162" s="430"/>
      <c r="AT162" s="429"/>
      <c r="AU162" s="430"/>
      <c r="AV162" s="431"/>
      <c r="AW162" s="435"/>
      <c r="AX162" s="436"/>
      <c r="AY162" s="104" t="s">
        <v>285</v>
      </c>
    </row>
    <row r="163" spans="1:51" x14ac:dyDescent="0.3">
      <c r="A163" s="437"/>
      <c r="B163" s="438"/>
      <c r="C163" s="850"/>
      <c r="D163" s="850"/>
      <c r="E163" s="850"/>
      <c r="F163" s="439"/>
      <c r="G163" s="851"/>
      <c r="H163" s="852"/>
      <c r="I163" s="441"/>
      <c r="J163" s="608"/>
      <c r="K163" s="608"/>
      <c r="L163" s="609"/>
      <c r="M163" s="609"/>
      <c r="N163" s="608"/>
      <c r="O163" s="608"/>
      <c r="P163" s="441"/>
      <c r="Q163" s="441"/>
      <c r="R163" s="608"/>
      <c r="S163" s="441"/>
      <c r="T163" s="608"/>
      <c r="U163" s="443"/>
      <c r="V163" s="444"/>
      <c r="W163" s="444"/>
      <c r="X163" s="444"/>
      <c r="Y163" s="608"/>
      <c r="Z163" s="444"/>
      <c r="AA163" s="608"/>
      <c r="AB163" s="608"/>
      <c r="AC163" s="608"/>
      <c r="AD163" s="608"/>
      <c r="AE163" s="608"/>
      <c r="AF163" s="608"/>
      <c r="AG163" s="608"/>
      <c r="AH163" s="608"/>
      <c r="AI163" s="445"/>
      <c r="AJ163" s="439"/>
      <c r="AK163" s="439"/>
      <c r="AL163" s="439"/>
      <c r="AM163" s="608"/>
      <c r="AN163" s="439"/>
      <c r="AO163" s="608"/>
      <c r="AP163" s="610"/>
      <c r="AQ163" s="608"/>
      <c r="AR163" s="441"/>
      <c r="AS163" s="441"/>
      <c r="AT163" s="608"/>
      <c r="AU163" s="441"/>
      <c r="AV163" s="608"/>
      <c r="AW163" s="445"/>
      <c r="AX163" s="446"/>
      <c r="AY163" s="104"/>
    </row>
    <row r="164" spans="1:51" ht="15" customHeight="1" x14ac:dyDescent="0.3">
      <c r="A164" s="853" t="s">
        <v>130</v>
      </c>
      <c r="B164" s="854" t="s">
        <v>9</v>
      </c>
      <c r="C164" s="90">
        <v>6</v>
      </c>
      <c r="D164" s="90" t="s">
        <v>39</v>
      </c>
      <c r="E164" s="90">
        <v>2020</v>
      </c>
      <c r="F164" s="91" t="s">
        <v>19</v>
      </c>
      <c r="G164" s="447">
        <f t="shared" ref="G164:G166" si="320">(2800)/1.1422</f>
        <v>2451.4095604972858</v>
      </c>
      <c r="H164" s="93">
        <f t="shared" ref="H164:H169" si="321">G164+((I164-G164)/(2030-2020))*(2025-2020)</f>
        <v>2451.4095604972858</v>
      </c>
      <c r="I164" s="94">
        <f>(2800)/1.1422</f>
        <v>2451.4095604972858</v>
      </c>
      <c r="J164" s="93">
        <f t="shared" ref="J164:J169" si="322">I164+((L164-I164)/(2050-2030))*(2040-2030)</f>
        <v>2451.4095604972858</v>
      </c>
      <c r="K164" s="93">
        <f t="shared" ref="K164:K169" si="323">J164+((L164-J164)/(2050-2040))*(2045-2040)</f>
        <v>2451.4095604972858</v>
      </c>
      <c r="L164" s="94">
        <f>(2800)/1.1422</f>
        <v>2451.4095604972858</v>
      </c>
      <c r="M164" s="95">
        <f t="shared" ref="M164:M169" si="324">K164+((L164-K164)/(2050-2045))*(2060-2045)</f>
        <v>2451.4095604972858</v>
      </c>
      <c r="N164" s="93">
        <f t="shared" ref="N164:N169" si="325">G164*0.02*$BC$8</f>
        <v>28.581751528262586</v>
      </c>
      <c r="O164" s="93">
        <f t="shared" ref="O164:T169" si="326">H164*0.02*$BC$8</f>
        <v>28.581751528262586</v>
      </c>
      <c r="P164" s="93">
        <f t="shared" si="326"/>
        <v>28.581751528262586</v>
      </c>
      <c r="Q164" s="93">
        <f t="shared" si="326"/>
        <v>28.581751528262586</v>
      </c>
      <c r="R164" s="93">
        <f t="shared" si="326"/>
        <v>28.581751528262586</v>
      </c>
      <c r="S164" s="93">
        <f t="shared" si="326"/>
        <v>28.581751528262586</v>
      </c>
      <c r="T164" s="93">
        <f t="shared" si="326"/>
        <v>28.581751528262586</v>
      </c>
      <c r="U164" s="448">
        <f t="shared" ref="U164:U169" si="327">((25)/1.1422)*0.001</f>
        <v>2.1887585361582907E-2</v>
      </c>
      <c r="V164" s="286">
        <f t="shared" ref="V164:V169" si="328">U164+((W164-U164)/(2030-2020))*(2025-2020)</f>
        <v>1.7510068289266326E-2</v>
      </c>
      <c r="W164" s="449">
        <f t="shared" ref="W164:W166" si="329">((15)/1.1422)*0.001</f>
        <v>1.3132551216949746E-2</v>
      </c>
      <c r="X164" s="286">
        <f t="shared" ref="X164:X169" si="330">W164+((Z164-W164)/(2050-2030))*(2040-2030)</f>
        <v>1.0943792680791455E-2</v>
      </c>
      <c r="Y164" s="286">
        <f t="shared" ref="Y164:Y169" si="331">X164+((Z164-X164)/(2050-2040))*(2045-2040)</f>
        <v>9.8494134127123101E-3</v>
      </c>
      <c r="Z164" s="449">
        <f t="shared" ref="Z164:Z166" si="332">((10)/1.1422)*0.001</f>
        <v>8.7550341446331632E-3</v>
      </c>
      <c r="AA164" s="366">
        <f t="shared" ref="AA164:AA169" si="333">Y164+((Z164-Y164)/(2050-2045))*(2060-2045)</f>
        <v>6.5662756084748693E-3</v>
      </c>
      <c r="AB164" s="286"/>
      <c r="AC164" s="286"/>
      <c r="AD164" s="286"/>
      <c r="AE164" s="286"/>
      <c r="AF164" s="286"/>
      <c r="AG164" s="286"/>
      <c r="AH164" s="286"/>
      <c r="AI164" s="97"/>
      <c r="AJ164" s="97"/>
      <c r="AK164" s="97"/>
      <c r="AL164" s="97"/>
      <c r="AM164" s="94"/>
      <c r="AN164" s="97"/>
      <c r="AO164" s="98"/>
      <c r="AP164" s="856">
        <v>1</v>
      </c>
      <c r="AQ164" s="857"/>
      <c r="AR164" s="857"/>
      <c r="AS164" s="857"/>
      <c r="AT164" s="857"/>
      <c r="AU164" s="857"/>
      <c r="AV164" s="858"/>
      <c r="AW164" s="826" t="s">
        <v>287</v>
      </c>
      <c r="AX164" s="827"/>
      <c r="AY164" s="104" t="s">
        <v>310</v>
      </c>
    </row>
    <row r="165" spans="1:51" ht="15" customHeight="1" x14ac:dyDescent="0.3">
      <c r="A165" s="853"/>
      <c r="B165" s="855"/>
      <c r="C165" s="105">
        <v>6</v>
      </c>
      <c r="D165" s="105" t="s">
        <v>39</v>
      </c>
      <c r="E165" s="105">
        <v>2020</v>
      </c>
      <c r="F165" s="91" t="s">
        <v>19</v>
      </c>
      <c r="G165" s="113">
        <f t="shared" si="320"/>
        <v>2451.4095604972858</v>
      </c>
      <c r="H165" s="107">
        <f t="shared" si="321"/>
        <v>2022.4128874102607</v>
      </c>
      <c r="I165" s="108">
        <f>(1820)/1.1422</f>
        <v>1593.4162143232356</v>
      </c>
      <c r="J165" s="107">
        <f t="shared" si="322"/>
        <v>1286.9900192610748</v>
      </c>
      <c r="K165" s="107">
        <f t="shared" si="323"/>
        <v>1133.7769217299947</v>
      </c>
      <c r="L165" s="108">
        <f>(1120)/1.1422</f>
        <v>980.56382419891429</v>
      </c>
      <c r="M165" s="109">
        <f t="shared" si="324"/>
        <v>674.1376291367535</v>
      </c>
      <c r="N165" s="107">
        <f t="shared" si="325"/>
        <v>28.581751528262586</v>
      </c>
      <c r="O165" s="107">
        <f t="shared" si="326"/>
        <v>23.579945010816633</v>
      </c>
      <c r="P165" s="107">
        <f t="shared" ref="P165:P169" si="334">I165*0.02*$BC$8</f>
        <v>18.57813849337068</v>
      </c>
      <c r="Q165" s="107">
        <f t="shared" ref="Q165:Q169" si="335">J165*0.02*$BC$8</f>
        <v>15.005419552337855</v>
      </c>
      <c r="R165" s="107">
        <f t="shared" ref="R165:R169" si="336">K165*0.02*$BC$8</f>
        <v>13.219060081821446</v>
      </c>
      <c r="S165" s="107">
        <f t="shared" ref="S165:S169" si="337">L165*0.02*$BC$8</f>
        <v>11.432700611305034</v>
      </c>
      <c r="T165" s="107">
        <f t="shared" ref="T165:T169" si="338">M165*0.02*$BC$8</f>
        <v>7.8599816702722105</v>
      </c>
      <c r="U165" s="450">
        <f t="shared" si="327"/>
        <v>2.1887585361582907E-2</v>
      </c>
      <c r="V165" s="295">
        <f t="shared" si="328"/>
        <v>1.7510068289266326E-2</v>
      </c>
      <c r="W165" s="451">
        <f t="shared" si="329"/>
        <v>1.3132551216949746E-2</v>
      </c>
      <c r="X165" s="295">
        <f t="shared" si="330"/>
        <v>1.0943792680791455E-2</v>
      </c>
      <c r="Y165" s="295">
        <f t="shared" si="331"/>
        <v>9.8494134127123101E-3</v>
      </c>
      <c r="Z165" s="451">
        <f t="shared" si="332"/>
        <v>8.7550341446331632E-3</v>
      </c>
      <c r="AA165" s="452">
        <f t="shared" si="333"/>
        <v>6.5662756084748693E-3</v>
      </c>
      <c r="AB165" s="1041"/>
      <c r="AC165" s="1041"/>
      <c r="AD165" s="1041"/>
      <c r="AE165" s="1041"/>
      <c r="AF165" s="1041"/>
      <c r="AG165" s="1041"/>
      <c r="AH165" s="1041"/>
      <c r="AI165" s="111"/>
      <c r="AJ165" s="111"/>
      <c r="AK165" s="111"/>
      <c r="AL165" s="111"/>
      <c r="AM165" s="108"/>
      <c r="AN165" s="111"/>
      <c r="AO165" s="112"/>
      <c r="AP165" s="859"/>
      <c r="AQ165" s="860"/>
      <c r="AR165" s="860"/>
      <c r="AS165" s="860"/>
      <c r="AT165" s="860"/>
      <c r="AU165" s="860"/>
      <c r="AV165" s="861"/>
      <c r="AW165" s="828" t="s">
        <v>287</v>
      </c>
      <c r="AX165" s="829"/>
      <c r="AY165" s="104" t="s">
        <v>311</v>
      </c>
    </row>
    <row r="166" spans="1:51" ht="15" customHeight="1" x14ac:dyDescent="0.3">
      <c r="A166" s="853"/>
      <c r="B166" s="855"/>
      <c r="C166" s="105">
        <v>6</v>
      </c>
      <c r="D166" s="105" t="s">
        <v>39</v>
      </c>
      <c r="E166" s="105">
        <v>2020</v>
      </c>
      <c r="F166" s="91" t="s">
        <v>19</v>
      </c>
      <c r="G166" s="113">
        <f t="shared" si="320"/>
        <v>2451.4095604972858</v>
      </c>
      <c r="H166" s="107">
        <f t="shared" si="321"/>
        <v>1996.1477849763614</v>
      </c>
      <c r="I166" s="108">
        <f>(1760)/1.1422</f>
        <v>1540.8860094554368</v>
      </c>
      <c r="J166" s="107">
        <f t="shared" si="322"/>
        <v>1251.9698826825424</v>
      </c>
      <c r="K166" s="107">
        <f t="shared" si="323"/>
        <v>1107.5118192960952</v>
      </c>
      <c r="L166" s="108">
        <f>(1100)/1.1422</f>
        <v>963.05375590964798</v>
      </c>
      <c r="M166" s="109">
        <f t="shared" si="324"/>
        <v>674.13762913675362</v>
      </c>
      <c r="N166" s="107">
        <f t="shared" si="325"/>
        <v>28.581751528262586</v>
      </c>
      <c r="O166" s="107">
        <f t="shared" si="326"/>
        <v>23.273711958728107</v>
      </c>
      <c r="P166" s="107">
        <f t="shared" si="334"/>
        <v>17.965672389193625</v>
      </c>
      <c r="Q166" s="107">
        <f t="shared" si="335"/>
        <v>14.597108816219821</v>
      </c>
      <c r="R166" s="107">
        <f t="shared" si="336"/>
        <v>12.912827029732918</v>
      </c>
      <c r="S166" s="107">
        <f t="shared" si="337"/>
        <v>11.228545243246016</v>
      </c>
      <c r="T166" s="107">
        <f t="shared" si="338"/>
        <v>7.8599816702722114</v>
      </c>
      <c r="U166" s="450">
        <f t="shared" si="327"/>
        <v>2.1887585361582907E-2</v>
      </c>
      <c r="V166" s="295">
        <f t="shared" si="328"/>
        <v>1.7510068289266326E-2</v>
      </c>
      <c r="W166" s="451">
        <f t="shared" si="329"/>
        <v>1.3132551216949746E-2</v>
      </c>
      <c r="X166" s="295">
        <f t="shared" si="330"/>
        <v>1.0943792680791455E-2</v>
      </c>
      <c r="Y166" s="295">
        <f t="shared" si="331"/>
        <v>9.8494134127123101E-3</v>
      </c>
      <c r="Z166" s="451">
        <f t="shared" si="332"/>
        <v>8.7550341446331632E-3</v>
      </c>
      <c r="AA166" s="452">
        <f t="shared" si="333"/>
        <v>6.5662756084748693E-3</v>
      </c>
      <c r="AB166" s="1041"/>
      <c r="AC166" s="1041"/>
      <c r="AD166" s="1041"/>
      <c r="AE166" s="1041"/>
      <c r="AF166" s="1041"/>
      <c r="AG166" s="1041"/>
      <c r="AH166" s="1041"/>
      <c r="AI166" s="111"/>
      <c r="AJ166" s="111"/>
      <c r="AK166" s="111"/>
      <c r="AL166" s="111"/>
      <c r="AM166" s="108"/>
      <c r="AN166" s="111"/>
      <c r="AO166" s="112"/>
      <c r="AP166" s="859"/>
      <c r="AQ166" s="860"/>
      <c r="AR166" s="860"/>
      <c r="AS166" s="860"/>
      <c r="AT166" s="860"/>
      <c r="AU166" s="860"/>
      <c r="AV166" s="861"/>
      <c r="AW166" s="828" t="s">
        <v>287</v>
      </c>
      <c r="AX166" s="829"/>
      <c r="AY166" s="104" t="s">
        <v>312</v>
      </c>
    </row>
    <row r="167" spans="1:51" ht="16.2" customHeight="1" x14ac:dyDescent="0.3">
      <c r="A167" s="853"/>
      <c r="B167" s="855"/>
      <c r="C167" s="105">
        <v>6</v>
      </c>
      <c r="D167" s="105" t="s">
        <v>39</v>
      </c>
      <c r="E167" s="105">
        <v>2020</v>
      </c>
      <c r="F167" s="91" t="s">
        <v>19</v>
      </c>
      <c r="G167" s="113">
        <f t="shared" ref="G167:G169" si="339">(2980)/1.1422</f>
        <v>2609.0001751006826</v>
      </c>
      <c r="H167" s="107">
        <f t="shared" si="321"/>
        <v>2162.4934337243913</v>
      </c>
      <c r="I167" s="108">
        <f>(1960)/1.1422</f>
        <v>1715.9866923481</v>
      </c>
      <c r="J167" s="107">
        <f t="shared" si="322"/>
        <v>1488.3558045876377</v>
      </c>
      <c r="K167" s="107">
        <f t="shared" si="323"/>
        <v>1374.5403607074068</v>
      </c>
      <c r="L167" s="108">
        <f>(1440)/1.1422</f>
        <v>1260.7249168271755</v>
      </c>
      <c r="M167" s="109">
        <f t="shared" si="324"/>
        <v>1033.0940290667131</v>
      </c>
      <c r="N167" s="107">
        <f t="shared" si="325"/>
        <v>30.41914984079375</v>
      </c>
      <c r="O167" s="107">
        <f t="shared" si="326"/>
        <v>25.213187955288781</v>
      </c>
      <c r="P167" s="107">
        <f t="shared" si="334"/>
        <v>20.007226069783812</v>
      </c>
      <c r="Q167" s="107">
        <f t="shared" si="335"/>
        <v>17.353206285016569</v>
      </c>
      <c r="R167" s="107">
        <f t="shared" si="336"/>
        <v>16.026196392632951</v>
      </c>
      <c r="S167" s="107">
        <f t="shared" si="337"/>
        <v>14.699186500249329</v>
      </c>
      <c r="T167" s="107">
        <f t="shared" si="338"/>
        <v>12.045166715482088</v>
      </c>
      <c r="U167" s="450">
        <f t="shared" si="327"/>
        <v>2.1887585361582907E-2</v>
      </c>
      <c r="V167" s="295">
        <f t="shared" si="328"/>
        <v>1.9698826825424617E-2</v>
      </c>
      <c r="W167" s="451">
        <f>((20)/1.1422)*0.001</f>
        <v>1.7510068289266326E-2</v>
      </c>
      <c r="X167" s="295">
        <f t="shared" si="330"/>
        <v>1.5321309753108036E-2</v>
      </c>
      <c r="Y167" s="295">
        <f t="shared" si="331"/>
        <v>1.4226930485028891E-2</v>
      </c>
      <c r="Z167" s="451">
        <f>((15)/1.1422)*0.001</f>
        <v>1.3132551216949746E-2</v>
      </c>
      <c r="AA167" s="452">
        <f t="shared" si="333"/>
        <v>1.0943792680791455E-2</v>
      </c>
      <c r="AB167" s="1041"/>
      <c r="AC167" s="1041"/>
      <c r="AD167" s="1041"/>
      <c r="AE167" s="1041"/>
      <c r="AF167" s="1041"/>
      <c r="AG167" s="1041"/>
      <c r="AH167" s="1041"/>
      <c r="AI167" s="111"/>
      <c r="AJ167" s="111"/>
      <c r="AK167" s="111"/>
      <c r="AL167" s="111"/>
      <c r="AM167" s="108"/>
      <c r="AN167" s="111"/>
      <c r="AO167" s="112"/>
      <c r="AP167" s="859"/>
      <c r="AQ167" s="860"/>
      <c r="AR167" s="860"/>
      <c r="AS167" s="860"/>
      <c r="AT167" s="860"/>
      <c r="AU167" s="860"/>
      <c r="AV167" s="861"/>
      <c r="AW167" s="828" t="s">
        <v>287</v>
      </c>
      <c r="AX167" s="829"/>
      <c r="AY167" s="104" t="s">
        <v>313</v>
      </c>
    </row>
    <row r="168" spans="1:51" ht="15" customHeight="1" x14ac:dyDescent="0.3">
      <c r="A168" s="853"/>
      <c r="B168" s="855"/>
      <c r="C168" s="105">
        <v>6</v>
      </c>
      <c r="D168" s="105" t="s">
        <v>39</v>
      </c>
      <c r="E168" s="105">
        <v>2020</v>
      </c>
      <c r="F168" s="91" t="s">
        <v>19</v>
      </c>
      <c r="G168" s="113">
        <f t="shared" si="339"/>
        <v>2609.0001751006826</v>
      </c>
      <c r="H168" s="107">
        <f t="shared" si="321"/>
        <v>2127.4732971458589</v>
      </c>
      <c r="I168" s="108">
        <f>(1880)/1.1422</f>
        <v>1645.9464191910347</v>
      </c>
      <c r="J168" s="107">
        <f t="shared" si="322"/>
        <v>1374.5403607074068</v>
      </c>
      <c r="K168" s="107">
        <f t="shared" si="323"/>
        <v>1238.8373314655928</v>
      </c>
      <c r="L168" s="108">
        <f>(1260)/1.1422</f>
        <v>1103.1343022237786</v>
      </c>
      <c r="M168" s="109">
        <f t="shared" si="324"/>
        <v>831.72824374015022</v>
      </c>
      <c r="N168" s="107">
        <f t="shared" si="325"/>
        <v>30.41914984079375</v>
      </c>
      <c r="O168" s="107">
        <f t="shared" si="326"/>
        <v>24.804877219170749</v>
      </c>
      <c r="P168" s="107">
        <f t="shared" si="334"/>
        <v>19.190604597547733</v>
      </c>
      <c r="Q168" s="107">
        <f t="shared" si="335"/>
        <v>16.026196392632951</v>
      </c>
      <c r="R168" s="107">
        <f t="shared" si="336"/>
        <v>14.443992290175558</v>
      </c>
      <c r="S168" s="107">
        <f t="shared" si="337"/>
        <v>12.861788187718163</v>
      </c>
      <c r="T168" s="107">
        <f t="shared" si="338"/>
        <v>9.6973799828033727</v>
      </c>
      <c r="U168" s="450">
        <f t="shared" si="327"/>
        <v>2.1887585361582907E-2</v>
      </c>
      <c r="V168" s="295">
        <f t="shared" si="328"/>
        <v>1.7510068289266326E-2</v>
      </c>
      <c r="W168" s="451">
        <f t="shared" ref="W168:W169" si="340">((15)/1.1422)*0.001</f>
        <v>1.3132551216949746E-2</v>
      </c>
      <c r="X168" s="295">
        <f t="shared" si="330"/>
        <v>1.0943792680791455E-2</v>
      </c>
      <c r="Y168" s="295">
        <f t="shared" si="331"/>
        <v>9.8494134127123101E-3</v>
      </c>
      <c r="Z168" s="451">
        <f t="shared" ref="Z168:Z169" si="341">((10)/1.1422)*0.001</f>
        <v>8.7550341446331632E-3</v>
      </c>
      <c r="AA168" s="452">
        <f t="shared" si="333"/>
        <v>6.5662756084748693E-3</v>
      </c>
      <c r="AB168" s="1041"/>
      <c r="AC168" s="1041"/>
      <c r="AD168" s="1041"/>
      <c r="AE168" s="1041"/>
      <c r="AF168" s="1041"/>
      <c r="AG168" s="1041"/>
      <c r="AH168" s="1041"/>
      <c r="AI168" s="111"/>
      <c r="AJ168" s="111"/>
      <c r="AK168" s="111"/>
      <c r="AL168" s="111"/>
      <c r="AM168" s="108"/>
      <c r="AN168" s="111"/>
      <c r="AO168" s="112"/>
      <c r="AP168" s="859"/>
      <c r="AQ168" s="860"/>
      <c r="AR168" s="860"/>
      <c r="AS168" s="860"/>
      <c r="AT168" s="860"/>
      <c r="AU168" s="860"/>
      <c r="AV168" s="861"/>
      <c r="AW168" s="828" t="s">
        <v>287</v>
      </c>
      <c r="AX168" s="829"/>
      <c r="AY168" s="104" t="s">
        <v>314</v>
      </c>
    </row>
    <row r="169" spans="1:51" ht="15" customHeight="1" x14ac:dyDescent="0.3">
      <c r="A169" s="853"/>
      <c r="B169" s="855"/>
      <c r="C169" s="105">
        <v>6</v>
      </c>
      <c r="D169" s="105" t="s">
        <v>39</v>
      </c>
      <c r="E169" s="105">
        <v>2020</v>
      </c>
      <c r="F169" s="91" t="s">
        <v>19</v>
      </c>
      <c r="G169" s="113">
        <f t="shared" si="339"/>
        <v>2609.0001751006826</v>
      </c>
      <c r="H169" s="107">
        <f t="shared" si="321"/>
        <v>2092.453160567326</v>
      </c>
      <c r="I169" s="108">
        <f>(1800)/1.1422</f>
        <v>1575.9061460339694</v>
      </c>
      <c r="J169" s="107">
        <f t="shared" si="322"/>
        <v>1322.0101558396077</v>
      </c>
      <c r="K169" s="107">
        <f t="shared" si="323"/>
        <v>1195.0621607424268</v>
      </c>
      <c r="L169" s="108">
        <f>(1220)/1.1422</f>
        <v>1068.114165645246</v>
      </c>
      <c r="M169" s="109">
        <f t="shared" si="324"/>
        <v>814.21817545088425</v>
      </c>
      <c r="N169" s="107">
        <f t="shared" si="325"/>
        <v>30.41914984079375</v>
      </c>
      <c r="O169" s="107">
        <f t="shared" si="326"/>
        <v>24.396566483052705</v>
      </c>
      <c r="P169" s="107">
        <f t="shared" si="334"/>
        <v>18.373983125311661</v>
      </c>
      <c r="Q169" s="107">
        <f t="shared" si="335"/>
        <v>15.413730288455895</v>
      </c>
      <c r="R169" s="107">
        <f t="shared" si="336"/>
        <v>13.933603870028012</v>
      </c>
      <c r="S169" s="107">
        <f t="shared" si="337"/>
        <v>12.453477451600127</v>
      </c>
      <c r="T169" s="107">
        <f t="shared" si="338"/>
        <v>9.4932246147443582</v>
      </c>
      <c r="U169" s="450">
        <f t="shared" si="327"/>
        <v>2.1887585361582907E-2</v>
      </c>
      <c r="V169" s="295">
        <f t="shared" si="328"/>
        <v>1.7510068289266326E-2</v>
      </c>
      <c r="W169" s="451">
        <f t="shared" si="340"/>
        <v>1.3132551216949746E-2</v>
      </c>
      <c r="X169" s="295">
        <f t="shared" si="330"/>
        <v>1.0943792680791455E-2</v>
      </c>
      <c r="Y169" s="295">
        <f t="shared" si="331"/>
        <v>9.8494134127123101E-3</v>
      </c>
      <c r="Z169" s="451">
        <f t="shared" si="341"/>
        <v>8.7550341446331632E-3</v>
      </c>
      <c r="AA169" s="452">
        <f t="shared" si="333"/>
        <v>6.5662756084748693E-3</v>
      </c>
      <c r="AB169" s="1041"/>
      <c r="AC169" s="1041"/>
      <c r="AD169" s="1041"/>
      <c r="AE169" s="1041"/>
      <c r="AF169" s="1041"/>
      <c r="AG169" s="1041"/>
      <c r="AH169" s="1041"/>
      <c r="AI169" s="111"/>
      <c r="AJ169" s="111"/>
      <c r="AK169" s="111"/>
      <c r="AL169" s="111"/>
      <c r="AM169" s="108"/>
      <c r="AN169" s="111"/>
      <c r="AO169" s="112"/>
      <c r="AP169" s="859"/>
      <c r="AQ169" s="860"/>
      <c r="AR169" s="860"/>
      <c r="AS169" s="860"/>
      <c r="AT169" s="860"/>
      <c r="AU169" s="860"/>
      <c r="AV169" s="861"/>
      <c r="AW169" s="828" t="s">
        <v>287</v>
      </c>
      <c r="AX169" s="829"/>
      <c r="AY169" s="104" t="s">
        <v>315</v>
      </c>
    </row>
    <row r="170" spans="1:51" ht="16.2" customHeight="1" x14ac:dyDescent="0.3">
      <c r="A170" s="853"/>
      <c r="B170" s="119"/>
      <c r="C170" s="120">
        <v>13</v>
      </c>
      <c r="D170" s="120" t="s">
        <v>63</v>
      </c>
      <c r="E170" s="120">
        <v>2020</v>
      </c>
      <c r="F170" s="91" t="s">
        <v>19</v>
      </c>
      <c r="G170" s="587">
        <v>3274.58</v>
      </c>
      <c r="H170" s="121"/>
      <c r="I170" s="121"/>
      <c r="J170" s="121"/>
      <c r="K170" s="121"/>
      <c r="L170" s="121"/>
      <c r="M170" s="588"/>
      <c r="N170" s="122">
        <f>G170*0.02*$BC$7</f>
        <v>87.58972576942557</v>
      </c>
      <c r="O170" s="121"/>
      <c r="P170" s="121"/>
      <c r="Q170" s="121"/>
      <c r="R170" s="121"/>
      <c r="S170" s="121"/>
      <c r="T170" s="121"/>
      <c r="U170" s="454"/>
      <c r="V170" s="455"/>
      <c r="W170" s="455"/>
      <c r="X170" s="455"/>
      <c r="Y170" s="121"/>
      <c r="Z170" s="455"/>
      <c r="AA170" s="588"/>
      <c r="AB170" s="121"/>
      <c r="AC170" s="121"/>
      <c r="AD170" s="121"/>
      <c r="AE170" s="121"/>
      <c r="AF170" s="121"/>
      <c r="AG170" s="121"/>
      <c r="AH170" s="121"/>
      <c r="AI170" s="124"/>
      <c r="AJ170" s="124"/>
      <c r="AK170" s="124"/>
      <c r="AL170" s="124"/>
      <c r="AM170" s="121"/>
      <c r="AN170" s="124"/>
      <c r="AO170" s="588"/>
      <c r="AP170" s="862"/>
      <c r="AQ170" s="863"/>
      <c r="AR170" s="863"/>
      <c r="AS170" s="863"/>
      <c r="AT170" s="863"/>
      <c r="AU170" s="863"/>
      <c r="AV170" s="864"/>
      <c r="AW170" s="123"/>
      <c r="AX170" s="51"/>
      <c r="AY170" s="116"/>
    </row>
    <row r="171" spans="1:51" ht="15" customHeight="1" x14ac:dyDescent="0.3">
      <c r="A171" s="853"/>
      <c r="B171" s="125" t="s">
        <v>267</v>
      </c>
      <c r="C171" s="126"/>
      <c r="D171" s="126"/>
      <c r="E171" s="126"/>
      <c r="F171" s="126"/>
      <c r="G171" s="135">
        <f>MIN(G164:G170)</f>
        <v>2451.4095604972858</v>
      </c>
      <c r="H171" s="136">
        <f t="shared" ref="H171:AA171" si="342">MIN(H164:H170)</f>
        <v>1996.1477849763614</v>
      </c>
      <c r="I171" s="136">
        <f t="shared" si="342"/>
        <v>1540.8860094554368</v>
      </c>
      <c r="J171" s="136">
        <f t="shared" si="342"/>
        <v>1251.9698826825424</v>
      </c>
      <c r="K171" s="136">
        <f t="shared" si="342"/>
        <v>1107.5118192960952</v>
      </c>
      <c r="L171" s="136">
        <f t="shared" si="342"/>
        <v>963.05375590964798</v>
      </c>
      <c r="M171" s="459">
        <f t="shared" si="342"/>
        <v>674.1376291367535</v>
      </c>
      <c r="N171" s="128">
        <f t="shared" si="342"/>
        <v>28.581751528262586</v>
      </c>
      <c r="O171" s="128">
        <f t="shared" si="342"/>
        <v>23.273711958728107</v>
      </c>
      <c r="P171" s="128">
        <f t="shared" si="342"/>
        <v>17.965672389193625</v>
      </c>
      <c r="Q171" s="128">
        <f t="shared" si="342"/>
        <v>14.597108816219821</v>
      </c>
      <c r="R171" s="128">
        <f t="shared" si="342"/>
        <v>12.912827029732918</v>
      </c>
      <c r="S171" s="128">
        <f t="shared" si="342"/>
        <v>11.228545243246016</v>
      </c>
      <c r="T171" s="456">
        <f t="shared" si="342"/>
        <v>7.8599816702722105</v>
      </c>
      <c r="U171" s="460">
        <f t="shared" si="342"/>
        <v>2.1887585361582907E-2</v>
      </c>
      <c r="V171" s="461">
        <f t="shared" si="342"/>
        <v>1.7510068289266326E-2</v>
      </c>
      <c r="W171" s="461">
        <f t="shared" si="342"/>
        <v>1.3132551216949746E-2</v>
      </c>
      <c r="X171" s="461">
        <f t="shared" si="342"/>
        <v>1.0943792680791455E-2</v>
      </c>
      <c r="Y171" s="461">
        <f t="shared" si="342"/>
        <v>9.8494134127123101E-3</v>
      </c>
      <c r="Z171" s="461">
        <f t="shared" si="342"/>
        <v>8.7550341446331632E-3</v>
      </c>
      <c r="AA171" s="461">
        <f t="shared" si="342"/>
        <v>6.5662756084748693E-3</v>
      </c>
      <c r="AB171" s="461"/>
      <c r="AC171" s="461"/>
      <c r="AD171" s="461"/>
      <c r="AE171" s="461"/>
      <c r="AF171" s="461"/>
      <c r="AG171" s="461"/>
      <c r="AH171" s="461"/>
      <c r="AI171" s="131"/>
      <c r="AJ171" s="126"/>
      <c r="AK171" s="126"/>
      <c r="AL171" s="126"/>
      <c r="AM171" s="128"/>
      <c r="AN171" s="126"/>
      <c r="AO171" s="456"/>
      <c r="AP171" s="889">
        <v>1</v>
      </c>
      <c r="AQ171" s="890"/>
      <c r="AR171" s="890"/>
      <c r="AS171" s="890"/>
      <c r="AT171" s="890"/>
      <c r="AU171" s="890"/>
      <c r="AV171" s="891"/>
      <c r="AW171" s="131"/>
      <c r="AX171" s="132"/>
      <c r="AY171" s="104"/>
    </row>
    <row r="172" spans="1:51" ht="15" customHeight="1" x14ac:dyDescent="0.3">
      <c r="A172" s="853"/>
      <c r="B172" s="133" t="s">
        <v>268</v>
      </c>
      <c r="C172" s="134"/>
      <c r="D172" s="134"/>
      <c r="E172" s="134"/>
      <c r="F172" s="134"/>
      <c r="G172" s="135">
        <f>MEDIAN(G164:G170)</f>
        <v>2609.0001751006826</v>
      </c>
      <c r="H172" s="136">
        <f t="shared" ref="H172:AA172" si="343">MEDIAN(H164:H170)</f>
        <v>2109.9632288565927</v>
      </c>
      <c r="I172" s="136">
        <f t="shared" si="343"/>
        <v>1619.6813167571352</v>
      </c>
      <c r="J172" s="136">
        <f t="shared" si="343"/>
        <v>1348.2752582735072</v>
      </c>
      <c r="K172" s="136">
        <f t="shared" si="343"/>
        <v>1216.9497461040098</v>
      </c>
      <c r="L172" s="136">
        <f t="shared" si="343"/>
        <v>1085.6242339345122</v>
      </c>
      <c r="M172" s="459">
        <f t="shared" si="343"/>
        <v>822.97320959551723</v>
      </c>
      <c r="N172" s="136">
        <f t="shared" si="343"/>
        <v>30.41914984079375</v>
      </c>
      <c r="O172" s="136">
        <f t="shared" si="343"/>
        <v>24.600721851111729</v>
      </c>
      <c r="P172" s="136">
        <f t="shared" si="343"/>
        <v>18.884371545459206</v>
      </c>
      <c r="Q172" s="136">
        <f t="shared" si="343"/>
        <v>15.719963340544423</v>
      </c>
      <c r="R172" s="136">
        <f t="shared" si="343"/>
        <v>14.188798080101785</v>
      </c>
      <c r="S172" s="136">
        <f t="shared" si="343"/>
        <v>12.657632819659145</v>
      </c>
      <c r="T172" s="459">
        <f t="shared" si="343"/>
        <v>9.5953022987738663</v>
      </c>
      <c r="U172" s="460">
        <f t="shared" si="343"/>
        <v>2.1887585361582907E-2</v>
      </c>
      <c r="V172" s="461">
        <f t="shared" si="343"/>
        <v>1.7510068289266326E-2</v>
      </c>
      <c r="W172" s="461">
        <f t="shared" si="343"/>
        <v>1.3132551216949746E-2</v>
      </c>
      <c r="X172" s="461">
        <f t="shared" si="343"/>
        <v>1.0943792680791455E-2</v>
      </c>
      <c r="Y172" s="461">
        <f t="shared" si="343"/>
        <v>9.8494134127123101E-3</v>
      </c>
      <c r="Z172" s="461">
        <f t="shared" si="343"/>
        <v>8.7550341446331632E-3</v>
      </c>
      <c r="AA172" s="461">
        <f t="shared" si="343"/>
        <v>6.5662756084748693E-3</v>
      </c>
      <c r="AB172" s="461"/>
      <c r="AC172" s="461"/>
      <c r="AD172" s="461"/>
      <c r="AE172" s="461"/>
      <c r="AF172" s="461"/>
      <c r="AG172" s="461"/>
      <c r="AH172" s="461"/>
      <c r="AI172" s="139"/>
      <c r="AJ172" s="134"/>
      <c r="AK172" s="134"/>
      <c r="AL172" s="134"/>
      <c r="AM172" s="136"/>
      <c r="AN172" s="134"/>
      <c r="AO172" s="459"/>
      <c r="AP172" s="892"/>
      <c r="AQ172" s="893"/>
      <c r="AR172" s="893"/>
      <c r="AS172" s="893"/>
      <c r="AT172" s="893"/>
      <c r="AU172" s="893"/>
      <c r="AV172" s="894"/>
      <c r="AW172" s="139"/>
      <c r="AX172" s="140"/>
      <c r="AY172" s="104"/>
    </row>
    <row r="173" spans="1:51" ht="16.2" customHeight="1" x14ac:dyDescent="0.3">
      <c r="A173" s="853"/>
      <c r="B173" s="141" t="s">
        <v>269</v>
      </c>
      <c r="C173" s="142"/>
      <c r="D173" s="142"/>
      <c r="E173" s="142"/>
      <c r="F173" s="142"/>
      <c r="G173" s="135">
        <f>MAX(G164:G170)</f>
        <v>3274.58</v>
      </c>
      <c r="H173" s="136">
        <f t="shared" ref="H173:AA173" si="344">MAX(H164:H170)</f>
        <v>2451.4095604972858</v>
      </c>
      <c r="I173" s="136">
        <f t="shared" si="344"/>
        <v>2451.4095604972858</v>
      </c>
      <c r="J173" s="136">
        <f t="shared" si="344"/>
        <v>2451.4095604972858</v>
      </c>
      <c r="K173" s="136">
        <f t="shared" si="344"/>
        <v>2451.4095604972858</v>
      </c>
      <c r="L173" s="136">
        <f t="shared" si="344"/>
        <v>2451.4095604972858</v>
      </c>
      <c r="M173" s="459">
        <f t="shared" si="344"/>
        <v>2451.4095604972858</v>
      </c>
      <c r="N173" s="143">
        <f t="shared" si="344"/>
        <v>87.58972576942557</v>
      </c>
      <c r="O173" s="143">
        <f t="shared" si="344"/>
        <v>28.581751528262586</v>
      </c>
      <c r="P173" s="143">
        <f t="shared" si="344"/>
        <v>28.581751528262586</v>
      </c>
      <c r="Q173" s="143">
        <f t="shared" si="344"/>
        <v>28.581751528262586</v>
      </c>
      <c r="R173" s="143">
        <f t="shared" si="344"/>
        <v>28.581751528262586</v>
      </c>
      <c r="S173" s="143">
        <f t="shared" si="344"/>
        <v>28.581751528262586</v>
      </c>
      <c r="T173" s="592">
        <f t="shared" si="344"/>
        <v>28.581751528262586</v>
      </c>
      <c r="U173" s="460">
        <f t="shared" si="344"/>
        <v>2.1887585361582907E-2</v>
      </c>
      <c r="V173" s="461">
        <f t="shared" si="344"/>
        <v>1.9698826825424617E-2</v>
      </c>
      <c r="W173" s="461">
        <f t="shared" si="344"/>
        <v>1.7510068289266326E-2</v>
      </c>
      <c r="X173" s="461">
        <f t="shared" si="344"/>
        <v>1.5321309753108036E-2</v>
      </c>
      <c r="Y173" s="461">
        <f t="shared" si="344"/>
        <v>1.4226930485028891E-2</v>
      </c>
      <c r="Z173" s="461">
        <f t="shared" si="344"/>
        <v>1.3132551216949746E-2</v>
      </c>
      <c r="AA173" s="461">
        <f t="shared" si="344"/>
        <v>1.0943792680791455E-2</v>
      </c>
      <c r="AB173" s="461"/>
      <c r="AC173" s="461"/>
      <c r="AD173" s="461"/>
      <c r="AE173" s="461"/>
      <c r="AF173" s="461"/>
      <c r="AG173" s="461"/>
      <c r="AH173" s="461"/>
      <c r="AI173" s="145"/>
      <c r="AJ173" s="142"/>
      <c r="AK173" s="142"/>
      <c r="AL173" s="142"/>
      <c r="AM173" s="143"/>
      <c r="AN173" s="142"/>
      <c r="AO173" s="592"/>
      <c r="AP173" s="892"/>
      <c r="AQ173" s="893"/>
      <c r="AR173" s="893"/>
      <c r="AS173" s="893"/>
      <c r="AT173" s="893"/>
      <c r="AU173" s="893"/>
      <c r="AV173" s="894"/>
      <c r="AW173" s="145"/>
      <c r="AX173" s="146"/>
      <c r="AY173" s="104"/>
    </row>
    <row r="174" spans="1:51" x14ac:dyDescent="0.3">
      <c r="A174" s="853"/>
      <c r="B174" s="895" t="s">
        <v>15</v>
      </c>
      <c r="C174" s="147">
        <v>6</v>
      </c>
      <c r="D174" s="147" t="s">
        <v>39</v>
      </c>
      <c r="E174" s="147">
        <v>2020</v>
      </c>
      <c r="F174" s="148" t="s">
        <v>19</v>
      </c>
      <c r="G174" s="464">
        <f t="shared" ref="G174:G176" si="345">(1260)/1.1422</f>
        <v>1103.1343022237786</v>
      </c>
      <c r="H174" s="93">
        <f t="shared" ref="H174:H179" si="346">G174+((I174-G174)/(2030-2020))*(2025-2020)</f>
        <v>1072.4916827175625</v>
      </c>
      <c r="I174" s="149">
        <f>(1190)/1.1422</f>
        <v>1041.8490632113464</v>
      </c>
      <c r="J174" s="93">
        <f t="shared" ref="J174:J179" si="347">I174+((L174-I174)/(2050-2030))*(2040-2030)</f>
        <v>1019.9614778497635</v>
      </c>
      <c r="K174" s="93">
        <f t="shared" ref="K174:K179" si="348">J174+((L174-J174)/(2050-2040))*(2045-2040)</f>
        <v>1009.0176851689721</v>
      </c>
      <c r="L174" s="149">
        <f>(1140)/1.1422</f>
        <v>998.0738924881806</v>
      </c>
      <c r="M174" s="95">
        <f t="shared" ref="M174:M179" si="349">K174+((L174-K174)/(2050-2045))*(2060-2045)</f>
        <v>976.18630712659763</v>
      </c>
      <c r="N174" s="93">
        <f t="shared" ref="N174:N179" si="350">G174*0.02*$BC$8</f>
        <v>12.861788187718163</v>
      </c>
      <c r="O174" s="93">
        <f t="shared" ref="O174:O179" si="351">H174*0.02*$BC$8</f>
        <v>12.504516293614882</v>
      </c>
      <c r="P174" s="93">
        <f t="shared" ref="P174:P179" si="352">I174*0.02*$BC$8</f>
        <v>12.147244399511598</v>
      </c>
      <c r="Q174" s="93">
        <f t="shared" ref="Q174:Q179" si="353">J174*0.02*$BC$8</f>
        <v>11.892050189437825</v>
      </c>
      <c r="R174" s="93">
        <f t="shared" ref="R174:R179" si="354">K174*0.02*$BC$8</f>
        <v>11.764453084400939</v>
      </c>
      <c r="S174" s="93">
        <f t="shared" ref="S174:S179" si="355">L174*0.02*$BC$8</f>
        <v>11.636855979364052</v>
      </c>
      <c r="T174" s="93">
        <f t="shared" ref="T174:T179" si="356">M174*0.02*$BC$8</f>
        <v>11.381661769290279</v>
      </c>
      <c r="U174" s="465">
        <f t="shared" ref="U174:U176" si="357">((15)/1.1422)*0.001</f>
        <v>1.3132551216949746E-2</v>
      </c>
      <c r="V174" s="286">
        <f t="shared" ref="V174:V179" si="358">U174+((W174-U174)/(2030-2020))*(2025-2020)</f>
        <v>1.3132551216949746E-2</v>
      </c>
      <c r="W174" s="466">
        <f t="shared" ref="W174:W176" si="359">((15)/1.1422)*0.001</f>
        <v>1.3132551216949746E-2</v>
      </c>
      <c r="X174" s="286">
        <f t="shared" ref="X174:X179" si="360">W174+((Z174-W174)/(2050-2030))*(2040-2030)</f>
        <v>1.0943792680791455E-2</v>
      </c>
      <c r="Y174" s="286">
        <f t="shared" ref="Y174:Y179" si="361">X174+((Z174-X174)/(2050-2040))*(2045-2040)</f>
        <v>9.8494134127123101E-3</v>
      </c>
      <c r="Z174" s="466">
        <f t="shared" ref="Z174:Z179" si="362">((10)/1.1422)*0.001</f>
        <v>8.7550341446331632E-3</v>
      </c>
      <c r="AA174" s="366">
        <f t="shared" ref="AA174:AA179" si="363">Y174+((Z174-Y174)/(2050-2045))*(2060-2045)</f>
        <v>6.5662756084748693E-3</v>
      </c>
      <c r="AB174" s="286"/>
      <c r="AC174" s="286"/>
      <c r="AD174" s="286"/>
      <c r="AE174" s="286"/>
      <c r="AF174" s="286"/>
      <c r="AG174" s="286"/>
      <c r="AH174" s="286"/>
      <c r="AI174" s="147"/>
      <c r="AJ174" s="147"/>
      <c r="AK174" s="147"/>
      <c r="AL174" s="147"/>
      <c r="AM174" s="149"/>
      <c r="AN174" s="147"/>
      <c r="AO174" s="151"/>
      <c r="AP174" s="897">
        <v>1</v>
      </c>
      <c r="AQ174" s="898"/>
      <c r="AR174" s="898"/>
      <c r="AS174" s="898"/>
      <c r="AT174" s="898"/>
      <c r="AU174" s="898"/>
      <c r="AV174" s="899"/>
      <c r="AW174" s="830" t="s">
        <v>292</v>
      </c>
      <c r="AX174" s="831"/>
      <c r="AY174" s="104" t="s">
        <v>310</v>
      </c>
    </row>
    <row r="175" spans="1:51" x14ac:dyDescent="0.3">
      <c r="A175" s="853"/>
      <c r="B175" s="896"/>
      <c r="C175" s="153">
        <v>6</v>
      </c>
      <c r="D175" s="153" t="s">
        <v>39</v>
      </c>
      <c r="E175" s="153">
        <v>2020</v>
      </c>
      <c r="F175" s="148" t="s">
        <v>19</v>
      </c>
      <c r="G175" s="158">
        <f t="shared" si="345"/>
        <v>1103.1343022237786</v>
      </c>
      <c r="H175" s="107">
        <f t="shared" si="346"/>
        <v>1068.114165645246</v>
      </c>
      <c r="I175" s="154">
        <f>(1180)/1.1422</f>
        <v>1033.0940290667133</v>
      </c>
      <c r="J175" s="107">
        <f t="shared" si="347"/>
        <v>1002.4514095604973</v>
      </c>
      <c r="K175" s="107">
        <f t="shared" si="348"/>
        <v>987.13009980738912</v>
      </c>
      <c r="L175" s="154">
        <f>(1110)/1.1422</f>
        <v>971.80879005428108</v>
      </c>
      <c r="M175" s="109">
        <f t="shared" si="349"/>
        <v>941.166170548065</v>
      </c>
      <c r="N175" s="107">
        <f t="shared" si="350"/>
        <v>12.861788187718163</v>
      </c>
      <c r="O175" s="107">
        <f t="shared" si="351"/>
        <v>12.453477451600127</v>
      </c>
      <c r="P175" s="107">
        <f t="shared" si="352"/>
        <v>12.04516671548209</v>
      </c>
      <c r="Q175" s="107">
        <f t="shared" si="353"/>
        <v>11.687894821378809</v>
      </c>
      <c r="R175" s="107">
        <f t="shared" si="354"/>
        <v>11.509258874327166</v>
      </c>
      <c r="S175" s="107">
        <f t="shared" si="355"/>
        <v>11.330622927275524</v>
      </c>
      <c r="T175" s="107">
        <f t="shared" si="356"/>
        <v>10.973351033172243</v>
      </c>
      <c r="U175" s="467">
        <f t="shared" si="357"/>
        <v>1.3132551216949746E-2</v>
      </c>
      <c r="V175" s="295">
        <f t="shared" si="358"/>
        <v>1.3132551216949746E-2</v>
      </c>
      <c r="W175" s="468">
        <f t="shared" si="359"/>
        <v>1.3132551216949746E-2</v>
      </c>
      <c r="X175" s="295">
        <f t="shared" si="360"/>
        <v>1.0943792680791455E-2</v>
      </c>
      <c r="Y175" s="295">
        <f t="shared" si="361"/>
        <v>9.8494134127123101E-3</v>
      </c>
      <c r="Z175" s="468">
        <f t="shared" si="362"/>
        <v>8.7550341446331632E-3</v>
      </c>
      <c r="AA175" s="452">
        <f t="shared" si="363"/>
        <v>6.5662756084748693E-3</v>
      </c>
      <c r="AB175" s="1041"/>
      <c r="AC175" s="1041"/>
      <c r="AD175" s="1041"/>
      <c r="AE175" s="1041"/>
      <c r="AF175" s="1041"/>
      <c r="AG175" s="1041"/>
      <c r="AH175" s="1041"/>
      <c r="AI175" s="153"/>
      <c r="AJ175" s="153"/>
      <c r="AK175" s="153"/>
      <c r="AL175" s="153"/>
      <c r="AM175" s="154"/>
      <c r="AN175" s="153"/>
      <c r="AO175" s="156"/>
      <c r="AP175" s="900"/>
      <c r="AQ175" s="901"/>
      <c r="AR175" s="901"/>
      <c r="AS175" s="901"/>
      <c r="AT175" s="901"/>
      <c r="AU175" s="901"/>
      <c r="AV175" s="902"/>
      <c r="AW175" s="832" t="s">
        <v>292</v>
      </c>
      <c r="AX175" s="833"/>
      <c r="AY175" s="104" t="s">
        <v>311</v>
      </c>
    </row>
    <row r="176" spans="1:51" x14ac:dyDescent="0.3">
      <c r="A176" s="853"/>
      <c r="B176" s="896"/>
      <c r="C176" s="153">
        <v>6</v>
      </c>
      <c r="D176" s="153" t="s">
        <v>39</v>
      </c>
      <c r="E176" s="153">
        <v>2020</v>
      </c>
      <c r="F176" s="148" t="s">
        <v>19</v>
      </c>
      <c r="G176" s="158">
        <f t="shared" si="345"/>
        <v>1103.1343022237786</v>
      </c>
      <c r="H176" s="107">
        <f t="shared" si="346"/>
        <v>1059.3591315006129</v>
      </c>
      <c r="I176" s="154">
        <f>(1160)/1.1422</f>
        <v>1015.5839607774469</v>
      </c>
      <c r="J176" s="107">
        <f t="shared" si="347"/>
        <v>984.94134127123084</v>
      </c>
      <c r="K176" s="107">
        <f t="shared" si="348"/>
        <v>969.6200315181228</v>
      </c>
      <c r="L176" s="154">
        <f>(1090)/1.1422</f>
        <v>954.29872176501476</v>
      </c>
      <c r="M176" s="109">
        <f t="shared" si="349"/>
        <v>923.65610225879868</v>
      </c>
      <c r="N176" s="107">
        <f t="shared" si="350"/>
        <v>12.861788187718163</v>
      </c>
      <c r="O176" s="107">
        <f t="shared" si="351"/>
        <v>12.351399767570619</v>
      </c>
      <c r="P176" s="107">
        <f t="shared" si="352"/>
        <v>11.84101134742307</v>
      </c>
      <c r="Q176" s="107">
        <f t="shared" si="353"/>
        <v>11.483739453319789</v>
      </c>
      <c r="R176" s="107">
        <f t="shared" si="354"/>
        <v>11.305103506268146</v>
      </c>
      <c r="S176" s="107">
        <f t="shared" si="355"/>
        <v>11.126467559216508</v>
      </c>
      <c r="T176" s="107">
        <f t="shared" si="356"/>
        <v>10.769195665113223</v>
      </c>
      <c r="U176" s="467">
        <f t="shared" si="357"/>
        <v>1.3132551216949746E-2</v>
      </c>
      <c r="V176" s="295">
        <f t="shared" si="358"/>
        <v>1.3132551216949746E-2</v>
      </c>
      <c r="W176" s="468">
        <f t="shared" si="359"/>
        <v>1.3132551216949746E-2</v>
      </c>
      <c r="X176" s="295">
        <f t="shared" si="360"/>
        <v>1.0943792680791455E-2</v>
      </c>
      <c r="Y176" s="295">
        <f t="shared" si="361"/>
        <v>9.8494134127123101E-3</v>
      </c>
      <c r="Z176" s="468">
        <f t="shared" si="362"/>
        <v>8.7550341446331632E-3</v>
      </c>
      <c r="AA176" s="452">
        <f t="shared" si="363"/>
        <v>6.5662756084748693E-3</v>
      </c>
      <c r="AB176" s="1041"/>
      <c r="AC176" s="1041"/>
      <c r="AD176" s="1041"/>
      <c r="AE176" s="1041"/>
      <c r="AF176" s="1041"/>
      <c r="AG176" s="1041"/>
      <c r="AH176" s="1041"/>
      <c r="AI176" s="153"/>
      <c r="AJ176" s="153"/>
      <c r="AK176" s="153"/>
      <c r="AL176" s="153"/>
      <c r="AM176" s="154"/>
      <c r="AN176" s="153"/>
      <c r="AO176" s="156"/>
      <c r="AP176" s="900"/>
      <c r="AQ176" s="901"/>
      <c r="AR176" s="901"/>
      <c r="AS176" s="901"/>
      <c r="AT176" s="901"/>
      <c r="AU176" s="901"/>
      <c r="AV176" s="902"/>
      <c r="AW176" s="832" t="s">
        <v>292</v>
      </c>
      <c r="AX176" s="833"/>
      <c r="AY176" s="104" t="s">
        <v>312</v>
      </c>
    </row>
    <row r="177" spans="1:51" x14ac:dyDescent="0.3">
      <c r="A177" s="853"/>
      <c r="B177" s="896"/>
      <c r="C177" s="153">
        <v>6</v>
      </c>
      <c r="D177" s="153" t="s">
        <v>39</v>
      </c>
      <c r="E177" s="153">
        <v>2020</v>
      </c>
      <c r="F177" s="148" t="s">
        <v>19</v>
      </c>
      <c r="G177" s="158">
        <f t="shared" ref="G177:G179" si="364">(1040)/1.1422</f>
        <v>910.52355104184903</v>
      </c>
      <c r="H177" s="107">
        <f t="shared" si="346"/>
        <v>901.76851689721582</v>
      </c>
      <c r="I177" s="154">
        <f>(1020)/1.1422</f>
        <v>893.0134827525826</v>
      </c>
      <c r="J177" s="107">
        <f t="shared" si="347"/>
        <v>884.2584486079495</v>
      </c>
      <c r="K177" s="107">
        <f t="shared" si="348"/>
        <v>879.88093153563295</v>
      </c>
      <c r="L177" s="154">
        <f>(1000)/1.1422</f>
        <v>875.50341446331629</v>
      </c>
      <c r="M177" s="109">
        <f t="shared" si="349"/>
        <v>866.74838031868296</v>
      </c>
      <c r="N177" s="107">
        <f t="shared" si="350"/>
        <v>10.61607913906896</v>
      </c>
      <c r="O177" s="107">
        <f t="shared" si="351"/>
        <v>10.514001455039452</v>
      </c>
      <c r="P177" s="107">
        <f t="shared" si="352"/>
        <v>10.411923771009942</v>
      </c>
      <c r="Q177" s="107">
        <f t="shared" si="353"/>
        <v>10.309846086980432</v>
      </c>
      <c r="R177" s="107">
        <f t="shared" si="354"/>
        <v>10.258807244965679</v>
      </c>
      <c r="S177" s="107">
        <f t="shared" si="355"/>
        <v>10.207768402950922</v>
      </c>
      <c r="T177" s="107">
        <f t="shared" si="356"/>
        <v>10.105690718921412</v>
      </c>
      <c r="U177" s="467">
        <f t="shared" ref="U177:U179" si="365">((10)/1.1422)*0.001</f>
        <v>8.7550341446331632E-3</v>
      </c>
      <c r="V177" s="295">
        <f t="shared" si="358"/>
        <v>8.7550341446331632E-3</v>
      </c>
      <c r="W177" s="468">
        <f t="shared" ref="W177:W179" si="366">((10)/1.1422)*0.001</f>
        <v>8.7550341446331632E-3</v>
      </c>
      <c r="X177" s="295">
        <f t="shared" si="360"/>
        <v>8.7550341446331632E-3</v>
      </c>
      <c r="Y177" s="295">
        <f t="shared" si="361"/>
        <v>8.7550341446331632E-3</v>
      </c>
      <c r="Z177" s="468">
        <f t="shared" si="362"/>
        <v>8.7550341446331632E-3</v>
      </c>
      <c r="AA177" s="452">
        <f t="shared" si="363"/>
        <v>8.7550341446331632E-3</v>
      </c>
      <c r="AB177" s="1041"/>
      <c r="AC177" s="1041"/>
      <c r="AD177" s="1041"/>
      <c r="AE177" s="1041"/>
      <c r="AF177" s="1041"/>
      <c r="AG177" s="1041"/>
      <c r="AH177" s="1041"/>
      <c r="AI177" s="153"/>
      <c r="AJ177" s="153"/>
      <c r="AK177" s="153"/>
      <c r="AL177" s="153"/>
      <c r="AM177" s="154"/>
      <c r="AN177" s="153"/>
      <c r="AO177" s="156"/>
      <c r="AP177" s="900"/>
      <c r="AQ177" s="901"/>
      <c r="AR177" s="901"/>
      <c r="AS177" s="901"/>
      <c r="AT177" s="901"/>
      <c r="AU177" s="901"/>
      <c r="AV177" s="902"/>
      <c r="AW177" s="832" t="s">
        <v>292</v>
      </c>
      <c r="AX177" s="833"/>
      <c r="AY177" s="104" t="s">
        <v>313</v>
      </c>
    </row>
    <row r="178" spans="1:51" x14ac:dyDescent="0.3">
      <c r="A178" s="853"/>
      <c r="B178" s="896"/>
      <c r="C178" s="153">
        <v>6</v>
      </c>
      <c r="D178" s="153" t="s">
        <v>39</v>
      </c>
      <c r="E178" s="153">
        <v>2020</v>
      </c>
      <c r="F178" s="148" t="s">
        <v>19</v>
      </c>
      <c r="G178" s="158">
        <f t="shared" si="364"/>
        <v>910.52355104184903</v>
      </c>
      <c r="H178" s="107">
        <f t="shared" si="346"/>
        <v>897.39099982489927</v>
      </c>
      <c r="I178" s="154">
        <f>(1010)/1.1422</f>
        <v>884.2584486079495</v>
      </c>
      <c r="J178" s="107">
        <f t="shared" si="347"/>
        <v>875.5034144633164</v>
      </c>
      <c r="K178" s="107">
        <f t="shared" si="348"/>
        <v>871.12589739099985</v>
      </c>
      <c r="L178" s="154">
        <f>(990)/1.1422</f>
        <v>866.74838031868319</v>
      </c>
      <c r="M178" s="109">
        <f t="shared" si="349"/>
        <v>857.99334617404986</v>
      </c>
      <c r="N178" s="107">
        <f t="shared" si="350"/>
        <v>10.61607913906896</v>
      </c>
      <c r="O178" s="107">
        <f t="shared" si="351"/>
        <v>10.462962613024697</v>
      </c>
      <c r="P178" s="107">
        <f t="shared" si="352"/>
        <v>10.309846086980432</v>
      </c>
      <c r="Q178" s="107">
        <f t="shared" si="353"/>
        <v>10.207768402950924</v>
      </c>
      <c r="R178" s="107">
        <f t="shared" si="354"/>
        <v>10.156729560936171</v>
      </c>
      <c r="S178" s="107">
        <f t="shared" si="355"/>
        <v>10.105690718921414</v>
      </c>
      <c r="T178" s="107">
        <f t="shared" si="356"/>
        <v>10.003613034891902</v>
      </c>
      <c r="U178" s="467">
        <f t="shared" si="365"/>
        <v>8.7550341446331632E-3</v>
      </c>
      <c r="V178" s="295">
        <f t="shared" si="358"/>
        <v>8.7550341446331632E-3</v>
      </c>
      <c r="W178" s="468">
        <f t="shared" si="366"/>
        <v>8.7550341446331632E-3</v>
      </c>
      <c r="X178" s="295">
        <f t="shared" si="360"/>
        <v>8.7550341446331632E-3</v>
      </c>
      <c r="Y178" s="295">
        <f t="shared" si="361"/>
        <v>8.7550341446331632E-3</v>
      </c>
      <c r="Z178" s="468">
        <f t="shared" si="362"/>
        <v>8.7550341446331632E-3</v>
      </c>
      <c r="AA178" s="452">
        <f t="shared" si="363"/>
        <v>8.7550341446331632E-3</v>
      </c>
      <c r="AB178" s="1041"/>
      <c r="AC178" s="1041"/>
      <c r="AD178" s="1041"/>
      <c r="AE178" s="1041"/>
      <c r="AF178" s="1041"/>
      <c r="AG178" s="1041"/>
      <c r="AH178" s="1041"/>
      <c r="AI178" s="153"/>
      <c r="AJ178" s="153"/>
      <c r="AK178" s="153"/>
      <c r="AL178" s="153"/>
      <c r="AM178" s="154"/>
      <c r="AN178" s="153"/>
      <c r="AO178" s="156"/>
      <c r="AP178" s="900"/>
      <c r="AQ178" s="901"/>
      <c r="AR178" s="901"/>
      <c r="AS178" s="901"/>
      <c r="AT178" s="901"/>
      <c r="AU178" s="901"/>
      <c r="AV178" s="902"/>
      <c r="AW178" s="832" t="s">
        <v>292</v>
      </c>
      <c r="AX178" s="833"/>
      <c r="AY178" s="104" t="s">
        <v>314</v>
      </c>
    </row>
    <row r="179" spans="1:51" x14ac:dyDescent="0.3">
      <c r="A179" s="853"/>
      <c r="B179" s="896"/>
      <c r="C179" s="153">
        <v>6</v>
      </c>
      <c r="D179" s="153" t="s">
        <v>39</v>
      </c>
      <c r="E179" s="153">
        <v>2020</v>
      </c>
      <c r="F179" s="148" t="s">
        <v>19</v>
      </c>
      <c r="G179" s="158">
        <f t="shared" si="364"/>
        <v>910.52355104184903</v>
      </c>
      <c r="H179" s="107">
        <f t="shared" si="346"/>
        <v>888.63596568026605</v>
      </c>
      <c r="I179" s="154">
        <f>(990)/1.1422</f>
        <v>866.74838031868319</v>
      </c>
      <c r="J179" s="107">
        <f t="shared" si="347"/>
        <v>853.61582910173342</v>
      </c>
      <c r="K179" s="107">
        <f t="shared" si="348"/>
        <v>847.0495534932586</v>
      </c>
      <c r="L179" s="154">
        <f>(960)/1.1422</f>
        <v>840.48327788478366</v>
      </c>
      <c r="M179" s="109">
        <f t="shared" si="349"/>
        <v>827.35072666783378</v>
      </c>
      <c r="N179" s="107">
        <f t="shared" si="350"/>
        <v>10.61607913906896</v>
      </c>
      <c r="O179" s="107">
        <f t="shared" si="351"/>
        <v>10.360884928995187</v>
      </c>
      <c r="P179" s="107">
        <f t="shared" si="352"/>
        <v>10.105690718921414</v>
      </c>
      <c r="Q179" s="107">
        <f t="shared" si="353"/>
        <v>9.9525741928771509</v>
      </c>
      <c r="R179" s="107">
        <f t="shared" si="354"/>
        <v>9.8760159298550203</v>
      </c>
      <c r="S179" s="107">
        <f t="shared" si="355"/>
        <v>9.7994576668328861</v>
      </c>
      <c r="T179" s="107">
        <f t="shared" si="356"/>
        <v>9.6463411407886213</v>
      </c>
      <c r="U179" s="467">
        <f t="shared" si="365"/>
        <v>8.7550341446331632E-3</v>
      </c>
      <c r="V179" s="295">
        <f t="shared" si="358"/>
        <v>8.7550341446331632E-3</v>
      </c>
      <c r="W179" s="468">
        <f t="shared" si="366"/>
        <v>8.7550341446331632E-3</v>
      </c>
      <c r="X179" s="295">
        <f t="shared" si="360"/>
        <v>8.7550341446331632E-3</v>
      </c>
      <c r="Y179" s="295">
        <f t="shared" si="361"/>
        <v>8.7550341446331632E-3</v>
      </c>
      <c r="Z179" s="468">
        <f t="shared" si="362"/>
        <v>8.7550341446331632E-3</v>
      </c>
      <c r="AA179" s="452">
        <f t="shared" si="363"/>
        <v>8.7550341446331632E-3</v>
      </c>
      <c r="AB179" s="1041"/>
      <c r="AC179" s="1041"/>
      <c r="AD179" s="1041"/>
      <c r="AE179" s="1041"/>
      <c r="AF179" s="1041"/>
      <c r="AG179" s="1041"/>
      <c r="AH179" s="1041"/>
      <c r="AI179" s="153"/>
      <c r="AJ179" s="153"/>
      <c r="AK179" s="153"/>
      <c r="AL179" s="153"/>
      <c r="AM179" s="154"/>
      <c r="AN179" s="153"/>
      <c r="AO179" s="156"/>
      <c r="AP179" s="900"/>
      <c r="AQ179" s="901"/>
      <c r="AR179" s="901"/>
      <c r="AS179" s="901"/>
      <c r="AT179" s="901"/>
      <c r="AU179" s="901"/>
      <c r="AV179" s="902"/>
      <c r="AW179" s="832" t="s">
        <v>292</v>
      </c>
      <c r="AX179" s="833"/>
      <c r="AY179" s="104" t="s">
        <v>315</v>
      </c>
    </row>
    <row r="180" spans="1:51" x14ac:dyDescent="0.3">
      <c r="A180" s="853"/>
      <c r="B180" s="162"/>
      <c r="C180" s="163">
        <v>13</v>
      </c>
      <c r="D180" s="163" t="s">
        <v>63</v>
      </c>
      <c r="E180" s="163">
        <v>2020</v>
      </c>
      <c r="F180" s="148" t="s">
        <v>19</v>
      </c>
      <c r="G180" s="594">
        <v>1564.1</v>
      </c>
      <c r="H180" s="164"/>
      <c r="I180" s="164"/>
      <c r="J180" s="164"/>
      <c r="K180" s="164"/>
      <c r="L180" s="164"/>
      <c r="M180" s="595"/>
      <c r="N180" s="122">
        <f>G180*0.02*$BC$7</f>
        <v>41.837148604083126</v>
      </c>
      <c r="O180" s="164"/>
      <c r="P180" s="164"/>
      <c r="Q180" s="164"/>
      <c r="R180" s="164"/>
      <c r="S180" s="164"/>
      <c r="T180" s="164"/>
      <c r="U180" s="470"/>
      <c r="V180" s="471"/>
      <c r="W180" s="471"/>
      <c r="X180" s="471"/>
      <c r="Y180" s="164"/>
      <c r="Z180" s="471"/>
      <c r="AA180" s="595"/>
      <c r="AB180" s="164"/>
      <c r="AC180" s="164"/>
      <c r="AD180" s="164"/>
      <c r="AE180" s="164"/>
      <c r="AF180" s="164"/>
      <c r="AG180" s="164"/>
      <c r="AH180" s="164"/>
      <c r="AI180" s="163"/>
      <c r="AJ180" s="163"/>
      <c r="AK180" s="163"/>
      <c r="AL180" s="163"/>
      <c r="AM180" s="164"/>
      <c r="AN180" s="163"/>
      <c r="AO180" s="595"/>
      <c r="AP180" s="903"/>
      <c r="AQ180" s="904"/>
      <c r="AR180" s="904"/>
      <c r="AS180" s="904"/>
      <c r="AT180" s="904"/>
      <c r="AU180" s="904"/>
      <c r="AV180" s="905"/>
      <c r="AW180" s="834"/>
      <c r="AX180" s="835"/>
      <c r="AY180" s="104"/>
    </row>
    <row r="181" spans="1:51" x14ac:dyDescent="0.3">
      <c r="A181" s="853"/>
      <c r="B181" s="167" t="s">
        <v>267</v>
      </c>
      <c r="C181" s="168"/>
      <c r="D181" s="168"/>
      <c r="E181" s="168"/>
      <c r="F181" s="168"/>
      <c r="G181" s="181">
        <f>MIN(G174:G180)</f>
        <v>910.52355104184903</v>
      </c>
      <c r="H181" s="182">
        <f t="shared" ref="H181:AA181" si="367">MIN(H174:H180)</f>
        <v>888.63596568026605</v>
      </c>
      <c r="I181" s="182">
        <f t="shared" si="367"/>
        <v>866.74838031868319</v>
      </c>
      <c r="J181" s="182">
        <f t="shared" si="367"/>
        <v>853.61582910173342</v>
      </c>
      <c r="K181" s="182">
        <f t="shared" si="367"/>
        <v>847.0495534932586</v>
      </c>
      <c r="L181" s="182">
        <f t="shared" si="367"/>
        <v>840.48327788478366</v>
      </c>
      <c r="M181" s="183">
        <f t="shared" si="367"/>
        <v>827.35072666783378</v>
      </c>
      <c r="N181" s="170">
        <f t="shared" si="367"/>
        <v>10.61607913906896</v>
      </c>
      <c r="O181" s="170">
        <f t="shared" si="367"/>
        <v>10.360884928995187</v>
      </c>
      <c r="P181" s="170">
        <f t="shared" si="367"/>
        <v>10.105690718921414</v>
      </c>
      <c r="Q181" s="170">
        <f t="shared" si="367"/>
        <v>9.9525741928771509</v>
      </c>
      <c r="R181" s="170">
        <f t="shared" si="367"/>
        <v>9.8760159298550203</v>
      </c>
      <c r="S181" s="170">
        <f t="shared" si="367"/>
        <v>9.7994576668328861</v>
      </c>
      <c r="T181" s="171">
        <f t="shared" si="367"/>
        <v>9.6463411407886213</v>
      </c>
      <c r="U181" s="475">
        <f t="shared" si="367"/>
        <v>8.7550341446331632E-3</v>
      </c>
      <c r="V181" s="476">
        <f t="shared" si="367"/>
        <v>8.7550341446331632E-3</v>
      </c>
      <c r="W181" s="476">
        <f t="shared" si="367"/>
        <v>8.7550341446331632E-3</v>
      </c>
      <c r="X181" s="476">
        <f t="shared" si="367"/>
        <v>8.7550341446331632E-3</v>
      </c>
      <c r="Y181" s="476">
        <f t="shared" si="367"/>
        <v>8.7550341446331632E-3</v>
      </c>
      <c r="Z181" s="476">
        <f t="shared" si="367"/>
        <v>8.7550341446331632E-3</v>
      </c>
      <c r="AA181" s="476">
        <f t="shared" si="367"/>
        <v>6.5662756084748693E-3</v>
      </c>
      <c r="AB181" s="476"/>
      <c r="AC181" s="476"/>
      <c r="AD181" s="476"/>
      <c r="AE181" s="476"/>
      <c r="AF181" s="476"/>
      <c r="AG181" s="476"/>
      <c r="AH181" s="476"/>
      <c r="AI181" s="175"/>
      <c r="AJ181" s="168"/>
      <c r="AK181" s="168"/>
      <c r="AL181" s="168"/>
      <c r="AM181" s="170"/>
      <c r="AN181" s="168"/>
      <c r="AO181" s="171"/>
      <c r="AP181" s="871">
        <v>1</v>
      </c>
      <c r="AQ181" s="872"/>
      <c r="AR181" s="872"/>
      <c r="AS181" s="872"/>
      <c r="AT181" s="872"/>
      <c r="AU181" s="872"/>
      <c r="AV181" s="873"/>
      <c r="AW181" s="175"/>
      <c r="AX181" s="178"/>
      <c r="AY181" s="104"/>
    </row>
    <row r="182" spans="1:51" x14ac:dyDescent="0.3">
      <c r="A182" s="853"/>
      <c r="B182" s="179" t="s">
        <v>268</v>
      </c>
      <c r="C182" s="180"/>
      <c r="D182" s="180"/>
      <c r="E182" s="180"/>
      <c r="F182" s="180"/>
      <c r="G182" s="181">
        <f>MEDIAN(G174:G180)</f>
        <v>1103.1343022237786</v>
      </c>
      <c r="H182" s="182">
        <f t="shared" ref="H182:AA182" si="368">MEDIAN(H174:H180)</f>
        <v>980.56382419891429</v>
      </c>
      <c r="I182" s="182">
        <f t="shared" si="368"/>
        <v>954.29872176501476</v>
      </c>
      <c r="J182" s="182">
        <f t="shared" si="368"/>
        <v>934.59989493959017</v>
      </c>
      <c r="K182" s="182">
        <f t="shared" si="368"/>
        <v>924.75048152687782</v>
      </c>
      <c r="L182" s="182">
        <f t="shared" si="368"/>
        <v>914.90106811416558</v>
      </c>
      <c r="M182" s="183">
        <f t="shared" si="368"/>
        <v>895.20224128874088</v>
      </c>
      <c r="N182" s="182">
        <f t="shared" si="368"/>
        <v>12.861788187718163</v>
      </c>
      <c r="O182" s="182">
        <f t="shared" si="368"/>
        <v>11.432700611305036</v>
      </c>
      <c r="P182" s="182">
        <f t="shared" si="368"/>
        <v>11.126467559216506</v>
      </c>
      <c r="Q182" s="182">
        <f t="shared" si="368"/>
        <v>10.89679277015011</v>
      </c>
      <c r="R182" s="182">
        <f t="shared" si="368"/>
        <v>10.781955375616914</v>
      </c>
      <c r="S182" s="182">
        <f t="shared" si="368"/>
        <v>10.667117981083715</v>
      </c>
      <c r="T182" s="183">
        <f t="shared" si="368"/>
        <v>10.437443192017318</v>
      </c>
      <c r="U182" s="475">
        <f t="shared" si="368"/>
        <v>1.0943792680791455E-2</v>
      </c>
      <c r="V182" s="476">
        <f t="shared" si="368"/>
        <v>1.0943792680791455E-2</v>
      </c>
      <c r="W182" s="476">
        <f t="shared" si="368"/>
        <v>1.0943792680791455E-2</v>
      </c>
      <c r="X182" s="476">
        <f t="shared" si="368"/>
        <v>9.8494134127123101E-3</v>
      </c>
      <c r="Y182" s="476">
        <f t="shared" si="368"/>
        <v>9.3022237786727358E-3</v>
      </c>
      <c r="Z182" s="476">
        <f t="shared" si="368"/>
        <v>8.7550341446331632E-3</v>
      </c>
      <c r="AA182" s="476">
        <f t="shared" si="368"/>
        <v>7.6606548765540163E-3</v>
      </c>
      <c r="AB182" s="476"/>
      <c r="AC182" s="476"/>
      <c r="AD182" s="476"/>
      <c r="AE182" s="476"/>
      <c r="AF182" s="476"/>
      <c r="AG182" s="476"/>
      <c r="AH182" s="476"/>
      <c r="AI182" s="187"/>
      <c r="AJ182" s="180"/>
      <c r="AK182" s="180"/>
      <c r="AL182" s="180"/>
      <c r="AM182" s="182"/>
      <c r="AN182" s="180"/>
      <c r="AO182" s="183"/>
      <c r="AP182" s="874"/>
      <c r="AQ182" s="875"/>
      <c r="AR182" s="875"/>
      <c r="AS182" s="875"/>
      <c r="AT182" s="875"/>
      <c r="AU182" s="875"/>
      <c r="AV182" s="876"/>
      <c r="AW182" s="187"/>
      <c r="AX182" s="190"/>
      <c r="AY182" s="104"/>
    </row>
    <row r="183" spans="1:51" x14ac:dyDescent="0.3">
      <c r="A183" s="853"/>
      <c r="B183" s="191" t="s">
        <v>269</v>
      </c>
      <c r="C183" s="192"/>
      <c r="D183" s="192"/>
      <c r="E183" s="192"/>
      <c r="F183" s="192"/>
      <c r="G183" s="181">
        <f>MAX(G174:G180)</f>
        <v>1564.1</v>
      </c>
      <c r="H183" s="182">
        <f t="shared" ref="H183:AA183" si="369">MAX(H174:H180)</f>
        <v>1072.4916827175625</v>
      </c>
      <c r="I183" s="182">
        <f t="shared" si="369"/>
        <v>1041.8490632113464</v>
      </c>
      <c r="J183" s="182">
        <f t="shared" si="369"/>
        <v>1019.9614778497635</v>
      </c>
      <c r="K183" s="182">
        <f t="shared" si="369"/>
        <v>1009.0176851689721</v>
      </c>
      <c r="L183" s="182">
        <f t="shared" si="369"/>
        <v>998.0738924881806</v>
      </c>
      <c r="M183" s="183">
        <f t="shared" si="369"/>
        <v>976.18630712659763</v>
      </c>
      <c r="N183" s="194">
        <f t="shared" si="369"/>
        <v>41.837148604083126</v>
      </c>
      <c r="O183" s="194">
        <f t="shared" si="369"/>
        <v>12.504516293614882</v>
      </c>
      <c r="P183" s="194">
        <f t="shared" si="369"/>
        <v>12.147244399511598</v>
      </c>
      <c r="Q183" s="194">
        <f t="shared" si="369"/>
        <v>11.892050189437825</v>
      </c>
      <c r="R183" s="194">
        <f t="shared" si="369"/>
        <v>11.764453084400939</v>
      </c>
      <c r="S183" s="194">
        <f t="shared" si="369"/>
        <v>11.636855979364052</v>
      </c>
      <c r="T183" s="195">
        <f t="shared" si="369"/>
        <v>11.381661769290279</v>
      </c>
      <c r="U183" s="475">
        <f t="shared" si="369"/>
        <v>1.3132551216949746E-2</v>
      </c>
      <c r="V183" s="476">
        <f t="shared" si="369"/>
        <v>1.3132551216949746E-2</v>
      </c>
      <c r="W183" s="476">
        <f t="shared" si="369"/>
        <v>1.3132551216949746E-2</v>
      </c>
      <c r="X183" s="476">
        <f t="shared" si="369"/>
        <v>1.0943792680791455E-2</v>
      </c>
      <c r="Y183" s="476">
        <f t="shared" si="369"/>
        <v>9.8494134127123101E-3</v>
      </c>
      <c r="Z183" s="476">
        <f t="shared" si="369"/>
        <v>8.7550341446331632E-3</v>
      </c>
      <c r="AA183" s="476">
        <f t="shared" si="369"/>
        <v>8.7550341446331632E-3</v>
      </c>
      <c r="AB183" s="476"/>
      <c r="AC183" s="476"/>
      <c r="AD183" s="476"/>
      <c r="AE183" s="476"/>
      <c r="AF183" s="476"/>
      <c r="AG183" s="476"/>
      <c r="AH183" s="476"/>
      <c r="AI183" s="198"/>
      <c r="AJ183" s="192"/>
      <c r="AK183" s="192"/>
      <c r="AL183" s="192"/>
      <c r="AM183" s="194"/>
      <c r="AN183" s="192"/>
      <c r="AO183" s="195"/>
      <c r="AP183" s="874"/>
      <c r="AQ183" s="875"/>
      <c r="AR183" s="875"/>
      <c r="AS183" s="875"/>
      <c r="AT183" s="875"/>
      <c r="AU183" s="875"/>
      <c r="AV183" s="876"/>
      <c r="AW183" s="198"/>
      <c r="AX183" s="201"/>
      <c r="AY183" s="104"/>
    </row>
    <row r="184" spans="1:51" ht="14.4" customHeight="1" x14ac:dyDescent="0.3">
      <c r="A184" s="853"/>
      <c r="B184" s="877" t="s">
        <v>270</v>
      </c>
      <c r="C184" s="202">
        <v>6</v>
      </c>
      <c r="D184" s="202" t="s">
        <v>39</v>
      </c>
      <c r="E184" s="202">
        <v>2020</v>
      </c>
      <c r="F184" s="203" t="s">
        <v>19</v>
      </c>
      <c r="G184" s="480">
        <f t="shared" ref="G184:G186" si="370">(650)/1.1422</f>
        <v>569.07721940115562</v>
      </c>
      <c r="H184" s="93">
        <f t="shared" ref="H184:H189" si="371">G184+((I184-G184)/(2030-2020))*(2025-2020)</f>
        <v>468.39432673787422</v>
      </c>
      <c r="I184" s="204">
        <f>(420)/1.1422</f>
        <v>367.71143407459283</v>
      </c>
      <c r="J184" s="93">
        <f t="shared" ref="J184:J189" si="372">I184+((L184-I184)/(2050-2030))*(2040-2030)</f>
        <v>319.55874627911044</v>
      </c>
      <c r="K184" s="93">
        <f t="shared" ref="K184:K189" si="373">J184+((L184-J184)/(2050-2040))*(2045-2040)</f>
        <v>295.48240238136924</v>
      </c>
      <c r="L184" s="204">
        <f>(310)/1.1422</f>
        <v>271.40605848362804</v>
      </c>
      <c r="M184" s="95">
        <f t="shared" ref="M184:M189" si="374">K184+((L184-K184)/(2050-2045))*(2060-2045)</f>
        <v>223.25337068814565</v>
      </c>
      <c r="N184" s="93">
        <f t="shared" ref="N184:N189" si="375">G184*0.02*$BC$8</f>
        <v>6.6350494619180997</v>
      </c>
      <c r="O184" s="93">
        <f t="shared" ref="O184:O189" si="376">H184*0.02*$BC$8</f>
        <v>5.4611560955787439</v>
      </c>
      <c r="P184" s="93">
        <f t="shared" ref="P184:P189" si="377">I184*0.02*$BC$8</f>
        <v>4.2872627292393872</v>
      </c>
      <c r="Q184" s="93">
        <f t="shared" ref="Q184:Q189" si="378">J184*0.02*$BC$8</f>
        <v>3.7258354670770863</v>
      </c>
      <c r="R184" s="93">
        <f t="shared" ref="R184:R189" si="379">K184*0.02*$BC$8</f>
        <v>3.4451218359959359</v>
      </c>
      <c r="S184" s="93">
        <f t="shared" ref="S184:S189" si="380">L184*0.02*$BC$8</f>
        <v>3.1644082049147864</v>
      </c>
      <c r="T184" s="93">
        <f t="shared" ref="T184:T189" si="381">M184*0.02*$BC$8</f>
        <v>2.6029809427524855</v>
      </c>
      <c r="U184" s="481">
        <f t="shared" ref="U184:U186" si="382">((10)/1.1422)*0.001</f>
        <v>8.7550341446331632E-3</v>
      </c>
      <c r="V184" s="286">
        <f t="shared" ref="V184:V189" si="383">U184+((W184-U184)/(2030-2020))*(2025-2020)</f>
        <v>6.5662756084748728E-3</v>
      </c>
      <c r="W184" s="482">
        <f t="shared" ref="W184:W189" si="384">((5)/1.1422)*0.001</f>
        <v>4.3775170723165816E-3</v>
      </c>
      <c r="X184" s="286">
        <f t="shared" ref="X184:X189" si="385">W184+((Z184-W184)/(2050-2030))*(2040-2030)</f>
        <v>4.3775170723165816E-3</v>
      </c>
      <c r="Y184" s="286">
        <f t="shared" ref="Y184:Y189" si="386">X184+((Z184-X184)/(2050-2040))*(2045-2040)</f>
        <v>4.3775170723165816E-3</v>
      </c>
      <c r="Z184" s="482">
        <f t="shared" ref="Z184:Z189" si="387">((5)/1.1422)*0.001</f>
        <v>4.3775170723165816E-3</v>
      </c>
      <c r="AA184" s="366">
        <f t="shared" ref="AA184:AA189" si="388">Y184+((Z184-Y184)/(2050-2045))*(2060-2045)</f>
        <v>4.3775170723165816E-3</v>
      </c>
      <c r="AB184" s="286"/>
      <c r="AC184" s="286"/>
      <c r="AD184" s="286"/>
      <c r="AE184" s="286"/>
      <c r="AF184" s="286"/>
      <c r="AG184" s="286"/>
      <c r="AH184" s="286"/>
      <c r="AI184" s="202"/>
      <c r="AJ184" s="202"/>
      <c r="AK184" s="202"/>
      <c r="AL184" s="202"/>
      <c r="AM184" s="204"/>
      <c r="AN184" s="202"/>
      <c r="AO184" s="206"/>
      <c r="AP184" s="880">
        <v>1</v>
      </c>
      <c r="AQ184" s="881"/>
      <c r="AR184" s="881"/>
      <c r="AS184" s="881"/>
      <c r="AT184" s="881"/>
      <c r="AU184" s="881"/>
      <c r="AV184" s="882"/>
      <c r="AW184" s="836" t="s">
        <v>292</v>
      </c>
      <c r="AX184" s="837"/>
      <c r="AY184" s="104" t="s">
        <v>310</v>
      </c>
    </row>
    <row r="185" spans="1:51" x14ac:dyDescent="0.3">
      <c r="A185" s="853"/>
      <c r="B185" s="878"/>
      <c r="C185" s="208">
        <v>6</v>
      </c>
      <c r="D185" s="208" t="s">
        <v>39</v>
      </c>
      <c r="E185" s="208">
        <v>2020</v>
      </c>
      <c r="F185" s="203" t="s">
        <v>19</v>
      </c>
      <c r="G185" s="212">
        <f t="shared" si="370"/>
        <v>569.07721940115562</v>
      </c>
      <c r="H185" s="107">
        <f t="shared" si="371"/>
        <v>459.63929259324107</v>
      </c>
      <c r="I185" s="209">
        <f>(400)/1.1422</f>
        <v>350.20136578532652</v>
      </c>
      <c r="J185" s="107">
        <f t="shared" si="372"/>
        <v>293.29364384521097</v>
      </c>
      <c r="K185" s="107">
        <f t="shared" si="373"/>
        <v>264.83978287515322</v>
      </c>
      <c r="L185" s="209">
        <f>(270)/1.1422</f>
        <v>236.38592190509542</v>
      </c>
      <c r="M185" s="109">
        <f t="shared" si="374"/>
        <v>179.47819996497981</v>
      </c>
      <c r="N185" s="107">
        <f t="shared" si="375"/>
        <v>6.6350494619180997</v>
      </c>
      <c r="O185" s="107">
        <f t="shared" si="376"/>
        <v>5.359078411549234</v>
      </c>
      <c r="P185" s="107">
        <f t="shared" si="377"/>
        <v>4.0831073611803692</v>
      </c>
      <c r="Q185" s="107">
        <f t="shared" si="378"/>
        <v>3.4196024149885589</v>
      </c>
      <c r="R185" s="107">
        <f t="shared" si="379"/>
        <v>3.0878499418926548</v>
      </c>
      <c r="S185" s="107">
        <f t="shared" si="380"/>
        <v>2.7560974687967494</v>
      </c>
      <c r="T185" s="107">
        <f t="shared" si="381"/>
        <v>2.0925925226049387</v>
      </c>
      <c r="U185" s="483">
        <f t="shared" si="382"/>
        <v>8.7550341446331632E-3</v>
      </c>
      <c r="V185" s="295">
        <f t="shared" si="383"/>
        <v>6.5662756084748728E-3</v>
      </c>
      <c r="W185" s="484">
        <f t="shared" si="384"/>
        <v>4.3775170723165816E-3</v>
      </c>
      <c r="X185" s="295">
        <f t="shared" si="385"/>
        <v>4.3775170723165816E-3</v>
      </c>
      <c r="Y185" s="295">
        <f t="shared" si="386"/>
        <v>4.3775170723165816E-3</v>
      </c>
      <c r="Z185" s="484">
        <f t="shared" si="387"/>
        <v>4.3775170723165816E-3</v>
      </c>
      <c r="AA185" s="452">
        <f t="shared" si="388"/>
        <v>4.3775170723165816E-3</v>
      </c>
      <c r="AB185" s="1041"/>
      <c r="AC185" s="1041"/>
      <c r="AD185" s="1041"/>
      <c r="AE185" s="1041"/>
      <c r="AF185" s="1041"/>
      <c r="AG185" s="1041"/>
      <c r="AH185" s="1041"/>
      <c r="AI185" s="208"/>
      <c r="AJ185" s="208"/>
      <c r="AK185" s="208"/>
      <c r="AL185" s="208"/>
      <c r="AM185" s="209"/>
      <c r="AN185" s="208"/>
      <c r="AO185" s="211"/>
      <c r="AP185" s="883"/>
      <c r="AQ185" s="884"/>
      <c r="AR185" s="884"/>
      <c r="AS185" s="884"/>
      <c r="AT185" s="884"/>
      <c r="AU185" s="884"/>
      <c r="AV185" s="885"/>
      <c r="AW185" s="824" t="s">
        <v>292</v>
      </c>
      <c r="AX185" s="825"/>
      <c r="AY185" s="104" t="s">
        <v>311</v>
      </c>
    </row>
    <row r="186" spans="1:51" x14ac:dyDescent="0.3">
      <c r="A186" s="853"/>
      <c r="B186" s="878"/>
      <c r="C186" s="208">
        <v>6</v>
      </c>
      <c r="D186" s="208" t="s">
        <v>39</v>
      </c>
      <c r="E186" s="208">
        <v>2020</v>
      </c>
      <c r="F186" s="203" t="s">
        <v>19</v>
      </c>
      <c r="G186" s="212">
        <f t="shared" si="370"/>
        <v>569.07721940115562</v>
      </c>
      <c r="H186" s="107">
        <f t="shared" si="371"/>
        <v>450.88425844860791</v>
      </c>
      <c r="I186" s="209">
        <f t="shared" ref="I186:I187" si="389">(380)/1.1422</f>
        <v>332.6912974960602</v>
      </c>
      <c r="J186" s="107">
        <f t="shared" si="372"/>
        <v>267.02854141131149</v>
      </c>
      <c r="K186" s="107">
        <f t="shared" si="373"/>
        <v>234.19716336893714</v>
      </c>
      <c r="L186" s="209">
        <f>(230)/1.1422</f>
        <v>201.36578532656276</v>
      </c>
      <c r="M186" s="109">
        <f t="shared" si="374"/>
        <v>135.70302924181399</v>
      </c>
      <c r="N186" s="107">
        <f t="shared" si="375"/>
        <v>6.6350494619180997</v>
      </c>
      <c r="O186" s="107">
        <f t="shared" si="376"/>
        <v>5.2570007275197259</v>
      </c>
      <c r="P186" s="107">
        <f t="shared" si="377"/>
        <v>3.8789519931213507</v>
      </c>
      <c r="Q186" s="107">
        <f t="shared" si="378"/>
        <v>3.1133693629000319</v>
      </c>
      <c r="R186" s="107">
        <f t="shared" si="379"/>
        <v>2.7305780477893724</v>
      </c>
      <c r="S186" s="107">
        <f t="shared" si="380"/>
        <v>2.3477867326787125</v>
      </c>
      <c r="T186" s="107">
        <f t="shared" si="381"/>
        <v>1.5822041024573925</v>
      </c>
      <c r="U186" s="483">
        <f t="shared" si="382"/>
        <v>8.7550341446331632E-3</v>
      </c>
      <c r="V186" s="295">
        <f t="shared" si="383"/>
        <v>6.5662756084748728E-3</v>
      </c>
      <c r="W186" s="484">
        <f t="shared" si="384"/>
        <v>4.3775170723165816E-3</v>
      </c>
      <c r="X186" s="295">
        <f t="shared" si="385"/>
        <v>4.3775170723165816E-3</v>
      </c>
      <c r="Y186" s="295">
        <f t="shared" si="386"/>
        <v>4.3775170723165816E-3</v>
      </c>
      <c r="Z186" s="484">
        <f t="shared" si="387"/>
        <v>4.3775170723165816E-3</v>
      </c>
      <c r="AA186" s="452">
        <f t="shared" si="388"/>
        <v>4.3775170723165816E-3</v>
      </c>
      <c r="AB186" s="1041"/>
      <c r="AC186" s="1041"/>
      <c r="AD186" s="1041"/>
      <c r="AE186" s="1041"/>
      <c r="AF186" s="1041"/>
      <c r="AG186" s="1041"/>
      <c r="AH186" s="1041"/>
      <c r="AI186" s="208"/>
      <c r="AJ186" s="208"/>
      <c r="AK186" s="208"/>
      <c r="AL186" s="208"/>
      <c r="AM186" s="209"/>
      <c r="AN186" s="208"/>
      <c r="AO186" s="211"/>
      <c r="AP186" s="883"/>
      <c r="AQ186" s="884"/>
      <c r="AR186" s="884"/>
      <c r="AS186" s="884"/>
      <c r="AT186" s="884"/>
      <c r="AU186" s="884"/>
      <c r="AV186" s="885"/>
      <c r="AW186" s="824" t="s">
        <v>292</v>
      </c>
      <c r="AX186" s="825"/>
      <c r="AY186" s="104" t="s">
        <v>312</v>
      </c>
    </row>
    <row r="187" spans="1:51" x14ac:dyDescent="0.3">
      <c r="A187" s="853"/>
      <c r="B187" s="878"/>
      <c r="C187" s="208">
        <v>6</v>
      </c>
      <c r="D187" s="208" t="s">
        <v>39</v>
      </c>
      <c r="E187" s="208">
        <v>2020</v>
      </c>
      <c r="F187" s="203" t="s">
        <v>19</v>
      </c>
      <c r="G187" s="212">
        <f t="shared" ref="G187:G189" si="390">(600)/1.1422</f>
        <v>525.30204867798977</v>
      </c>
      <c r="H187" s="107">
        <f t="shared" si="371"/>
        <v>428.99667308702499</v>
      </c>
      <c r="I187" s="209">
        <f t="shared" si="389"/>
        <v>332.6912974960602</v>
      </c>
      <c r="J187" s="107">
        <f t="shared" si="372"/>
        <v>284.53860970057781</v>
      </c>
      <c r="K187" s="107">
        <f t="shared" si="373"/>
        <v>260.46226580283661</v>
      </c>
      <c r="L187" s="209">
        <f>(270)/1.1422</f>
        <v>236.38592190509542</v>
      </c>
      <c r="M187" s="109">
        <f t="shared" si="374"/>
        <v>188.23323410961302</v>
      </c>
      <c r="N187" s="107">
        <f t="shared" si="375"/>
        <v>6.1246610417705529</v>
      </c>
      <c r="O187" s="107">
        <f t="shared" si="376"/>
        <v>5.0018065174459529</v>
      </c>
      <c r="P187" s="107">
        <f t="shared" si="377"/>
        <v>3.8789519931213507</v>
      </c>
      <c r="Q187" s="107">
        <f t="shared" si="378"/>
        <v>3.3175247309590499</v>
      </c>
      <c r="R187" s="107">
        <f t="shared" si="379"/>
        <v>3.0368110998778994</v>
      </c>
      <c r="S187" s="107">
        <f t="shared" si="380"/>
        <v>2.7560974687967494</v>
      </c>
      <c r="T187" s="107">
        <f t="shared" si="381"/>
        <v>2.1946702066344486</v>
      </c>
      <c r="U187" s="483">
        <f t="shared" ref="U187:U189" si="391">((5)/1.1422)*0.001</f>
        <v>4.3775170723165816E-3</v>
      </c>
      <c r="V187" s="295">
        <f t="shared" si="383"/>
        <v>4.3775170723165816E-3</v>
      </c>
      <c r="W187" s="484">
        <f t="shared" si="384"/>
        <v>4.3775170723165816E-3</v>
      </c>
      <c r="X187" s="295">
        <f t="shared" si="385"/>
        <v>4.3775170723165816E-3</v>
      </c>
      <c r="Y187" s="295">
        <f t="shared" si="386"/>
        <v>4.3775170723165816E-3</v>
      </c>
      <c r="Z187" s="484">
        <f t="shared" si="387"/>
        <v>4.3775170723165816E-3</v>
      </c>
      <c r="AA187" s="452">
        <f t="shared" si="388"/>
        <v>4.3775170723165816E-3</v>
      </c>
      <c r="AB187" s="1041"/>
      <c r="AC187" s="1041"/>
      <c r="AD187" s="1041"/>
      <c r="AE187" s="1041"/>
      <c r="AF187" s="1041"/>
      <c r="AG187" s="1041"/>
      <c r="AH187" s="1041"/>
      <c r="AI187" s="208"/>
      <c r="AJ187" s="208"/>
      <c r="AK187" s="208"/>
      <c r="AL187" s="208"/>
      <c r="AM187" s="209"/>
      <c r="AN187" s="208"/>
      <c r="AO187" s="211"/>
      <c r="AP187" s="883"/>
      <c r="AQ187" s="884"/>
      <c r="AR187" s="884"/>
      <c r="AS187" s="884"/>
      <c r="AT187" s="884"/>
      <c r="AU187" s="884"/>
      <c r="AV187" s="885"/>
      <c r="AW187" s="824" t="s">
        <v>292</v>
      </c>
      <c r="AX187" s="825"/>
      <c r="AY187" s="104" t="s">
        <v>313</v>
      </c>
    </row>
    <row r="188" spans="1:51" x14ac:dyDescent="0.3">
      <c r="A188" s="853"/>
      <c r="B188" s="878"/>
      <c r="C188" s="208">
        <v>6</v>
      </c>
      <c r="D188" s="208" t="s">
        <v>39</v>
      </c>
      <c r="E188" s="208">
        <v>2020</v>
      </c>
      <c r="F188" s="203" t="s">
        <v>19</v>
      </c>
      <c r="G188" s="212">
        <f t="shared" si="390"/>
        <v>525.30204867798977</v>
      </c>
      <c r="H188" s="107">
        <f t="shared" si="371"/>
        <v>420.24163894239183</v>
      </c>
      <c r="I188" s="209">
        <f>(360)/1.1422</f>
        <v>315.18122920679389</v>
      </c>
      <c r="J188" s="107">
        <f t="shared" si="372"/>
        <v>262.65102433899489</v>
      </c>
      <c r="K188" s="107">
        <f t="shared" si="373"/>
        <v>236.38592190509542</v>
      </c>
      <c r="L188" s="209">
        <f>(240)/1.1422</f>
        <v>210.12081947119592</v>
      </c>
      <c r="M188" s="109">
        <f t="shared" si="374"/>
        <v>157.59061460339692</v>
      </c>
      <c r="N188" s="107">
        <f t="shared" si="375"/>
        <v>6.1246610417705529</v>
      </c>
      <c r="O188" s="107">
        <f t="shared" si="376"/>
        <v>4.8997288334164431</v>
      </c>
      <c r="P188" s="107">
        <f t="shared" si="377"/>
        <v>3.6747966250623323</v>
      </c>
      <c r="Q188" s="107">
        <f t="shared" si="378"/>
        <v>3.0623305208852765</v>
      </c>
      <c r="R188" s="107">
        <f t="shared" si="379"/>
        <v>2.7560974687967494</v>
      </c>
      <c r="S188" s="107">
        <f t="shared" si="380"/>
        <v>2.4498644167082215</v>
      </c>
      <c r="T188" s="107">
        <f t="shared" si="381"/>
        <v>1.8373983125311659</v>
      </c>
      <c r="U188" s="483">
        <f t="shared" si="391"/>
        <v>4.3775170723165816E-3</v>
      </c>
      <c r="V188" s="295">
        <f t="shared" si="383"/>
        <v>4.3775170723165816E-3</v>
      </c>
      <c r="W188" s="484">
        <f t="shared" si="384"/>
        <v>4.3775170723165816E-3</v>
      </c>
      <c r="X188" s="295">
        <f t="shared" si="385"/>
        <v>4.3775170723165816E-3</v>
      </c>
      <c r="Y188" s="295">
        <f t="shared" si="386"/>
        <v>4.3775170723165816E-3</v>
      </c>
      <c r="Z188" s="484">
        <f t="shared" si="387"/>
        <v>4.3775170723165816E-3</v>
      </c>
      <c r="AA188" s="452">
        <f t="shared" si="388"/>
        <v>4.3775170723165816E-3</v>
      </c>
      <c r="AB188" s="1041"/>
      <c r="AC188" s="1041"/>
      <c r="AD188" s="1041"/>
      <c r="AE188" s="1041"/>
      <c r="AF188" s="1041"/>
      <c r="AG188" s="1041"/>
      <c r="AH188" s="1041"/>
      <c r="AI188" s="208"/>
      <c r="AJ188" s="208"/>
      <c r="AK188" s="208"/>
      <c r="AL188" s="208"/>
      <c r="AM188" s="209"/>
      <c r="AN188" s="208"/>
      <c r="AO188" s="211"/>
      <c r="AP188" s="883"/>
      <c r="AQ188" s="884"/>
      <c r="AR188" s="884"/>
      <c r="AS188" s="884"/>
      <c r="AT188" s="884"/>
      <c r="AU188" s="884"/>
      <c r="AV188" s="885"/>
      <c r="AW188" s="824" t="s">
        <v>292</v>
      </c>
      <c r="AX188" s="825"/>
      <c r="AY188" s="104" t="s">
        <v>314</v>
      </c>
    </row>
    <row r="189" spans="1:51" x14ac:dyDescent="0.3">
      <c r="A189" s="853"/>
      <c r="B189" s="878"/>
      <c r="C189" s="208">
        <v>6</v>
      </c>
      <c r="D189" s="208" t="s">
        <v>39</v>
      </c>
      <c r="E189" s="208">
        <v>2020</v>
      </c>
      <c r="F189" s="203" t="s">
        <v>19</v>
      </c>
      <c r="G189" s="212">
        <f t="shared" si="390"/>
        <v>525.30204867798977</v>
      </c>
      <c r="H189" s="107">
        <f t="shared" si="371"/>
        <v>411.48660479775867</v>
      </c>
      <c r="I189" s="209">
        <f>(340)/1.1422</f>
        <v>297.67116091752757</v>
      </c>
      <c r="J189" s="107">
        <f t="shared" si="372"/>
        <v>249.51847312204518</v>
      </c>
      <c r="K189" s="107">
        <f t="shared" si="373"/>
        <v>225.44212922430398</v>
      </c>
      <c r="L189" s="209">
        <f>(230)/1.1422</f>
        <v>201.36578532656276</v>
      </c>
      <c r="M189" s="109">
        <f t="shared" si="374"/>
        <v>153.21309753108031</v>
      </c>
      <c r="N189" s="107">
        <f t="shared" si="375"/>
        <v>6.1246610417705529</v>
      </c>
      <c r="O189" s="107">
        <f t="shared" si="376"/>
        <v>4.7976511493869332</v>
      </c>
      <c r="P189" s="107">
        <f t="shared" si="377"/>
        <v>3.4706412570033143</v>
      </c>
      <c r="Q189" s="107">
        <f t="shared" si="378"/>
        <v>2.9092139948410134</v>
      </c>
      <c r="R189" s="107">
        <f t="shared" si="379"/>
        <v>2.628500363759863</v>
      </c>
      <c r="S189" s="107">
        <f t="shared" si="380"/>
        <v>2.3477867326787125</v>
      </c>
      <c r="T189" s="107">
        <f t="shared" si="381"/>
        <v>1.7863594705164112</v>
      </c>
      <c r="U189" s="483">
        <f t="shared" si="391"/>
        <v>4.3775170723165816E-3</v>
      </c>
      <c r="V189" s="295">
        <f t="shared" si="383"/>
        <v>4.3775170723165816E-3</v>
      </c>
      <c r="W189" s="484">
        <f t="shared" si="384"/>
        <v>4.3775170723165816E-3</v>
      </c>
      <c r="X189" s="295">
        <f t="shared" si="385"/>
        <v>4.3775170723165816E-3</v>
      </c>
      <c r="Y189" s="295">
        <f t="shared" si="386"/>
        <v>4.3775170723165816E-3</v>
      </c>
      <c r="Z189" s="484">
        <f t="shared" si="387"/>
        <v>4.3775170723165816E-3</v>
      </c>
      <c r="AA189" s="452">
        <f t="shared" si="388"/>
        <v>4.3775170723165816E-3</v>
      </c>
      <c r="AB189" s="1041"/>
      <c r="AC189" s="1041"/>
      <c r="AD189" s="1041"/>
      <c r="AE189" s="1041"/>
      <c r="AF189" s="1041"/>
      <c r="AG189" s="1041"/>
      <c r="AH189" s="1041"/>
      <c r="AI189" s="208"/>
      <c r="AJ189" s="208"/>
      <c r="AK189" s="208"/>
      <c r="AL189" s="208"/>
      <c r="AM189" s="209"/>
      <c r="AN189" s="208"/>
      <c r="AO189" s="211"/>
      <c r="AP189" s="883"/>
      <c r="AQ189" s="884"/>
      <c r="AR189" s="884"/>
      <c r="AS189" s="884"/>
      <c r="AT189" s="884"/>
      <c r="AU189" s="884"/>
      <c r="AV189" s="885"/>
      <c r="AW189" s="824" t="s">
        <v>292</v>
      </c>
      <c r="AX189" s="825"/>
      <c r="AY189" s="104" t="s">
        <v>315</v>
      </c>
    </row>
    <row r="190" spans="1:51" x14ac:dyDescent="0.3">
      <c r="A190" s="853"/>
      <c r="B190" s="879"/>
      <c r="C190" s="214">
        <v>13</v>
      </c>
      <c r="D190" s="214" t="s">
        <v>63</v>
      </c>
      <c r="E190" s="214">
        <v>2020</v>
      </c>
      <c r="F190" s="203" t="s">
        <v>19</v>
      </c>
      <c r="G190" s="597">
        <v>1147.75</v>
      </c>
      <c r="H190" s="215"/>
      <c r="I190" s="215"/>
      <c r="J190" s="215"/>
      <c r="K190" s="215"/>
      <c r="L190" s="215"/>
      <c r="M190" s="598"/>
      <c r="N190" s="122">
        <f>G190*0.02*$BC$7</f>
        <v>30.700458608999689</v>
      </c>
      <c r="O190" s="215"/>
      <c r="P190" s="215"/>
      <c r="Q190" s="215"/>
      <c r="R190" s="215"/>
      <c r="S190" s="215"/>
      <c r="T190" s="215"/>
      <c r="U190" s="486"/>
      <c r="V190" s="487"/>
      <c r="W190" s="487"/>
      <c r="X190" s="487"/>
      <c r="Y190" s="215"/>
      <c r="Z190" s="487"/>
      <c r="AA190" s="598"/>
      <c r="AB190" s="215"/>
      <c r="AC190" s="215"/>
      <c r="AD190" s="215"/>
      <c r="AE190" s="215"/>
      <c r="AF190" s="215"/>
      <c r="AG190" s="215"/>
      <c r="AH190" s="215"/>
      <c r="AI190" s="214"/>
      <c r="AJ190" s="214"/>
      <c r="AK190" s="214"/>
      <c r="AL190" s="214"/>
      <c r="AM190" s="215"/>
      <c r="AN190" s="214"/>
      <c r="AO190" s="598"/>
      <c r="AP190" s="886"/>
      <c r="AQ190" s="887"/>
      <c r="AR190" s="887"/>
      <c r="AS190" s="887"/>
      <c r="AT190" s="887"/>
      <c r="AU190" s="887"/>
      <c r="AV190" s="888"/>
      <c r="AW190" s="216"/>
      <c r="AX190" s="27"/>
      <c r="AY190" s="104"/>
    </row>
    <row r="191" spans="1:51" x14ac:dyDescent="0.3">
      <c r="A191" s="853"/>
      <c r="B191" s="217" t="s">
        <v>267</v>
      </c>
      <c r="C191" s="218"/>
      <c r="D191" s="218"/>
      <c r="E191" s="218"/>
      <c r="F191" s="218"/>
      <c r="G191" s="226">
        <f>MIN(G184:G190)</f>
        <v>525.30204867798977</v>
      </c>
      <c r="H191" s="227">
        <f t="shared" ref="H191:AA191" si="392">MIN(H184:H190)</f>
        <v>411.48660479775867</v>
      </c>
      <c r="I191" s="227">
        <f t="shared" si="392"/>
        <v>297.67116091752757</v>
      </c>
      <c r="J191" s="227">
        <f t="shared" si="392"/>
        <v>249.51847312204518</v>
      </c>
      <c r="K191" s="227">
        <f t="shared" si="392"/>
        <v>225.44212922430398</v>
      </c>
      <c r="L191" s="227">
        <f t="shared" si="392"/>
        <v>201.36578532656276</v>
      </c>
      <c r="M191" s="228">
        <f t="shared" si="392"/>
        <v>135.70302924181399</v>
      </c>
      <c r="N191" s="220">
        <f t="shared" si="392"/>
        <v>6.1246610417705529</v>
      </c>
      <c r="O191" s="220">
        <f t="shared" si="392"/>
        <v>4.7976511493869332</v>
      </c>
      <c r="P191" s="220">
        <f t="shared" si="392"/>
        <v>3.4706412570033143</v>
      </c>
      <c r="Q191" s="220">
        <f t="shared" si="392"/>
        <v>2.9092139948410134</v>
      </c>
      <c r="R191" s="220">
        <f t="shared" si="392"/>
        <v>2.628500363759863</v>
      </c>
      <c r="S191" s="220">
        <f t="shared" si="392"/>
        <v>2.3477867326787125</v>
      </c>
      <c r="T191" s="221">
        <f t="shared" si="392"/>
        <v>1.5822041024573925</v>
      </c>
      <c r="U191" s="492">
        <f t="shared" si="392"/>
        <v>4.3775170723165816E-3</v>
      </c>
      <c r="V191" s="493">
        <f t="shared" si="392"/>
        <v>4.3775170723165816E-3</v>
      </c>
      <c r="W191" s="493">
        <f t="shared" si="392"/>
        <v>4.3775170723165816E-3</v>
      </c>
      <c r="X191" s="493">
        <f t="shared" si="392"/>
        <v>4.3775170723165816E-3</v>
      </c>
      <c r="Y191" s="493">
        <f t="shared" si="392"/>
        <v>4.3775170723165816E-3</v>
      </c>
      <c r="Z191" s="493">
        <f t="shared" si="392"/>
        <v>4.3775170723165816E-3</v>
      </c>
      <c r="AA191" s="493">
        <f t="shared" si="392"/>
        <v>4.3775170723165816E-3</v>
      </c>
      <c r="AB191" s="493"/>
      <c r="AC191" s="493"/>
      <c r="AD191" s="493"/>
      <c r="AE191" s="493"/>
      <c r="AF191" s="493"/>
      <c r="AG191" s="493"/>
      <c r="AH191" s="493"/>
      <c r="AI191" s="222"/>
      <c r="AJ191" s="218"/>
      <c r="AK191" s="218"/>
      <c r="AL191" s="218"/>
      <c r="AM191" s="220"/>
      <c r="AN191" s="218"/>
      <c r="AO191" s="221"/>
      <c r="AP191" s="865">
        <v>1</v>
      </c>
      <c r="AQ191" s="866"/>
      <c r="AR191" s="866"/>
      <c r="AS191" s="866"/>
      <c r="AT191" s="866"/>
      <c r="AU191" s="866"/>
      <c r="AV191" s="867"/>
      <c r="AW191" s="222"/>
      <c r="AX191" s="223"/>
      <c r="AY191" s="104"/>
    </row>
    <row r="192" spans="1:51" x14ac:dyDescent="0.3">
      <c r="A192" s="853"/>
      <c r="B192" s="224" t="s">
        <v>268</v>
      </c>
      <c r="C192" s="225"/>
      <c r="D192" s="225"/>
      <c r="E192" s="225"/>
      <c r="F192" s="225"/>
      <c r="G192" s="226">
        <f>MEDIAN(G184:G190)</f>
        <v>569.07721940115562</v>
      </c>
      <c r="H192" s="227">
        <f t="shared" ref="H192:AA192" si="393">MEDIAN(H184:H190)</f>
        <v>439.94046576781648</v>
      </c>
      <c r="I192" s="227">
        <f t="shared" si="393"/>
        <v>332.6912974960602</v>
      </c>
      <c r="J192" s="227">
        <f t="shared" si="393"/>
        <v>275.78357555594465</v>
      </c>
      <c r="K192" s="227">
        <f t="shared" si="393"/>
        <v>248.42409385396601</v>
      </c>
      <c r="L192" s="227">
        <f t="shared" si="393"/>
        <v>223.25337068814565</v>
      </c>
      <c r="M192" s="228">
        <f t="shared" si="393"/>
        <v>168.53440728418838</v>
      </c>
      <c r="N192" s="227">
        <f t="shared" si="393"/>
        <v>6.6350494619180997</v>
      </c>
      <c r="O192" s="227">
        <f t="shared" si="393"/>
        <v>5.1294036224828394</v>
      </c>
      <c r="P192" s="227">
        <f t="shared" si="393"/>
        <v>3.8789519931213507</v>
      </c>
      <c r="Q192" s="227">
        <f t="shared" si="393"/>
        <v>3.2154470469295409</v>
      </c>
      <c r="R192" s="227">
        <f t="shared" si="393"/>
        <v>2.8964542843373247</v>
      </c>
      <c r="S192" s="227">
        <f t="shared" si="393"/>
        <v>2.6029809427524855</v>
      </c>
      <c r="T192" s="228">
        <f t="shared" si="393"/>
        <v>1.9649954175680522</v>
      </c>
      <c r="U192" s="492">
        <f t="shared" si="393"/>
        <v>6.5662756084748728E-3</v>
      </c>
      <c r="V192" s="493">
        <f t="shared" si="393"/>
        <v>5.4718963403957276E-3</v>
      </c>
      <c r="W192" s="493">
        <f t="shared" si="393"/>
        <v>4.3775170723165816E-3</v>
      </c>
      <c r="X192" s="493">
        <f t="shared" si="393"/>
        <v>4.3775170723165816E-3</v>
      </c>
      <c r="Y192" s="493">
        <f t="shared" si="393"/>
        <v>4.3775170723165816E-3</v>
      </c>
      <c r="Z192" s="493">
        <f t="shared" si="393"/>
        <v>4.3775170723165816E-3</v>
      </c>
      <c r="AA192" s="493">
        <f t="shared" si="393"/>
        <v>4.3775170723165816E-3</v>
      </c>
      <c r="AB192" s="493"/>
      <c r="AC192" s="493"/>
      <c r="AD192" s="493"/>
      <c r="AE192" s="493"/>
      <c r="AF192" s="493"/>
      <c r="AG192" s="493"/>
      <c r="AH192" s="493"/>
      <c r="AI192" s="229"/>
      <c r="AJ192" s="225"/>
      <c r="AK192" s="225"/>
      <c r="AL192" s="225"/>
      <c r="AM192" s="227"/>
      <c r="AN192" s="225"/>
      <c r="AO192" s="228"/>
      <c r="AP192" s="868"/>
      <c r="AQ192" s="869"/>
      <c r="AR192" s="869"/>
      <c r="AS192" s="869"/>
      <c r="AT192" s="869"/>
      <c r="AU192" s="869"/>
      <c r="AV192" s="870"/>
      <c r="AW192" s="229"/>
      <c r="AX192" s="230"/>
      <c r="AY192" s="104"/>
    </row>
    <row r="193" spans="1:51" x14ac:dyDescent="0.3">
      <c r="A193" s="853"/>
      <c r="B193" s="231" t="s">
        <v>269</v>
      </c>
      <c r="C193" s="232"/>
      <c r="D193" s="232"/>
      <c r="E193" s="232"/>
      <c r="F193" s="232"/>
      <c r="G193" s="599">
        <f>MAX(G184:G190)</f>
        <v>1147.75</v>
      </c>
      <c r="H193" s="233">
        <f t="shared" ref="H193:AA193" si="394">MAX(H184:H190)</f>
        <v>468.39432673787422</v>
      </c>
      <c r="I193" s="233">
        <f t="shared" si="394"/>
        <v>367.71143407459283</v>
      </c>
      <c r="J193" s="233">
        <f t="shared" si="394"/>
        <v>319.55874627911044</v>
      </c>
      <c r="K193" s="233">
        <f t="shared" si="394"/>
        <v>295.48240238136924</v>
      </c>
      <c r="L193" s="233">
        <f t="shared" si="394"/>
        <v>271.40605848362804</v>
      </c>
      <c r="M193" s="600">
        <f t="shared" si="394"/>
        <v>223.25337068814565</v>
      </c>
      <c r="N193" s="233">
        <f t="shared" si="394"/>
        <v>30.700458608999689</v>
      </c>
      <c r="O193" s="233">
        <f t="shared" si="394"/>
        <v>5.4611560955787439</v>
      </c>
      <c r="P193" s="233">
        <f t="shared" si="394"/>
        <v>4.2872627292393872</v>
      </c>
      <c r="Q193" s="233">
        <f t="shared" si="394"/>
        <v>3.7258354670770863</v>
      </c>
      <c r="R193" s="233">
        <f t="shared" si="394"/>
        <v>3.4451218359959359</v>
      </c>
      <c r="S193" s="233">
        <f t="shared" si="394"/>
        <v>3.1644082049147864</v>
      </c>
      <c r="T193" s="600">
        <f t="shared" si="394"/>
        <v>2.6029809427524855</v>
      </c>
      <c r="U193" s="496">
        <f t="shared" si="394"/>
        <v>8.7550341446331632E-3</v>
      </c>
      <c r="V193" s="497">
        <f t="shared" si="394"/>
        <v>6.5662756084748728E-3</v>
      </c>
      <c r="W193" s="497">
        <f t="shared" si="394"/>
        <v>4.3775170723165816E-3</v>
      </c>
      <c r="X193" s="497">
        <f t="shared" si="394"/>
        <v>4.3775170723165816E-3</v>
      </c>
      <c r="Y193" s="497">
        <f t="shared" si="394"/>
        <v>4.3775170723165816E-3</v>
      </c>
      <c r="Z193" s="497">
        <f t="shared" si="394"/>
        <v>4.3775170723165816E-3</v>
      </c>
      <c r="AA193" s="497">
        <f t="shared" si="394"/>
        <v>4.3775170723165816E-3</v>
      </c>
      <c r="AB193" s="497"/>
      <c r="AC193" s="497"/>
      <c r="AD193" s="497"/>
      <c r="AE193" s="497"/>
      <c r="AF193" s="497"/>
      <c r="AG193" s="497"/>
      <c r="AH193" s="497"/>
      <c r="AI193" s="234"/>
      <c r="AJ193" s="232"/>
      <c r="AK193" s="232"/>
      <c r="AL193" s="232"/>
      <c r="AM193" s="233"/>
      <c r="AN193" s="232"/>
      <c r="AO193" s="600"/>
      <c r="AP193" s="868"/>
      <c r="AQ193" s="869"/>
      <c r="AR193" s="869"/>
      <c r="AS193" s="869"/>
      <c r="AT193" s="869"/>
      <c r="AU193" s="869"/>
      <c r="AV193" s="870"/>
      <c r="AW193" s="234"/>
      <c r="AX193" s="235"/>
      <c r="AY193" s="104"/>
    </row>
    <row r="194" spans="1:51" x14ac:dyDescent="0.3">
      <c r="A194" s="853"/>
      <c r="B194" s="601" t="s">
        <v>20</v>
      </c>
      <c r="C194" s="430">
        <v>13</v>
      </c>
      <c r="D194" s="430" t="s">
        <v>63</v>
      </c>
      <c r="E194" s="430">
        <v>2020</v>
      </c>
      <c r="F194" s="602" t="s">
        <v>19</v>
      </c>
      <c r="G194" s="238">
        <f>2332.74</f>
        <v>2332.7399999999998</v>
      </c>
      <c r="H194" s="239"/>
      <c r="I194" s="239"/>
      <c r="J194" s="239"/>
      <c r="K194" s="239"/>
      <c r="L194" s="239"/>
      <c r="M194" s="241"/>
      <c r="N194" s="429"/>
      <c r="O194" s="429"/>
      <c r="P194" s="429"/>
      <c r="Q194" s="429"/>
      <c r="R194" s="239"/>
      <c r="S194" s="429"/>
      <c r="T194" s="241"/>
      <c r="U194" s="499"/>
      <c r="V194" s="500"/>
      <c r="W194" s="500"/>
      <c r="X194" s="500"/>
      <c r="Y194" s="239"/>
      <c r="Z194" s="500"/>
      <c r="AA194" s="241"/>
      <c r="AB194" s="239"/>
      <c r="AC194" s="239"/>
      <c r="AD194" s="239"/>
      <c r="AE194" s="239"/>
      <c r="AF194" s="239"/>
      <c r="AG194" s="239"/>
      <c r="AH194" s="239"/>
      <c r="AI194" s="432"/>
      <c r="AJ194" s="430"/>
      <c r="AK194" s="430"/>
      <c r="AL194" s="430"/>
      <c r="AM194" s="239"/>
      <c r="AN194" s="430"/>
      <c r="AO194" s="241"/>
      <c r="AP194" s="838">
        <v>1</v>
      </c>
      <c r="AQ194" s="839"/>
      <c r="AR194" s="839"/>
      <c r="AS194" s="839"/>
      <c r="AT194" s="839"/>
      <c r="AU194" s="839"/>
      <c r="AV194" s="840"/>
      <c r="AW194" s="432"/>
      <c r="AX194" s="605"/>
      <c r="AY194" s="104"/>
    </row>
    <row r="195" spans="1:51" x14ac:dyDescent="0.3">
      <c r="A195" s="853"/>
      <c r="B195" s="841" t="s">
        <v>24</v>
      </c>
      <c r="C195" s="278">
        <v>6</v>
      </c>
      <c r="D195" s="279" t="s">
        <v>39</v>
      </c>
      <c r="E195" s="279">
        <v>2020</v>
      </c>
      <c r="F195" s="611" t="s">
        <v>19</v>
      </c>
      <c r="G195" s="508">
        <f t="shared" ref="G195:G197" si="395">(800)/1.1422</f>
        <v>700.40273157065303</v>
      </c>
      <c r="H195" s="93">
        <f t="shared" ref="H195:H200" si="396">G195+((I195-G195)/(2030-2020))*(2025-2020)</f>
        <v>700.40273157065303</v>
      </c>
      <c r="I195" s="281">
        <f t="shared" ref="I195:I197" si="397">(800)/1.1422</f>
        <v>700.40273157065303</v>
      </c>
      <c r="J195" s="93">
        <f t="shared" ref="J195:J200" si="398">I195+((L195-I195)/(2050-2030))*(2040-2030)</f>
        <v>700.40273157065303</v>
      </c>
      <c r="K195" s="93">
        <f t="shared" ref="K195:K200" si="399">J195+((L195-J195)/(2050-2040))*(2045-2040)</f>
        <v>700.40273157065303</v>
      </c>
      <c r="L195" s="281">
        <f t="shared" ref="L195:L197" si="400">(800)/1.1422</f>
        <v>700.40273157065303</v>
      </c>
      <c r="M195" s="95">
        <f t="shared" ref="M195:M200" si="401">K195+((L195-K195)/(2050-2045))*(2060-2045)</f>
        <v>700.40273157065303</v>
      </c>
      <c r="N195" s="93">
        <f t="shared" ref="N195:N200" si="402">G195*0.02*$BC$8</f>
        <v>8.1662147223607384</v>
      </c>
      <c r="O195" s="93">
        <f t="shared" ref="O195:O200" si="403">H195*0.02*$BC$8</f>
        <v>8.1662147223607384</v>
      </c>
      <c r="P195" s="93">
        <f t="shared" ref="P195:P200" si="404">I195*0.02*$BC$8</f>
        <v>8.1662147223607384</v>
      </c>
      <c r="Q195" s="93">
        <f t="shared" ref="Q195:Q200" si="405">J195*0.02*$BC$8</f>
        <v>8.1662147223607384</v>
      </c>
      <c r="R195" s="93">
        <f t="shared" ref="R195:R200" si="406">K195*0.02*$BC$8</f>
        <v>8.1662147223607384</v>
      </c>
      <c r="S195" s="93">
        <f t="shared" ref="S195:S200" si="407">L195*0.02*$BC$8</f>
        <v>8.1662147223607384</v>
      </c>
      <c r="T195" s="93">
        <f t="shared" ref="T195:T200" si="408">M195*0.02*$BC$8</f>
        <v>8.1662147223607384</v>
      </c>
      <c r="U195" s="284">
        <f>((45)/1.1422)*0.001</f>
        <v>3.9397653650849233E-2</v>
      </c>
      <c r="V195" s="286">
        <f t="shared" ref="V195:V200" si="409">U195+((W195-U195)/(2030-2020))*(2025-2020)</f>
        <v>4.5963929259324104E-2</v>
      </c>
      <c r="W195" s="285">
        <f>((60)/1.1422)*0.001</f>
        <v>5.2530204867798982E-2</v>
      </c>
      <c r="X195" s="286">
        <f t="shared" ref="X195:X200" si="410">W195+((Z195-W195)/(2050-2030))*(2040-2030)</f>
        <v>5.9096480476273854E-2</v>
      </c>
      <c r="Y195" s="286">
        <f t="shared" ref="Y195:Y200" si="411">X195+((Z195-X195)/(2050-2040))*(2045-2040)</f>
        <v>6.2379618280511293E-2</v>
      </c>
      <c r="Z195" s="285">
        <f>((75)/1.1422)*0.001</f>
        <v>6.5662756084748725E-2</v>
      </c>
      <c r="AA195" s="366">
        <f t="shared" ref="AA195:AA200" si="412">Y195+((Z195-Y195)/(2050-2045))*(2060-2045)</f>
        <v>7.2229031693223589E-2</v>
      </c>
      <c r="AB195" s="286"/>
      <c r="AC195" s="286"/>
      <c r="AD195" s="286"/>
      <c r="AE195" s="286"/>
      <c r="AF195" s="286"/>
      <c r="AG195" s="286"/>
      <c r="AH195" s="286"/>
      <c r="AI195" s="279"/>
      <c r="AJ195" s="279"/>
      <c r="AK195" s="279"/>
      <c r="AL195" s="279"/>
      <c r="AM195" s="281"/>
      <c r="AN195" s="279"/>
      <c r="AO195" s="509"/>
      <c r="AP195" s="281"/>
      <c r="AQ195" s="281"/>
      <c r="AR195" s="281"/>
      <c r="AS195" s="281"/>
      <c r="AT195" s="281"/>
      <c r="AU195" s="281"/>
      <c r="AV195" s="509"/>
      <c r="AW195" s="278"/>
      <c r="AX195" s="7"/>
      <c r="AY195" s="104" t="s">
        <v>316</v>
      </c>
    </row>
    <row r="196" spans="1:51" x14ac:dyDescent="0.3">
      <c r="A196" s="853"/>
      <c r="B196" s="842"/>
      <c r="C196" s="289">
        <v>6</v>
      </c>
      <c r="D196" s="290" t="s">
        <v>39</v>
      </c>
      <c r="E196" s="290">
        <v>2020</v>
      </c>
      <c r="F196" s="507" t="s">
        <v>19</v>
      </c>
      <c r="G196" s="510">
        <f t="shared" si="395"/>
        <v>700.40273157065303</v>
      </c>
      <c r="H196" s="107">
        <f t="shared" si="396"/>
        <v>700.40273157065303</v>
      </c>
      <c r="I196" s="282">
        <f t="shared" si="397"/>
        <v>700.40273157065303</v>
      </c>
      <c r="J196" s="107">
        <f t="shared" si="398"/>
        <v>700.40273157065303</v>
      </c>
      <c r="K196" s="107">
        <f t="shared" si="399"/>
        <v>700.40273157065303</v>
      </c>
      <c r="L196" s="282">
        <f t="shared" si="400"/>
        <v>700.40273157065303</v>
      </c>
      <c r="M196" s="109">
        <f t="shared" si="401"/>
        <v>700.40273157065303</v>
      </c>
      <c r="N196" s="107">
        <f t="shared" si="402"/>
        <v>8.1662147223607384</v>
      </c>
      <c r="O196" s="107">
        <f t="shared" si="403"/>
        <v>8.1662147223607384</v>
      </c>
      <c r="P196" s="107">
        <f t="shared" si="404"/>
        <v>8.1662147223607384</v>
      </c>
      <c r="Q196" s="107">
        <f t="shared" si="405"/>
        <v>8.1662147223607384</v>
      </c>
      <c r="R196" s="107">
        <f t="shared" si="406"/>
        <v>8.1662147223607384</v>
      </c>
      <c r="S196" s="107">
        <f t="shared" si="407"/>
        <v>8.1662147223607384</v>
      </c>
      <c r="T196" s="107">
        <f t="shared" si="408"/>
        <v>8.1662147223607384</v>
      </c>
      <c r="U196" s="293">
        <f t="shared" ref="U196:U197" si="413">(45*0.001)/1.1422</f>
        <v>3.9397653650849233E-2</v>
      </c>
      <c r="V196" s="295">
        <f t="shared" si="409"/>
        <v>6.1285239012432144E-2</v>
      </c>
      <c r="W196" s="294">
        <f>(95*0.001)/1.1422</f>
        <v>8.3172824374015047E-2</v>
      </c>
      <c r="X196" s="295">
        <f t="shared" si="410"/>
        <v>0.10724916827175625</v>
      </c>
      <c r="Y196" s="295">
        <f t="shared" si="411"/>
        <v>0.11928734022062684</v>
      </c>
      <c r="Z196" s="294">
        <f>(150*0.001)/1.1422</f>
        <v>0.13132551216949745</v>
      </c>
      <c r="AA196" s="452">
        <f t="shared" si="412"/>
        <v>0.15540185606723866</v>
      </c>
      <c r="AB196" s="1041"/>
      <c r="AC196" s="1041"/>
      <c r="AD196" s="1041"/>
      <c r="AE196" s="1041"/>
      <c r="AF196" s="1041"/>
      <c r="AG196" s="1041"/>
      <c r="AH196" s="1041"/>
      <c r="AI196" s="290"/>
      <c r="AJ196" s="290"/>
      <c r="AK196" s="290"/>
      <c r="AL196" s="290"/>
      <c r="AM196" s="282"/>
      <c r="AN196" s="290"/>
      <c r="AO196" s="298"/>
      <c r="AP196" s="282"/>
      <c r="AQ196" s="282"/>
      <c r="AR196" s="282"/>
      <c r="AS196" s="282"/>
      <c r="AT196" s="282"/>
      <c r="AU196" s="282"/>
      <c r="AV196" s="298"/>
      <c r="AW196" s="289"/>
      <c r="AX196" s="11"/>
      <c r="AY196" s="104"/>
    </row>
    <row r="197" spans="1:51" x14ac:dyDescent="0.3">
      <c r="A197" s="853"/>
      <c r="B197" s="842"/>
      <c r="C197" s="289">
        <v>6</v>
      </c>
      <c r="D197" s="290" t="s">
        <v>39</v>
      </c>
      <c r="E197" s="290">
        <v>2020</v>
      </c>
      <c r="F197" s="507" t="s">
        <v>19</v>
      </c>
      <c r="G197" s="510">
        <f t="shared" si="395"/>
        <v>700.40273157065303</v>
      </c>
      <c r="H197" s="107">
        <f t="shared" si="396"/>
        <v>700.40273157065303</v>
      </c>
      <c r="I197" s="282">
        <f t="shared" si="397"/>
        <v>700.40273157065303</v>
      </c>
      <c r="J197" s="107">
        <f t="shared" si="398"/>
        <v>700.40273157065303</v>
      </c>
      <c r="K197" s="107">
        <f t="shared" si="399"/>
        <v>700.40273157065303</v>
      </c>
      <c r="L197" s="282">
        <f t="shared" si="400"/>
        <v>700.40273157065303</v>
      </c>
      <c r="M197" s="109">
        <f t="shared" si="401"/>
        <v>700.40273157065303</v>
      </c>
      <c r="N197" s="107">
        <f t="shared" si="402"/>
        <v>8.1662147223607384</v>
      </c>
      <c r="O197" s="107">
        <f t="shared" si="403"/>
        <v>8.1662147223607384</v>
      </c>
      <c r="P197" s="107">
        <f t="shared" si="404"/>
        <v>8.1662147223607384</v>
      </c>
      <c r="Q197" s="107">
        <f t="shared" si="405"/>
        <v>8.1662147223607384</v>
      </c>
      <c r="R197" s="107">
        <f t="shared" si="406"/>
        <v>8.1662147223607384</v>
      </c>
      <c r="S197" s="107">
        <f t="shared" si="407"/>
        <v>8.1662147223607384</v>
      </c>
      <c r="T197" s="107">
        <f t="shared" si="408"/>
        <v>8.1662147223607384</v>
      </c>
      <c r="U197" s="293">
        <f t="shared" si="413"/>
        <v>3.9397653650849233E-2</v>
      </c>
      <c r="V197" s="295">
        <f t="shared" si="409"/>
        <v>4.8152687795482402E-2</v>
      </c>
      <c r="W197" s="294">
        <f>(65*0.001)/1.1422</f>
        <v>5.6907721940115563E-2</v>
      </c>
      <c r="X197" s="295">
        <f t="shared" si="410"/>
        <v>7.8795307301698481E-2</v>
      </c>
      <c r="Y197" s="295">
        <f t="shared" si="411"/>
        <v>8.9739099982489939E-2</v>
      </c>
      <c r="Z197" s="294">
        <f>(115*0.001)/1.1422</f>
        <v>0.10068289266328138</v>
      </c>
      <c r="AA197" s="452">
        <f t="shared" si="412"/>
        <v>0.12257047802486427</v>
      </c>
      <c r="AB197" s="1041"/>
      <c r="AC197" s="1041"/>
      <c r="AD197" s="1041"/>
      <c r="AE197" s="1041"/>
      <c r="AF197" s="1041"/>
      <c r="AG197" s="1041"/>
      <c r="AH197" s="1041"/>
      <c r="AI197" s="290"/>
      <c r="AJ197" s="290"/>
      <c r="AK197" s="290"/>
      <c r="AL197" s="290"/>
      <c r="AM197" s="282"/>
      <c r="AN197" s="290"/>
      <c r="AO197" s="298"/>
      <c r="AP197" s="282"/>
      <c r="AQ197" s="282"/>
      <c r="AR197" s="282"/>
      <c r="AS197" s="282"/>
      <c r="AT197" s="282"/>
      <c r="AU197" s="282"/>
      <c r="AV197" s="298"/>
      <c r="AW197" s="289"/>
      <c r="AX197" s="11"/>
      <c r="AY197" s="104"/>
    </row>
    <row r="198" spans="1:51" x14ac:dyDescent="0.3">
      <c r="A198" s="853"/>
      <c r="B198" s="842"/>
      <c r="C198" s="289">
        <v>6</v>
      </c>
      <c r="D198" s="290" t="s">
        <v>39</v>
      </c>
      <c r="E198" s="290">
        <v>2020</v>
      </c>
      <c r="F198" s="507" t="s">
        <v>19</v>
      </c>
      <c r="G198" s="510">
        <f t="shared" ref="G198:G200" si="414">(1200)/1.1422</f>
        <v>1050.6040973559795</v>
      </c>
      <c r="H198" s="107">
        <f t="shared" si="396"/>
        <v>1050.6040973559795</v>
      </c>
      <c r="I198" s="282">
        <f t="shared" ref="I198:I200" si="415">(1200)/1.1422</f>
        <v>1050.6040973559795</v>
      </c>
      <c r="J198" s="107">
        <f t="shared" si="398"/>
        <v>1050.6040973559795</v>
      </c>
      <c r="K198" s="107">
        <f t="shared" si="399"/>
        <v>1050.6040973559795</v>
      </c>
      <c r="L198" s="282">
        <f t="shared" ref="L198:L200" si="416">(1200)/1.1422</f>
        <v>1050.6040973559795</v>
      </c>
      <c r="M198" s="109">
        <f t="shared" si="401"/>
        <v>1050.6040973559795</v>
      </c>
      <c r="N198" s="107">
        <f t="shared" si="402"/>
        <v>12.249322083541106</v>
      </c>
      <c r="O198" s="107">
        <f t="shared" si="403"/>
        <v>12.249322083541106</v>
      </c>
      <c r="P198" s="107">
        <f t="shared" si="404"/>
        <v>12.249322083541106</v>
      </c>
      <c r="Q198" s="107">
        <f t="shared" si="405"/>
        <v>12.249322083541106</v>
      </c>
      <c r="R198" s="107">
        <f t="shared" si="406"/>
        <v>12.249322083541106</v>
      </c>
      <c r="S198" s="107">
        <f t="shared" si="407"/>
        <v>12.249322083541106</v>
      </c>
      <c r="T198" s="107">
        <f t="shared" si="408"/>
        <v>12.249322083541106</v>
      </c>
      <c r="U198" s="293">
        <f>((30)/1.1422)*0.001</f>
        <v>2.6265102433899491E-2</v>
      </c>
      <c r="V198" s="295">
        <f t="shared" si="409"/>
        <v>2.8453860970057782E-2</v>
      </c>
      <c r="W198" s="294">
        <f>((35)/1.1422)*0.001</f>
        <v>3.0642619506216072E-2</v>
      </c>
      <c r="X198" s="295">
        <f t="shared" si="410"/>
        <v>2.8453860970057782E-2</v>
      </c>
      <c r="Y198" s="295">
        <f t="shared" si="411"/>
        <v>2.7359481701978636E-2</v>
      </c>
      <c r="Z198" s="294">
        <f>((30)/1.1422)*0.001</f>
        <v>2.6265102433899491E-2</v>
      </c>
      <c r="AA198" s="452">
        <f t="shared" si="412"/>
        <v>2.4076343897741201E-2</v>
      </c>
      <c r="AB198" s="1041"/>
      <c r="AC198" s="1041"/>
      <c r="AD198" s="1041"/>
      <c r="AE198" s="1041"/>
      <c r="AF198" s="1041"/>
      <c r="AG198" s="1041"/>
      <c r="AH198" s="1041"/>
      <c r="AI198" s="290"/>
      <c r="AJ198" s="290"/>
      <c r="AK198" s="290"/>
      <c r="AL198" s="290"/>
      <c r="AM198" s="282"/>
      <c r="AN198" s="290"/>
      <c r="AO198" s="298"/>
      <c r="AP198" s="282"/>
      <c r="AQ198" s="282"/>
      <c r="AR198" s="282"/>
      <c r="AS198" s="282"/>
      <c r="AT198" s="282"/>
      <c r="AU198" s="282"/>
      <c r="AV198" s="298"/>
      <c r="AW198" s="289"/>
      <c r="AX198" s="11"/>
      <c r="AY198" s="104" t="s">
        <v>317</v>
      </c>
    </row>
    <row r="199" spans="1:51" x14ac:dyDescent="0.3">
      <c r="A199" s="853"/>
      <c r="B199" s="842"/>
      <c r="C199" s="289">
        <v>6</v>
      </c>
      <c r="D199" s="290" t="s">
        <v>39</v>
      </c>
      <c r="E199" s="290">
        <v>2020</v>
      </c>
      <c r="F199" s="507" t="s">
        <v>19</v>
      </c>
      <c r="G199" s="510">
        <f t="shared" si="414"/>
        <v>1050.6040973559795</v>
      </c>
      <c r="H199" s="107">
        <f t="shared" si="396"/>
        <v>1050.6040973559795</v>
      </c>
      <c r="I199" s="282">
        <f t="shared" si="415"/>
        <v>1050.6040973559795</v>
      </c>
      <c r="J199" s="107">
        <f t="shared" si="398"/>
        <v>1050.6040973559795</v>
      </c>
      <c r="K199" s="107">
        <f t="shared" si="399"/>
        <v>1050.6040973559795</v>
      </c>
      <c r="L199" s="282">
        <f t="shared" si="416"/>
        <v>1050.6040973559795</v>
      </c>
      <c r="M199" s="109">
        <f t="shared" si="401"/>
        <v>1050.6040973559795</v>
      </c>
      <c r="N199" s="107">
        <f t="shared" si="402"/>
        <v>12.249322083541106</v>
      </c>
      <c r="O199" s="107">
        <f t="shared" si="403"/>
        <v>12.249322083541106</v>
      </c>
      <c r="P199" s="107">
        <f t="shared" si="404"/>
        <v>12.249322083541106</v>
      </c>
      <c r="Q199" s="107">
        <f t="shared" si="405"/>
        <v>12.249322083541106</v>
      </c>
      <c r="R199" s="107">
        <f t="shared" si="406"/>
        <v>12.249322083541106</v>
      </c>
      <c r="S199" s="107">
        <f t="shared" si="407"/>
        <v>12.249322083541106</v>
      </c>
      <c r="T199" s="107">
        <f t="shared" si="408"/>
        <v>12.249322083541106</v>
      </c>
      <c r="U199" s="293">
        <f t="shared" ref="U199:U200" si="417">(30*0.001)/1.1422</f>
        <v>2.6265102433899488E-2</v>
      </c>
      <c r="V199" s="295">
        <f t="shared" si="409"/>
        <v>2.8453860970057782E-2</v>
      </c>
      <c r="W199" s="294">
        <f>(35*0.001)/1.1422</f>
        <v>3.0642619506216075E-2</v>
      </c>
      <c r="X199" s="295">
        <f t="shared" si="410"/>
        <v>2.8453860970057782E-2</v>
      </c>
      <c r="Y199" s="295">
        <f t="shared" si="411"/>
        <v>2.7359481701978633E-2</v>
      </c>
      <c r="Z199" s="294">
        <f t="shared" ref="Z199:Z200" si="418">(30*0.001)/1.1422</f>
        <v>2.6265102433899488E-2</v>
      </c>
      <c r="AA199" s="452">
        <f t="shared" si="412"/>
        <v>2.4076343897741197E-2</v>
      </c>
      <c r="AB199" s="1041"/>
      <c r="AC199" s="1041"/>
      <c r="AD199" s="1041"/>
      <c r="AE199" s="1041"/>
      <c r="AF199" s="1041"/>
      <c r="AG199" s="1041"/>
      <c r="AH199" s="1041"/>
      <c r="AI199" s="290"/>
      <c r="AJ199" s="290"/>
      <c r="AK199" s="290"/>
      <c r="AL199" s="290"/>
      <c r="AM199" s="282"/>
      <c r="AN199" s="290"/>
      <c r="AO199" s="298"/>
      <c r="AP199" s="282"/>
      <c r="AQ199" s="282"/>
      <c r="AR199" s="282"/>
      <c r="AS199" s="282"/>
      <c r="AT199" s="282"/>
      <c r="AU199" s="282"/>
      <c r="AV199" s="298"/>
      <c r="AW199" s="289"/>
      <c r="AX199" s="11"/>
      <c r="AY199" s="104"/>
    </row>
    <row r="200" spans="1:51" x14ac:dyDescent="0.3">
      <c r="A200" s="853"/>
      <c r="B200" s="843"/>
      <c r="C200" s="299">
        <v>6</v>
      </c>
      <c r="D200" s="300" t="s">
        <v>39</v>
      </c>
      <c r="E200" s="300">
        <v>2020</v>
      </c>
      <c r="F200" s="612" t="s">
        <v>19</v>
      </c>
      <c r="G200" s="512">
        <f t="shared" si="414"/>
        <v>1050.6040973559795</v>
      </c>
      <c r="H200" s="122">
        <f t="shared" si="396"/>
        <v>1050.6040973559795</v>
      </c>
      <c r="I200" s="302">
        <f t="shared" si="415"/>
        <v>1050.6040973559795</v>
      </c>
      <c r="J200" s="122">
        <f t="shared" si="398"/>
        <v>1050.6040973559795</v>
      </c>
      <c r="K200" s="122">
        <f t="shared" si="399"/>
        <v>1050.6040973559795</v>
      </c>
      <c r="L200" s="302">
        <f t="shared" si="416"/>
        <v>1050.6040973559795</v>
      </c>
      <c r="M200" s="303">
        <f t="shared" si="401"/>
        <v>1050.6040973559795</v>
      </c>
      <c r="N200" s="107">
        <f t="shared" si="402"/>
        <v>12.249322083541106</v>
      </c>
      <c r="O200" s="107">
        <f t="shared" si="403"/>
        <v>12.249322083541106</v>
      </c>
      <c r="P200" s="107">
        <f t="shared" si="404"/>
        <v>12.249322083541106</v>
      </c>
      <c r="Q200" s="107">
        <f t="shared" si="405"/>
        <v>12.249322083541106</v>
      </c>
      <c r="R200" s="107">
        <f t="shared" si="406"/>
        <v>12.249322083541106</v>
      </c>
      <c r="S200" s="107">
        <f t="shared" si="407"/>
        <v>12.249322083541106</v>
      </c>
      <c r="T200" s="107">
        <f t="shared" si="408"/>
        <v>12.249322083541106</v>
      </c>
      <c r="U200" s="304">
        <f t="shared" si="417"/>
        <v>2.6265102433899488E-2</v>
      </c>
      <c r="V200" s="305">
        <f t="shared" si="409"/>
        <v>2.6265102433899488E-2</v>
      </c>
      <c r="W200" s="513">
        <f>(30*0.001)/1.1422</f>
        <v>2.6265102433899488E-2</v>
      </c>
      <c r="X200" s="305">
        <f t="shared" si="410"/>
        <v>2.6265102433899488E-2</v>
      </c>
      <c r="Y200" s="305">
        <f t="shared" si="411"/>
        <v>2.6265102433899488E-2</v>
      </c>
      <c r="Z200" s="513">
        <f t="shared" si="418"/>
        <v>2.6265102433899488E-2</v>
      </c>
      <c r="AA200" s="514">
        <f t="shared" si="412"/>
        <v>2.6265102433899488E-2</v>
      </c>
      <c r="AB200" s="305"/>
      <c r="AC200" s="305"/>
      <c r="AD200" s="305"/>
      <c r="AE200" s="305"/>
      <c r="AF200" s="305"/>
      <c r="AG200" s="305"/>
      <c r="AH200" s="305"/>
      <c r="AI200" s="300"/>
      <c r="AJ200" s="300"/>
      <c r="AK200" s="300"/>
      <c r="AL200" s="300"/>
      <c r="AM200" s="302"/>
      <c r="AN200" s="300"/>
      <c r="AO200" s="309"/>
      <c r="AP200" s="302"/>
      <c r="AQ200" s="302"/>
      <c r="AR200" s="302"/>
      <c r="AS200" s="302"/>
      <c r="AT200" s="302"/>
      <c r="AU200" s="302"/>
      <c r="AV200" s="309"/>
      <c r="AW200" s="299"/>
      <c r="AX200" s="18"/>
      <c r="AY200" s="104"/>
    </row>
    <row r="201" spans="1:51" x14ac:dyDescent="0.3">
      <c r="A201" s="853"/>
      <c r="B201" s="322" t="s">
        <v>267</v>
      </c>
      <c r="C201" s="311"/>
      <c r="D201" s="311"/>
      <c r="E201" s="311"/>
      <c r="F201" s="311"/>
      <c r="G201" s="323">
        <f>MIN(G195:G200)</f>
        <v>700.40273157065303</v>
      </c>
      <c r="H201" s="324">
        <f t="shared" ref="H201:AA201" si="419">MIN(H195:H200)</f>
        <v>700.40273157065303</v>
      </c>
      <c r="I201" s="324">
        <f t="shared" si="419"/>
        <v>700.40273157065303</v>
      </c>
      <c r="J201" s="324">
        <f t="shared" si="419"/>
        <v>700.40273157065303</v>
      </c>
      <c r="K201" s="324">
        <f t="shared" si="419"/>
        <v>700.40273157065303</v>
      </c>
      <c r="L201" s="324">
        <f t="shared" si="419"/>
        <v>700.40273157065303</v>
      </c>
      <c r="M201" s="325">
        <f t="shared" si="419"/>
        <v>700.40273157065303</v>
      </c>
      <c r="N201" s="312">
        <f t="shared" si="419"/>
        <v>8.1662147223607384</v>
      </c>
      <c r="O201" s="313">
        <f t="shared" si="419"/>
        <v>8.1662147223607384</v>
      </c>
      <c r="P201" s="313">
        <f t="shared" si="419"/>
        <v>8.1662147223607384</v>
      </c>
      <c r="Q201" s="313">
        <f t="shared" si="419"/>
        <v>8.1662147223607384</v>
      </c>
      <c r="R201" s="313">
        <f t="shared" si="419"/>
        <v>8.1662147223607384</v>
      </c>
      <c r="S201" s="313">
        <f t="shared" si="419"/>
        <v>8.1662147223607384</v>
      </c>
      <c r="T201" s="314">
        <f t="shared" si="419"/>
        <v>8.1662147223607384</v>
      </c>
      <c r="U201" s="326">
        <f t="shared" si="419"/>
        <v>2.6265102433899488E-2</v>
      </c>
      <c r="V201" s="327">
        <f t="shared" si="419"/>
        <v>2.6265102433899488E-2</v>
      </c>
      <c r="W201" s="327">
        <f t="shared" si="419"/>
        <v>2.6265102433899488E-2</v>
      </c>
      <c r="X201" s="327">
        <f t="shared" si="419"/>
        <v>2.6265102433899488E-2</v>
      </c>
      <c r="Y201" s="327">
        <f t="shared" si="419"/>
        <v>2.6265102433899488E-2</v>
      </c>
      <c r="Z201" s="327">
        <f t="shared" si="419"/>
        <v>2.6265102433899488E-2</v>
      </c>
      <c r="AA201" s="327">
        <f t="shared" si="419"/>
        <v>2.4076343897741197E-2</v>
      </c>
      <c r="AB201" s="327"/>
      <c r="AC201" s="327"/>
      <c r="AD201" s="327"/>
      <c r="AE201" s="327"/>
      <c r="AF201" s="327"/>
      <c r="AG201" s="327"/>
      <c r="AH201" s="327"/>
      <c r="AI201" s="328"/>
      <c r="AJ201" s="311"/>
      <c r="AK201" s="311"/>
      <c r="AL201" s="311"/>
      <c r="AM201" s="324"/>
      <c r="AN201" s="311"/>
      <c r="AO201" s="325"/>
      <c r="AP201" s="324"/>
      <c r="AQ201" s="324"/>
      <c r="AR201" s="324"/>
      <c r="AS201" s="324"/>
      <c r="AT201" s="324"/>
      <c r="AU201" s="324"/>
      <c r="AV201" s="325"/>
      <c r="AW201" s="328"/>
      <c r="AX201" s="331"/>
      <c r="AY201" s="104"/>
    </row>
    <row r="202" spans="1:51" x14ac:dyDescent="0.3">
      <c r="A202" s="853"/>
      <c r="B202" s="322" t="s">
        <v>268</v>
      </c>
      <c r="C202" s="311"/>
      <c r="D202" s="311"/>
      <c r="E202" s="311"/>
      <c r="F202" s="311"/>
      <c r="G202" s="323">
        <f>MEDIAN(G195:G200)</f>
        <v>875.50341446331629</v>
      </c>
      <c r="H202" s="324">
        <f t="shared" ref="H202:AA202" si="420">MEDIAN(H195:H200)</f>
        <v>875.50341446331629</v>
      </c>
      <c r="I202" s="324">
        <f t="shared" si="420"/>
        <v>875.50341446331629</v>
      </c>
      <c r="J202" s="324">
        <f t="shared" si="420"/>
        <v>875.50341446331629</v>
      </c>
      <c r="K202" s="324">
        <f t="shared" si="420"/>
        <v>875.50341446331629</v>
      </c>
      <c r="L202" s="324">
        <f t="shared" si="420"/>
        <v>875.50341446331629</v>
      </c>
      <c r="M202" s="325">
        <f t="shared" si="420"/>
        <v>875.50341446331629</v>
      </c>
      <c r="N202" s="323">
        <f t="shared" si="420"/>
        <v>10.207768402950922</v>
      </c>
      <c r="O202" s="324">
        <f t="shared" si="420"/>
        <v>10.207768402950922</v>
      </c>
      <c r="P202" s="324">
        <f t="shared" si="420"/>
        <v>10.207768402950922</v>
      </c>
      <c r="Q202" s="324">
        <f t="shared" si="420"/>
        <v>10.207768402950922</v>
      </c>
      <c r="R202" s="324">
        <f t="shared" si="420"/>
        <v>10.207768402950922</v>
      </c>
      <c r="S202" s="324">
        <f t="shared" si="420"/>
        <v>10.207768402950922</v>
      </c>
      <c r="T202" s="325">
        <f t="shared" si="420"/>
        <v>10.207768402950922</v>
      </c>
      <c r="U202" s="326">
        <f t="shared" si="420"/>
        <v>3.2831378042374362E-2</v>
      </c>
      <c r="V202" s="327">
        <f t="shared" si="420"/>
        <v>3.7208895114690943E-2</v>
      </c>
      <c r="W202" s="327">
        <f t="shared" si="420"/>
        <v>4.1586412187007531E-2</v>
      </c>
      <c r="X202" s="327">
        <f t="shared" si="420"/>
        <v>4.3775170723165821E-2</v>
      </c>
      <c r="Y202" s="327">
        <f t="shared" si="420"/>
        <v>4.486954999124497E-2</v>
      </c>
      <c r="Z202" s="327">
        <f t="shared" si="420"/>
        <v>4.5963929259324104E-2</v>
      </c>
      <c r="AA202" s="327">
        <f t="shared" si="420"/>
        <v>4.9247067063561537E-2</v>
      </c>
      <c r="AB202" s="327"/>
      <c r="AC202" s="327"/>
      <c r="AD202" s="327"/>
      <c r="AE202" s="327"/>
      <c r="AF202" s="327"/>
      <c r="AG202" s="327"/>
      <c r="AH202" s="327"/>
      <c r="AI202" s="328"/>
      <c r="AJ202" s="311"/>
      <c r="AK202" s="311"/>
      <c r="AL202" s="311"/>
      <c r="AM202" s="324"/>
      <c r="AN202" s="311"/>
      <c r="AO202" s="325"/>
      <c r="AP202" s="324"/>
      <c r="AQ202" s="324"/>
      <c r="AR202" s="324"/>
      <c r="AS202" s="324"/>
      <c r="AT202" s="324"/>
      <c r="AU202" s="324"/>
      <c r="AV202" s="325"/>
      <c r="AW202" s="328"/>
      <c r="AX202" s="331"/>
      <c r="AY202" s="104"/>
    </row>
    <row r="203" spans="1:51" x14ac:dyDescent="0.3">
      <c r="A203" s="853"/>
      <c r="B203" s="322" t="s">
        <v>269</v>
      </c>
      <c r="C203" s="311"/>
      <c r="D203" s="311"/>
      <c r="E203" s="311"/>
      <c r="F203" s="311"/>
      <c r="G203" s="323">
        <f>MAX(G195:G200)</f>
        <v>1050.6040973559795</v>
      </c>
      <c r="H203" s="324">
        <f t="shared" ref="H203:AA203" si="421">MAX(H195:H200)</f>
        <v>1050.6040973559795</v>
      </c>
      <c r="I203" s="324">
        <f t="shared" si="421"/>
        <v>1050.6040973559795</v>
      </c>
      <c r="J203" s="324">
        <f t="shared" si="421"/>
        <v>1050.6040973559795</v>
      </c>
      <c r="K203" s="324">
        <f t="shared" si="421"/>
        <v>1050.6040973559795</v>
      </c>
      <c r="L203" s="324">
        <f t="shared" si="421"/>
        <v>1050.6040973559795</v>
      </c>
      <c r="M203" s="325">
        <f t="shared" si="421"/>
        <v>1050.6040973559795</v>
      </c>
      <c r="N203" s="334">
        <f t="shared" si="421"/>
        <v>12.249322083541106</v>
      </c>
      <c r="O203" s="335">
        <f t="shared" si="421"/>
        <v>12.249322083541106</v>
      </c>
      <c r="P203" s="335">
        <f t="shared" si="421"/>
        <v>12.249322083541106</v>
      </c>
      <c r="Q203" s="335">
        <f t="shared" si="421"/>
        <v>12.249322083541106</v>
      </c>
      <c r="R203" s="335">
        <f t="shared" si="421"/>
        <v>12.249322083541106</v>
      </c>
      <c r="S203" s="335">
        <f t="shared" si="421"/>
        <v>12.249322083541106</v>
      </c>
      <c r="T203" s="336">
        <f t="shared" si="421"/>
        <v>12.249322083541106</v>
      </c>
      <c r="U203" s="326">
        <f t="shared" si="421"/>
        <v>3.9397653650849233E-2</v>
      </c>
      <c r="V203" s="327">
        <f t="shared" si="421"/>
        <v>6.1285239012432144E-2</v>
      </c>
      <c r="W203" s="327">
        <f t="shared" si="421"/>
        <v>8.3172824374015047E-2</v>
      </c>
      <c r="X203" s="327">
        <f t="shared" si="421"/>
        <v>0.10724916827175625</v>
      </c>
      <c r="Y203" s="327">
        <f t="shared" si="421"/>
        <v>0.11928734022062684</v>
      </c>
      <c r="Z203" s="327">
        <f t="shared" si="421"/>
        <v>0.13132551216949745</v>
      </c>
      <c r="AA203" s="327">
        <f t="shared" si="421"/>
        <v>0.15540185606723866</v>
      </c>
      <c r="AB203" s="327"/>
      <c r="AC203" s="327"/>
      <c r="AD203" s="327"/>
      <c r="AE203" s="327"/>
      <c r="AF203" s="327"/>
      <c r="AG203" s="327"/>
      <c r="AH203" s="327"/>
      <c r="AI203" s="328"/>
      <c r="AJ203" s="311"/>
      <c r="AK203" s="311"/>
      <c r="AL203" s="311"/>
      <c r="AM203" s="335"/>
      <c r="AN203" s="311"/>
      <c r="AO203" s="336"/>
      <c r="AP203" s="324"/>
      <c r="AQ203" s="324"/>
      <c r="AR203" s="324"/>
      <c r="AS203" s="324"/>
      <c r="AT203" s="335"/>
      <c r="AU203" s="324"/>
      <c r="AV203" s="336"/>
      <c r="AW203" s="328"/>
      <c r="AX203" s="331"/>
      <c r="AY203" s="104"/>
    </row>
    <row r="204" spans="1:51" x14ac:dyDescent="0.3">
      <c r="A204" s="853"/>
      <c r="B204" s="844" t="s">
        <v>29</v>
      </c>
      <c r="C204" s="520">
        <v>6</v>
      </c>
      <c r="D204" s="344" t="s">
        <v>39</v>
      </c>
      <c r="E204" s="344">
        <v>2020</v>
      </c>
      <c r="F204" s="613" t="s">
        <v>19</v>
      </c>
      <c r="G204" s="516">
        <f t="shared" ref="G204:G209" si="422">(2800)/1.1422</f>
        <v>2451.4095604972858</v>
      </c>
      <c r="H204" s="93">
        <f t="shared" ref="H204:H209" si="423">G204+((I204-G204)/(2030-2020))*(2025-2020)</f>
        <v>2451.4095604972858</v>
      </c>
      <c r="I204" s="517">
        <f t="shared" ref="I204:I209" si="424">(2800)/1.1422</f>
        <v>2451.4095604972858</v>
      </c>
      <c r="J204" s="93">
        <f t="shared" ref="J204:J209" si="425">I204+((L204-I204)/(2050-2030))*(2040-2030)</f>
        <v>2320.0840483277884</v>
      </c>
      <c r="K204" s="93">
        <f t="shared" ref="K204:K209" si="426">J204+((L204-J204)/(2050-2040))*(2045-2040)</f>
        <v>2254.4212922430397</v>
      </c>
      <c r="L204" s="517">
        <f t="shared" ref="L204:L206" si="427">(2500)/1.1422</f>
        <v>2188.758536158291</v>
      </c>
      <c r="M204" s="95">
        <f t="shared" ref="M204:M209" si="428">K204+((L204-K204)/(2050-2045))*(2060-2045)</f>
        <v>2057.4330239887936</v>
      </c>
      <c r="N204" s="93">
        <f t="shared" ref="N204:N209" si="429">G204*0.02*$BC$8</f>
        <v>28.581751528262586</v>
      </c>
      <c r="O204" s="93">
        <f t="shared" ref="O204:O209" si="430">H204*0.02*$BC$8</f>
        <v>28.581751528262586</v>
      </c>
      <c r="P204" s="93">
        <f t="shared" ref="P204:P209" si="431">I204*0.02*$BC$8</f>
        <v>28.581751528262586</v>
      </c>
      <c r="Q204" s="93">
        <f t="shared" ref="Q204:Q209" si="432">J204*0.02*$BC$8</f>
        <v>27.050586267819945</v>
      </c>
      <c r="R204" s="93">
        <f t="shared" ref="R204:R209" si="433">K204*0.02*$BC$8</f>
        <v>26.285003637598628</v>
      </c>
      <c r="S204" s="93">
        <f t="shared" ref="S204:S209" si="434">L204*0.02*$BC$8</f>
        <v>25.519421007377311</v>
      </c>
      <c r="T204" s="93">
        <f t="shared" ref="T204:T209" si="435">M204*0.02*$BC$8</f>
        <v>23.988255746934669</v>
      </c>
      <c r="U204" s="518">
        <f t="shared" ref="U204:U206" si="436">(25*0.001)/1.1422</f>
        <v>2.1887585361582911E-2</v>
      </c>
      <c r="V204" s="286">
        <f t="shared" ref="V204:V209" si="437">U204+((W204-U204)/(2030-2020))*(2025-2020)</f>
        <v>2.1887585361582911E-2</v>
      </c>
      <c r="W204" s="519">
        <f t="shared" ref="W204:W206" si="438">(25*0.001)/1.1422</f>
        <v>2.1887585361582911E-2</v>
      </c>
      <c r="X204" s="286">
        <f t="shared" ref="X204:X209" si="439">W204+((Z204-W204)/(2050-2030))*(2040-2030)</f>
        <v>2.1887585361582911E-2</v>
      </c>
      <c r="Y204" s="286">
        <f t="shared" ref="Y204:Y209" si="440">X204+((Z204-X204)/(2050-2040))*(2045-2040)</f>
        <v>2.1887585361582911E-2</v>
      </c>
      <c r="Z204" s="519">
        <f t="shared" ref="Z204:Z206" si="441">(25*0.001)/1.1422</f>
        <v>2.1887585361582911E-2</v>
      </c>
      <c r="AA204" s="366">
        <f t="shared" ref="AA204:AA209" si="442">Y204+((Z204-Y204)/(2050-2045))*(2060-2045)</f>
        <v>2.1887585361582911E-2</v>
      </c>
      <c r="AB204" s="286"/>
      <c r="AC204" s="286"/>
      <c r="AD204" s="286"/>
      <c r="AE204" s="286"/>
      <c r="AF204" s="286"/>
      <c r="AG204" s="286"/>
      <c r="AH204" s="286"/>
      <c r="AI204" s="344"/>
      <c r="AJ204" s="344"/>
      <c r="AK204" s="344"/>
      <c r="AL204" s="344"/>
      <c r="AM204" s="517"/>
      <c r="AN204" s="344"/>
      <c r="AO204" s="521"/>
      <c r="AP204" s="517"/>
      <c r="AQ204" s="517"/>
      <c r="AR204" s="517"/>
      <c r="AS204" s="517"/>
      <c r="AT204" s="517"/>
      <c r="AU204" s="517"/>
      <c r="AV204" s="521"/>
      <c r="AW204" s="520"/>
      <c r="AX204" s="54"/>
      <c r="AY204" s="104" t="s">
        <v>318</v>
      </c>
    </row>
    <row r="205" spans="1:51" x14ac:dyDescent="0.3">
      <c r="A205" s="853"/>
      <c r="B205" s="845"/>
      <c r="C205" s="527">
        <v>6</v>
      </c>
      <c r="D205" s="522" t="s">
        <v>39</v>
      </c>
      <c r="E205" s="522">
        <v>2020</v>
      </c>
      <c r="F205" s="345" t="s">
        <v>19</v>
      </c>
      <c r="G205" s="523">
        <f t="shared" si="422"/>
        <v>2451.4095604972858</v>
      </c>
      <c r="H205" s="107">
        <f t="shared" si="423"/>
        <v>2451.4095604972858</v>
      </c>
      <c r="I205" s="524">
        <f t="shared" si="424"/>
        <v>2451.4095604972858</v>
      </c>
      <c r="J205" s="107">
        <f t="shared" si="425"/>
        <v>2320.0840483277884</v>
      </c>
      <c r="K205" s="107">
        <f t="shared" si="426"/>
        <v>2254.4212922430397</v>
      </c>
      <c r="L205" s="524">
        <f t="shared" si="427"/>
        <v>2188.758536158291</v>
      </c>
      <c r="M205" s="109">
        <f t="shared" si="428"/>
        <v>2057.4330239887936</v>
      </c>
      <c r="N205" s="107">
        <f t="shared" si="429"/>
        <v>28.581751528262586</v>
      </c>
      <c r="O205" s="107">
        <f t="shared" si="430"/>
        <v>28.581751528262586</v>
      </c>
      <c r="P205" s="107">
        <f t="shared" si="431"/>
        <v>28.581751528262586</v>
      </c>
      <c r="Q205" s="107">
        <f t="shared" si="432"/>
        <v>27.050586267819945</v>
      </c>
      <c r="R205" s="107">
        <f t="shared" si="433"/>
        <v>26.285003637598628</v>
      </c>
      <c r="S205" s="107">
        <f t="shared" si="434"/>
        <v>25.519421007377311</v>
      </c>
      <c r="T205" s="107">
        <f t="shared" si="435"/>
        <v>23.988255746934669</v>
      </c>
      <c r="U205" s="525">
        <f t="shared" si="436"/>
        <v>2.1887585361582911E-2</v>
      </c>
      <c r="V205" s="295">
        <f t="shared" si="437"/>
        <v>2.1887585361582911E-2</v>
      </c>
      <c r="W205" s="526">
        <f t="shared" si="438"/>
        <v>2.1887585361582911E-2</v>
      </c>
      <c r="X205" s="295">
        <f t="shared" si="439"/>
        <v>2.1887585361582911E-2</v>
      </c>
      <c r="Y205" s="295">
        <f t="shared" si="440"/>
        <v>2.1887585361582911E-2</v>
      </c>
      <c r="Z205" s="526">
        <f t="shared" si="441"/>
        <v>2.1887585361582911E-2</v>
      </c>
      <c r="AA205" s="452">
        <f t="shared" si="442"/>
        <v>2.1887585361582911E-2</v>
      </c>
      <c r="AB205" s="1041"/>
      <c r="AC205" s="1041"/>
      <c r="AD205" s="1041"/>
      <c r="AE205" s="1041"/>
      <c r="AF205" s="1041"/>
      <c r="AG205" s="1041"/>
      <c r="AH205" s="1041"/>
      <c r="AI205" s="522"/>
      <c r="AJ205" s="522"/>
      <c r="AK205" s="522"/>
      <c r="AL205" s="522"/>
      <c r="AM205" s="524"/>
      <c r="AN205" s="522"/>
      <c r="AO205" s="528"/>
      <c r="AP205" s="524"/>
      <c r="AQ205" s="524"/>
      <c r="AR205" s="524"/>
      <c r="AS205" s="524"/>
      <c r="AT205" s="524"/>
      <c r="AU205" s="524"/>
      <c r="AV205" s="528"/>
      <c r="AW205" s="527"/>
      <c r="AX205" s="529"/>
      <c r="AY205" s="104" t="s">
        <v>319</v>
      </c>
    </row>
    <row r="206" spans="1:51" x14ac:dyDescent="0.3">
      <c r="A206" s="853"/>
      <c r="B206" s="845"/>
      <c r="C206" s="527">
        <v>6</v>
      </c>
      <c r="D206" s="522" t="s">
        <v>39</v>
      </c>
      <c r="E206" s="522">
        <v>2020</v>
      </c>
      <c r="F206" s="345" t="s">
        <v>19</v>
      </c>
      <c r="G206" s="523">
        <f t="shared" si="422"/>
        <v>2451.4095604972858</v>
      </c>
      <c r="H206" s="107">
        <f t="shared" si="423"/>
        <v>2451.4095604972858</v>
      </c>
      <c r="I206" s="524">
        <f t="shared" si="424"/>
        <v>2451.4095604972858</v>
      </c>
      <c r="J206" s="107">
        <f t="shared" si="425"/>
        <v>2320.0840483277884</v>
      </c>
      <c r="K206" s="107">
        <f t="shared" si="426"/>
        <v>2254.4212922430397</v>
      </c>
      <c r="L206" s="524">
        <f t="shared" si="427"/>
        <v>2188.758536158291</v>
      </c>
      <c r="M206" s="109">
        <f t="shared" si="428"/>
        <v>2057.4330239887936</v>
      </c>
      <c r="N206" s="107">
        <f t="shared" si="429"/>
        <v>28.581751528262586</v>
      </c>
      <c r="O206" s="107">
        <f t="shared" si="430"/>
        <v>28.581751528262586</v>
      </c>
      <c r="P206" s="107">
        <f t="shared" si="431"/>
        <v>28.581751528262586</v>
      </c>
      <c r="Q206" s="107">
        <f t="shared" si="432"/>
        <v>27.050586267819945</v>
      </c>
      <c r="R206" s="107">
        <f t="shared" si="433"/>
        <v>26.285003637598628</v>
      </c>
      <c r="S206" s="107">
        <f t="shared" si="434"/>
        <v>25.519421007377311</v>
      </c>
      <c r="T206" s="107">
        <f t="shared" si="435"/>
        <v>23.988255746934669</v>
      </c>
      <c r="U206" s="525">
        <f t="shared" si="436"/>
        <v>2.1887585361582911E-2</v>
      </c>
      <c r="V206" s="295">
        <f t="shared" si="437"/>
        <v>2.1887585361582911E-2</v>
      </c>
      <c r="W206" s="526">
        <f t="shared" si="438"/>
        <v>2.1887585361582911E-2</v>
      </c>
      <c r="X206" s="295">
        <f t="shared" si="439"/>
        <v>2.1887585361582911E-2</v>
      </c>
      <c r="Y206" s="295">
        <f t="shared" si="440"/>
        <v>2.1887585361582911E-2</v>
      </c>
      <c r="Z206" s="526">
        <f t="shared" si="441"/>
        <v>2.1887585361582911E-2</v>
      </c>
      <c r="AA206" s="452">
        <f t="shared" si="442"/>
        <v>2.1887585361582911E-2</v>
      </c>
      <c r="AB206" s="1041"/>
      <c r="AC206" s="1041"/>
      <c r="AD206" s="1041"/>
      <c r="AE206" s="1041"/>
      <c r="AF206" s="1041"/>
      <c r="AG206" s="1041"/>
      <c r="AH206" s="1041"/>
      <c r="AI206" s="522"/>
      <c r="AJ206" s="522"/>
      <c r="AK206" s="522"/>
      <c r="AL206" s="522"/>
      <c r="AM206" s="524"/>
      <c r="AN206" s="522"/>
      <c r="AO206" s="528"/>
      <c r="AP206" s="524"/>
      <c r="AQ206" s="524"/>
      <c r="AR206" s="524"/>
      <c r="AS206" s="524"/>
      <c r="AT206" s="524"/>
      <c r="AU206" s="524"/>
      <c r="AV206" s="528"/>
      <c r="AW206" s="527"/>
      <c r="AX206" s="529"/>
      <c r="AY206" s="104" t="s">
        <v>320</v>
      </c>
    </row>
    <row r="207" spans="1:51" x14ac:dyDescent="0.3">
      <c r="A207" s="853"/>
      <c r="B207" s="845"/>
      <c r="C207" s="527">
        <v>6</v>
      </c>
      <c r="D207" s="522" t="s">
        <v>39</v>
      </c>
      <c r="E207" s="522">
        <v>2020</v>
      </c>
      <c r="F207" s="345" t="s">
        <v>19</v>
      </c>
      <c r="G207" s="523">
        <f t="shared" si="422"/>
        <v>2451.4095604972858</v>
      </c>
      <c r="H207" s="107">
        <f t="shared" si="423"/>
        <v>2451.4095604972858</v>
      </c>
      <c r="I207" s="524">
        <f t="shared" si="424"/>
        <v>2451.4095604972858</v>
      </c>
      <c r="J207" s="107">
        <f t="shared" si="425"/>
        <v>2451.4095604972858</v>
      </c>
      <c r="K207" s="107">
        <f t="shared" si="426"/>
        <v>2451.4095604972858</v>
      </c>
      <c r="L207" s="524">
        <f t="shared" ref="L207:L209" si="443">(2800)/1.1422</f>
        <v>2451.4095604972858</v>
      </c>
      <c r="M207" s="109">
        <f t="shared" si="428"/>
        <v>2451.4095604972858</v>
      </c>
      <c r="N207" s="107">
        <f t="shared" si="429"/>
        <v>28.581751528262586</v>
      </c>
      <c r="O207" s="107">
        <f t="shared" si="430"/>
        <v>28.581751528262586</v>
      </c>
      <c r="P207" s="107">
        <f t="shared" si="431"/>
        <v>28.581751528262586</v>
      </c>
      <c r="Q207" s="107">
        <f t="shared" si="432"/>
        <v>28.581751528262586</v>
      </c>
      <c r="R207" s="107">
        <f t="shared" si="433"/>
        <v>28.581751528262586</v>
      </c>
      <c r="S207" s="107">
        <f t="shared" si="434"/>
        <v>28.581751528262586</v>
      </c>
      <c r="T207" s="107">
        <f t="shared" si="435"/>
        <v>28.581751528262586</v>
      </c>
      <c r="U207" s="525">
        <f t="shared" ref="U207:U209" si="444">(30*0.001)/1.1422</f>
        <v>2.6265102433899488E-2</v>
      </c>
      <c r="V207" s="295">
        <f t="shared" si="437"/>
        <v>2.6265102433899488E-2</v>
      </c>
      <c r="W207" s="526">
        <f t="shared" ref="W207:W209" si="445">(30*0.001)/1.1422</f>
        <v>2.6265102433899488E-2</v>
      </c>
      <c r="X207" s="295">
        <f t="shared" si="439"/>
        <v>2.6265102433899488E-2</v>
      </c>
      <c r="Y207" s="295">
        <f t="shared" si="440"/>
        <v>2.6265102433899488E-2</v>
      </c>
      <c r="Z207" s="526">
        <f t="shared" ref="Z207:Z209" si="446">(30*0.001)/1.1422</f>
        <v>2.6265102433899488E-2</v>
      </c>
      <c r="AA207" s="452">
        <f t="shared" si="442"/>
        <v>2.6265102433899488E-2</v>
      </c>
      <c r="AB207" s="1041"/>
      <c r="AC207" s="1041"/>
      <c r="AD207" s="1041"/>
      <c r="AE207" s="1041"/>
      <c r="AF207" s="1041"/>
      <c r="AG207" s="1041"/>
      <c r="AH207" s="1041"/>
      <c r="AI207" s="522"/>
      <c r="AJ207" s="522"/>
      <c r="AK207" s="522"/>
      <c r="AL207" s="522"/>
      <c r="AM207" s="524"/>
      <c r="AN207" s="522"/>
      <c r="AO207" s="528"/>
      <c r="AP207" s="524"/>
      <c r="AQ207" s="524"/>
      <c r="AR207" s="524"/>
      <c r="AS207" s="524"/>
      <c r="AT207" s="524"/>
      <c r="AU207" s="524"/>
      <c r="AV207" s="528"/>
      <c r="AW207" s="527"/>
      <c r="AX207" s="529"/>
      <c r="AY207" s="104" t="s">
        <v>321</v>
      </c>
    </row>
    <row r="208" spans="1:51" x14ac:dyDescent="0.3">
      <c r="A208" s="853"/>
      <c r="B208" s="845"/>
      <c r="C208" s="527">
        <v>6</v>
      </c>
      <c r="D208" s="522" t="s">
        <v>39</v>
      </c>
      <c r="E208" s="522">
        <v>2020</v>
      </c>
      <c r="F208" s="345" t="s">
        <v>19</v>
      </c>
      <c r="G208" s="523">
        <f t="shared" si="422"/>
        <v>2451.4095604972858</v>
      </c>
      <c r="H208" s="107">
        <f t="shared" si="423"/>
        <v>2451.4095604972858</v>
      </c>
      <c r="I208" s="524">
        <f t="shared" si="424"/>
        <v>2451.4095604972858</v>
      </c>
      <c r="J208" s="107">
        <f t="shared" si="425"/>
        <v>2451.4095604972858</v>
      </c>
      <c r="K208" s="107">
        <f t="shared" si="426"/>
        <v>2451.4095604972858</v>
      </c>
      <c r="L208" s="524">
        <f t="shared" si="443"/>
        <v>2451.4095604972858</v>
      </c>
      <c r="M208" s="109">
        <f t="shared" si="428"/>
        <v>2451.4095604972858</v>
      </c>
      <c r="N208" s="107">
        <f t="shared" si="429"/>
        <v>28.581751528262586</v>
      </c>
      <c r="O208" s="107">
        <f t="shared" si="430"/>
        <v>28.581751528262586</v>
      </c>
      <c r="P208" s="107">
        <f t="shared" si="431"/>
        <v>28.581751528262586</v>
      </c>
      <c r="Q208" s="107">
        <f t="shared" si="432"/>
        <v>28.581751528262586</v>
      </c>
      <c r="R208" s="107">
        <f t="shared" si="433"/>
        <v>28.581751528262586</v>
      </c>
      <c r="S208" s="107">
        <f t="shared" si="434"/>
        <v>28.581751528262586</v>
      </c>
      <c r="T208" s="107">
        <f t="shared" si="435"/>
        <v>28.581751528262586</v>
      </c>
      <c r="U208" s="525">
        <f t="shared" si="444"/>
        <v>2.6265102433899488E-2</v>
      </c>
      <c r="V208" s="295">
        <f t="shared" si="437"/>
        <v>2.6265102433899488E-2</v>
      </c>
      <c r="W208" s="526">
        <f t="shared" si="445"/>
        <v>2.6265102433899488E-2</v>
      </c>
      <c r="X208" s="295">
        <f t="shared" si="439"/>
        <v>2.6265102433899488E-2</v>
      </c>
      <c r="Y208" s="295">
        <f t="shared" si="440"/>
        <v>2.6265102433899488E-2</v>
      </c>
      <c r="Z208" s="526">
        <f t="shared" si="446"/>
        <v>2.6265102433899488E-2</v>
      </c>
      <c r="AA208" s="452">
        <f t="shared" si="442"/>
        <v>2.6265102433899488E-2</v>
      </c>
      <c r="AB208" s="1041"/>
      <c r="AC208" s="1041"/>
      <c r="AD208" s="1041"/>
      <c r="AE208" s="1041"/>
      <c r="AF208" s="1041"/>
      <c r="AG208" s="1041"/>
      <c r="AH208" s="1041"/>
      <c r="AI208" s="522"/>
      <c r="AJ208" s="522"/>
      <c r="AK208" s="522"/>
      <c r="AL208" s="522"/>
      <c r="AM208" s="524"/>
      <c r="AN208" s="522"/>
      <c r="AO208" s="528"/>
      <c r="AP208" s="524"/>
      <c r="AQ208" s="524"/>
      <c r="AR208" s="524"/>
      <c r="AS208" s="524"/>
      <c r="AT208" s="524"/>
      <c r="AU208" s="524"/>
      <c r="AV208" s="528"/>
      <c r="AW208" s="527"/>
      <c r="AX208" s="529"/>
      <c r="AY208" s="104" t="s">
        <v>322</v>
      </c>
    </row>
    <row r="209" spans="1:51" x14ac:dyDescent="0.3">
      <c r="A209" s="853"/>
      <c r="B209" s="845"/>
      <c r="C209" s="527">
        <v>6</v>
      </c>
      <c r="D209" s="522" t="s">
        <v>39</v>
      </c>
      <c r="E209" s="522">
        <v>2020</v>
      </c>
      <c r="F209" s="345" t="s">
        <v>19</v>
      </c>
      <c r="G209" s="523">
        <f t="shared" si="422"/>
        <v>2451.4095604972858</v>
      </c>
      <c r="H209" s="107">
        <f t="shared" si="423"/>
        <v>2451.4095604972858</v>
      </c>
      <c r="I209" s="524">
        <f t="shared" si="424"/>
        <v>2451.4095604972858</v>
      </c>
      <c r="J209" s="107">
        <f t="shared" si="425"/>
        <v>2451.4095604972858</v>
      </c>
      <c r="K209" s="107">
        <f t="shared" si="426"/>
        <v>2451.4095604972858</v>
      </c>
      <c r="L209" s="524">
        <f t="shared" si="443"/>
        <v>2451.4095604972858</v>
      </c>
      <c r="M209" s="109">
        <f t="shared" si="428"/>
        <v>2451.4095604972858</v>
      </c>
      <c r="N209" s="107">
        <f t="shared" si="429"/>
        <v>28.581751528262586</v>
      </c>
      <c r="O209" s="107">
        <f t="shared" si="430"/>
        <v>28.581751528262586</v>
      </c>
      <c r="P209" s="107">
        <f t="shared" si="431"/>
        <v>28.581751528262586</v>
      </c>
      <c r="Q209" s="107">
        <f t="shared" si="432"/>
        <v>28.581751528262586</v>
      </c>
      <c r="R209" s="107">
        <f t="shared" si="433"/>
        <v>28.581751528262586</v>
      </c>
      <c r="S209" s="107">
        <f t="shared" si="434"/>
        <v>28.581751528262586</v>
      </c>
      <c r="T209" s="107">
        <f t="shared" si="435"/>
        <v>28.581751528262586</v>
      </c>
      <c r="U209" s="525">
        <f t="shared" si="444"/>
        <v>2.6265102433899488E-2</v>
      </c>
      <c r="V209" s="295">
        <f t="shared" si="437"/>
        <v>2.6265102433899488E-2</v>
      </c>
      <c r="W209" s="526">
        <f t="shared" si="445"/>
        <v>2.6265102433899488E-2</v>
      </c>
      <c r="X209" s="295">
        <f t="shared" si="439"/>
        <v>2.6265102433899488E-2</v>
      </c>
      <c r="Y209" s="295">
        <f t="shared" si="440"/>
        <v>2.6265102433899488E-2</v>
      </c>
      <c r="Z209" s="526">
        <f t="shared" si="446"/>
        <v>2.6265102433899488E-2</v>
      </c>
      <c r="AA209" s="452">
        <f t="shared" si="442"/>
        <v>2.6265102433899488E-2</v>
      </c>
      <c r="AB209" s="1041"/>
      <c r="AC209" s="1041"/>
      <c r="AD209" s="1041"/>
      <c r="AE209" s="1041"/>
      <c r="AF209" s="1041"/>
      <c r="AG209" s="1041"/>
      <c r="AH209" s="1041"/>
      <c r="AI209" s="522"/>
      <c r="AJ209" s="522"/>
      <c r="AK209" s="522"/>
      <c r="AL209" s="522"/>
      <c r="AM209" s="524"/>
      <c r="AN209" s="522"/>
      <c r="AO209" s="528"/>
      <c r="AP209" s="524"/>
      <c r="AQ209" s="524"/>
      <c r="AR209" s="524"/>
      <c r="AS209" s="524"/>
      <c r="AT209" s="524"/>
      <c r="AU209" s="524"/>
      <c r="AV209" s="528"/>
      <c r="AW209" s="527"/>
      <c r="AX209" s="529"/>
      <c r="AY209" s="104" t="s">
        <v>323</v>
      </c>
    </row>
    <row r="210" spans="1:51" x14ac:dyDescent="0.3">
      <c r="A210" s="853"/>
      <c r="B210" s="846"/>
      <c r="C210" s="538">
        <v>13</v>
      </c>
      <c r="D210" s="532" t="s">
        <v>63</v>
      </c>
      <c r="E210" s="532">
        <v>2020</v>
      </c>
      <c r="F210" s="614" t="s">
        <v>19</v>
      </c>
      <c r="G210" s="533">
        <v>2733.72</v>
      </c>
      <c r="H210" s="534"/>
      <c r="I210" s="534"/>
      <c r="J210" s="534"/>
      <c r="K210" s="534"/>
      <c r="L210" s="534"/>
      <c r="M210" s="535"/>
      <c r="N210" s="122">
        <f>G210*0.02*$BC$7</f>
        <v>73.122594387797534</v>
      </c>
      <c r="O210" s="534"/>
      <c r="P210" s="534"/>
      <c r="Q210" s="534"/>
      <c r="R210" s="534"/>
      <c r="S210" s="534"/>
      <c r="T210" s="534"/>
      <c r="U210" s="536"/>
      <c r="V210" s="537"/>
      <c r="W210" s="537"/>
      <c r="X210" s="537"/>
      <c r="Y210" s="534"/>
      <c r="Z210" s="537"/>
      <c r="AA210" s="535"/>
      <c r="AB210" s="534"/>
      <c r="AC210" s="534"/>
      <c r="AD210" s="534"/>
      <c r="AE210" s="534"/>
      <c r="AF210" s="534"/>
      <c r="AG210" s="534"/>
      <c r="AH210" s="534"/>
      <c r="AI210" s="532"/>
      <c r="AJ210" s="532"/>
      <c r="AK210" s="532"/>
      <c r="AL210" s="532"/>
      <c r="AM210" s="534"/>
      <c r="AN210" s="532"/>
      <c r="AO210" s="535"/>
      <c r="AP210" s="534"/>
      <c r="AQ210" s="534"/>
      <c r="AR210" s="534"/>
      <c r="AS210" s="534"/>
      <c r="AT210" s="534"/>
      <c r="AU210" s="534"/>
      <c r="AV210" s="535"/>
      <c r="AW210" s="538"/>
      <c r="AX210" s="57"/>
      <c r="AY210" s="104"/>
    </row>
    <row r="211" spans="1:51" x14ac:dyDescent="0.3">
      <c r="A211" s="853"/>
      <c r="B211" s="539" t="s">
        <v>267</v>
      </c>
      <c r="C211" s="540"/>
      <c r="D211" s="540"/>
      <c r="E211" s="540"/>
      <c r="F211" s="540"/>
      <c r="G211" s="554">
        <f>MIN(G204:G210)</f>
        <v>2451.4095604972858</v>
      </c>
      <c r="H211" s="555">
        <f t="shared" ref="H211:AA211" si="447">MIN(H204:H210)</f>
        <v>2451.4095604972858</v>
      </c>
      <c r="I211" s="555">
        <f t="shared" si="447"/>
        <v>2451.4095604972858</v>
      </c>
      <c r="J211" s="555">
        <f t="shared" si="447"/>
        <v>2320.0840483277884</v>
      </c>
      <c r="K211" s="555">
        <f t="shared" si="447"/>
        <v>2254.4212922430397</v>
      </c>
      <c r="L211" s="555">
        <f t="shared" si="447"/>
        <v>2188.758536158291</v>
      </c>
      <c r="M211" s="556">
        <f t="shared" si="447"/>
        <v>2057.4330239887936</v>
      </c>
      <c r="N211" s="542">
        <f t="shared" si="447"/>
        <v>28.581751528262586</v>
      </c>
      <c r="O211" s="542">
        <f t="shared" si="447"/>
        <v>28.581751528262586</v>
      </c>
      <c r="P211" s="542">
        <f t="shared" si="447"/>
        <v>28.581751528262586</v>
      </c>
      <c r="Q211" s="542">
        <f t="shared" si="447"/>
        <v>27.050586267819945</v>
      </c>
      <c r="R211" s="542">
        <f t="shared" si="447"/>
        <v>26.285003637598628</v>
      </c>
      <c r="S211" s="542">
        <f t="shared" si="447"/>
        <v>25.519421007377311</v>
      </c>
      <c r="T211" s="543">
        <f t="shared" si="447"/>
        <v>23.988255746934669</v>
      </c>
      <c r="U211" s="557">
        <f t="shared" si="447"/>
        <v>2.1887585361582911E-2</v>
      </c>
      <c r="V211" s="558">
        <f t="shared" si="447"/>
        <v>2.1887585361582911E-2</v>
      </c>
      <c r="W211" s="558">
        <f t="shared" si="447"/>
        <v>2.1887585361582911E-2</v>
      </c>
      <c r="X211" s="558">
        <f t="shared" si="447"/>
        <v>2.1887585361582911E-2</v>
      </c>
      <c r="Y211" s="558">
        <f t="shared" si="447"/>
        <v>2.1887585361582911E-2</v>
      </c>
      <c r="Z211" s="558">
        <f t="shared" si="447"/>
        <v>2.1887585361582911E-2</v>
      </c>
      <c r="AA211" s="558">
        <f t="shared" si="447"/>
        <v>2.1887585361582911E-2</v>
      </c>
      <c r="AB211" s="558"/>
      <c r="AC211" s="558"/>
      <c r="AD211" s="558"/>
      <c r="AE211" s="558"/>
      <c r="AF211" s="558"/>
      <c r="AG211" s="558"/>
      <c r="AH211" s="558"/>
      <c r="AI211" s="550"/>
      <c r="AJ211" s="540"/>
      <c r="AK211" s="540"/>
      <c r="AL211" s="540"/>
      <c r="AM211" s="542"/>
      <c r="AN211" s="540"/>
      <c r="AO211" s="543"/>
      <c r="AP211" s="542"/>
      <c r="AQ211" s="542"/>
      <c r="AR211" s="542"/>
      <c r="AS211" s="542"/>
      <c r="AT211" s="542"/>
      <c r="AU211" s="542"/>
      <c r="AV211" s="543"/>
      <c r="AW211" s="550"/>
      <c r="AX211" s="551"/>
      <c r="AY211" s="104"/>
    </row>
    <row r="212" spans="1:51" x14ac:dyDescent="0.3">
      <c r="A212" s="853"/>
      <c r="B212" s="552" t="s">
        <v>268</v>
      </c>
      <c r="C212" s="553"/>
      <c r="D212" s="553"/>
      <c r="E212" s="553"/>
      <c r="F212" s="553"/>
      <c r="G212" s="554">
        <f>MEDIAN(G204:G210)</f>
        <v>2451.4095604972858</v>
      </c>
      <c r="H212" s="555">
        <f t="shared" ref="H212:AA212" si="448">MEDIAN(H204:H210)</f>
        <v>2451.4095604972858</v>
      </c>
      <c r="I212" s="555">
        <f t="shared" si="448"/>
        <v>2451.4095604972858</v>
      </c>
      <c r="J212" s="555">
        <f t="shared" si="448"/>
        <v>2385.7468044125371</v>
      </c>
      <c r="K212" s="555">
        <f t="shared" si="448"/>
        <v>2352.915426370163</v>
      </c>
      <c r="L212" s="555">
        <f t="shared" si="448"/>
        <v>2320.0840483277884</v>
      </c>
      <c r="M212" s="556">
        <f t="shared" si="448"/>
        <v>2254.4212922430397</v>
      </c>
      <c r="N212" s="555">
        <f t="shared" si="448"/>
        <v>28.581751528262586</v>
      </c>
      <c r="O212" s="555">
        <f t="shared" si="448"/>
        <v>28.581751528262586</v>
      </c>
      <c r="P212" s="555">
        <f t="shared" si="448"/>
        <v>28.581751528262586</v>
      </c>
      <c r="Q212" s="555">
        <f t="shared" si="448"/>
        <v>27.816168898041266</v>
      </c>
      <c r="R212" s="555">
        <f t="shared" si="448"/>
        <v>27.433377582930607</v>
      </c>
      <c r="S212" s="555">
        <f t="shared" si="448"/>
        <v>27.050586267819948</v>
      </c>
      <c r="T212" s="556">
        <f t="shared" si="448"/>
        <v>26.285003637598628</v>
      </c>
      <c r="U212" s="557">
        <f t="shared" si="448"/>
        <v>2.4076343897741201E-2</v>
      </c>
      <c r="V212" s="558">
        <f t="shared" si="448"/>
        <v>2.4076343897741201E-2</v>
      </c>
      <c r="W212" s="558">
        <f t="shared" si="448"/>
        <v>2.4076343897741201E-2</v>
      </c>
      <c r="X212" s="558">
        <f t="shared" si="448"/>
        <v>2.4076343897741201E-2</v>
      </c>
      <c r="Y212" s="558">
        <f t="shared" si="448"/>
        <v>2.4076343897741201E-2</v>
      </c>
      <c r="Z212" s="558">
        <f t="shared" si="448"/>
        <v>2.4076343897741201E-2</v>
      </c>
      <c r="AA212" s="558">
        <f t="shared" si="448"/>
        <v>2.4076343897741201E-2</v>
      </c>
      <c r="AB212" s="558"/>
      <c r="AC212" s="558"/>
      <c r="AD212" s="558"/>
      <c r="AE212" s="558"/>
      <c r="AF212" s="558"/>
      <c r="AG212" s="558"/>
      <c r="AH212" s="558"/>
      <c r="AI212" s="563"/>
      <c r="AJ212" s="553"/>
      <c r="AK212" s="553"/>
      <c r="AL212" s="553"/>
      <c r="AM212" s="555"/>
      <c r="AN212" s="553"/>
      <c r="AO212" s="556"/>
      <c r="AP212" s="555"/>
      <c r="AQ212" s="555"/>
      <c r="AR212" s="555"/>
      <c r="AS212" s="555"/>
      <c r="AT212" s="555"/>
      <c r="AU212" s="555"/>
      <c r="AV212" s="556"/>
      <c r="AW212" s="563"/>
      <c r="AX212" s="564"/>
      <c r="AY212" s="104"/>
    </row>
    <row r="213" spans="1:51" x14ac:dyDescent="0.3">
      <c r="A213" s="853"/>
      <c r="B213" s="565" t="s">
        <v>269</v>
      </c>
      <c r="C213" s="566"/>
      <c r="D213" s="566"/>
      <c r="E213" s="566"/>
      <c r="F213" s="566"/>
      <c r="G213" s="554">
        <f>MAX(G204:G210)</f>
        <v>2733.72</v>
      </c>
      <c r="H213" s="555">
        <f t="shared" ref="H213:AA213" si="449">MAX(H204:H210)</f>
        <v>2451.4095604972858</v>
      </c>
      <c r="I213" s="555">
        <f t="shared" si="449"/>
        <v>2451.4095604972858</v>
      </c>
      <c r="J213" s="555">
        <f t="shared" si="449"/>
        <v>2451.4095604972858</v>
      </c>
      <c r="K213" s="555">
        <f t="shared" si="449"/>
        <v>2451.4095604972858</v>
      </c>
      <c r="L213" s="555">
        <f t="shared" si="449"/>
        <v>2451.4095604972858</v>
      </c>
      <c r="M213" s="556">
        <f t="shared" si="449"/>
        <v>2451.4095604972858</v>
      </c>
      <c r="N213" s="568">
        <f t="shared" si="449"/>
        <v>73.122594387797534</v>
      </c>
      <c r="O213" s="568">
        <f t="shared" si="449"/>
        <v>28.581751528262586</v>
      </c>
      <c r="P213" s="568">
        <f t="shared" si="449"/>
        <v>28.581751528262586</v>
      </c>
      <c r="Q213" s="568">
        <f t="shared" si="449"/>
        <v>28.581751528262586</v>
      </c>
      <c r="R213" s="568">
        <f t="shared" si="449"/>
        <v>28.581751528262586</v>
      </c>
      <c r="S213" s="568">
        <f t="shared" si="449"/>
        <v>28.581751528262586</v>
      </c>
      <c r="T213" s="569">
        <f t="shared" si="449"/>
        <v>28.581751528262586</v>
      </c>
      <c r="U213" s="557">
        <f t="shared" si="449"/>
        <v>2.6265102433899488E-2</v>
      </c>
      <c r="V213" s="558">
        <f t="shared" si="449"/>
        <v>2.6265102433899488E-2</v>
      </c>
      <c r="W213" s="558">
        <f t="shared" si="449"/>
        <v>2.6265102433899488E-2</v>
      </c>
      <c r="X213" s="558">
        <f t="shared" si="449"/>
        <v>2.6265102433899488E-2</v>
      </c>
      <c r="Y213" s="558">
        <f t="shared" si="449"/>
        <v>2.6265102433899488E-2</v>
      </c>
      <c r="Z213" s="558">
        <f t="shared" si="449"/>
        <v>2.6265102433899488E-2</v>
      </c>
      <c r="AA213" s="558">
        <f t="shared" si="449"/>
        <v>2.6265102433899488E-2</v>
      </c>
      <c r="AB213" s="558"/>
      <c r="AC213" s="558"/>
      <c r="AD213" s="558"/>
      <c r="AE213" s="558"/>
      <c r="AF213" s="558"/>
      <c r="AG213" s="558"/>
      <c r="AH213" s="558"/>
      <c r="AI213" s="576"/>
      <c r="AJ213" s="566"/>
      <c r="AK213" s="566"/>
      <c r="AL213" s="566"/>
      <c r="AM213" s="568"/>
      <c r="AN213" s="566"/>
      <c r="AO213" s="569"/>
      <c r="AP213" s="568"/>
      <c r="AQ213" s="568"/>
      <c r="AR213" s="568"/>
      <c r="AS213" s="568"/>
      <c r="AT213" s="568"/>
      <c r="AU213" s="568"/>
      <c r="AV213" s="569"/>
      <c r="AW213" s="576"/>
      <c r="AX213" s="577"/>
      <c r="AY213" s="104"/>
    </row>
    <row r="214" spans="1:51" x14ac:dyDescent="0.3">
      <c r="A214" s="853"/>
      <c r="B214" s="847" t="s">
        <v>32</v>
      </c>
      <c r="C214" s="359">
        <v>6</v>
      </c>
      <c r="D214" s="360" t="s">
        <v>39</v>
      </c>
      <c r="E214" s="360">
        <v>2020</v>
      </c>
      <c r="F214" s="361" t="s">
        <v>19</v>
      </c>
      <c r="G214" s="362">
        <f t="shared" ref="G214:G216" si="450">(560)/1.1422</f>
        <v>490.28191209945714</v>
      </c>
      <c r="H214" s="93">
        <f t="shared" ref="H214:H219" si="451">G214+((I214-G214)/(2030-2020))*(2025-2020)</f>
        <v>490.28191209945714</v>
      </c>
      <c r="I214" s="363">
        <f t="shared" ref="I214:I216" si="452">(560)/1.1422</f>
        <v>490.28191209945714</v>
      </c>
      <c r="J214" s="93">
        <f t="shared" ref="J214:J219" si="453">I214+((L214-I214)/(2050-2030))*(2040-2030)</f>
        <v>490.28191209945714</v>
      </c>
      <c r="K214" s="93">
        <f t="shared" ref="K214:K219" si="454">J214+((L214-J214)/(2050-2040))*(2045-2040)</f>
        <v>490.28191209945714</v>
      </c>
      <c r="L214" s="363">
        <f t="shared" ref="L214:L216" si="455">(560)/1.1422</f>
        <v>490.28191209945714</v>
      </c>
      <c r="M214" s="95">
        <f t="shared" ref="M214:M219" si="456">K214+((L214-K214)/(2050-2045))*(2060-2045)</f>
        <v>490.28191209945714</v>
      </c>
      <c r="N214" s="93">
        <f t="shared" ref="N214:N219" si="457">G214*0.02*$BC$8</f>
        <v>5.7163503056525169</v>
      </c>
      <c r="O214" s="93">
        <f t="shared" ref="O214:O219" si="458">H214*0.02*$BC$8</f>
        <v>5.7163503056525169</v>
      </c>
      <c r="P214" s="93">
        <f t="shared" ref="P214:P219" si="459">I214*0.02*$BC$8</f>
        <v>5.7163503056525169</v>
      </c>
      <c r="Q214" s="93">
        <f t="shared" ref="Q214:Q219" si="460">J214*0.02*$BC$8</f>
        <v>5.7163503056525169</v>
      </c>
      <c r="R214" s="93">
        <f t="shared" ref="R214:R219" si="461">K214*0.02*$BC$8</f>
        <v>5.7163503056525169</v>
      </c>
      <c r="S214" s="93">
        <f t="shared" ref="S214:S219" si="462">L214*0.02*$BC$8</f>
        <v>5.7163503056525169</v>
      </c>
      <c r="T214" s="93">
        <f t="shared" ref="T214:T219" si="463">M214*0.02*$BC$8</f>
        <v>5.7163503056525169</v>
      </c>
      <c r="U214" s="364">
        <f t="shared" ref="U214:U216" si="464">(80*0.001)/1.1422</f>
        <v>7.0040273157065305E-2</v>
      </c>
      <c r="V214" s="286">
        <f t="shared" ref="V214:V219" si="465">U214+((W214-U214)/(2030-2020))*(2025-2020)</f>
        <v>7.4417790229381886E-2</v>
      </c>
      <c r="W214" s="365">
        <f>(90*0.001)/1.1422</f>
        <v>7.8795307301698467E-2</v>
      </c>
      <c r="X214" s="286">
        <f t="shared" ref="X214:X219" si="466">W214+((Z214-W214)/(2050-2030))*(2040-2030)</f>
        <v>8.3172824374015047E-2</v>
      </c>
      <c r="Y214" s="286">
        <f t="shared" ref="Y214:Y219" si="467">X214+((Z214-X214)/(2050-2040))*(2045-2040)</f>
        <v>8.5361582910173345E-2</v>
      </c>
      <c r="Z214" s="365">
        <f>(100*0.001)/1.1422</f>
        <v>8.7550341446331642E-2</v>
      </c>
      <c r="AA214" s="366">
        <f t="shared" ref="AA214:AA219" si="468">Y214+((Z214-Y214)/(2050-2045))*(2060-2045)</f>
        <v>9.1927858518648237E-2</v>
      </c>
      <c r="AB214" s="286"/>
      <c r="AC214" s="286"/>
      <c r="AD214" s="286"/>
      <c r="AE214" s="286"/>
      <c r="AF214" s="286"/>
      <c r="AG214" s="286"/>
      <c r="AH214" s="286"/>
      <c r="AI214" s="360"/>
      <c r="AJ214" s="360"/>
      <c r="AK214" s="360"/>
      <c r="AL214" s="360"/>
      <c r="AM214" s="363"/>
      <c r="AN214" s="360"/>
      <c r="AO214" s="578"/>
      <c r="AP214" s="363"/>
      <c r="AQ214" s="363"/>
      <c r="AR214" s="363"/>
      <c r="AS214" s="363"/>
      <c r="AT214" s="363"/>
      <c r="AU214" s="363"/>
      <c r="AV214" s="578"/>
      <c r="AW214" s="359"/>
      <c r="AX214" s="369"/>
      <c r="AY214" s="104" t="s">
        <v>318</v>
      </c>
    </row>
    <row r="215" spans="1:51" x14ac:dyDescent="0.3">
      <c r="A215" s="853"/>
      <c r="B215" s="848"/>
      <c r="C215" s="370">
        <v>6</v>
      </c>
      <c r="D215" s="371" t="s">
        <v>39</v>
      </c>
      <c r="E215" s="371">
        <v>2020</v>
      </c>
      <c r="F215" s="372" t="s">
        <v>19</v>
      </c>
      <c r="G215" s="373">
        <f t="shared" si="450"/>
        <v>490.28191209945714</v>
      </c>
      <c r="H215" s="107">
        <f t="shared" si="451"/>
        <v>490.28191209945714</v>
      </c>
      <c r="I215" s="374">
        <f t="shared" si="452"/>
        <v>490.28191209945714</v>
      </c>
      <c r="J215" s="107">
        <f t="shared" si="453"/>
        <v>490.28191209945714</v>
      </c>
      <c r="K215" s="107">
        <f t="shared" si="454"/>
        <v>490.28191209945714</v>
      </c>
      <c r="L215" s="374">
        <f t="shared" si="455"/>
        <v>490.28191209945714</v>
      </c>
      <c r="M215" s="109">
        <f t="shared" si="456"/>
        <v>490.28191209945714</v>
      </c>
      <c r="N215" s="107">
        <f t="shared" si="457"/>
        <v>5.7163503056525169</v>
      </c>
      <c r="O215" s="107">
        <f t="shared" si="458"/>
        <v>5.7163503056525169</v>
      </c>
      <c r="P215" s="107">
        <f t="shared" si="459"/>
        <v>5.7163503056525169</v>
      </c>
      <c r="Q215" s="107">
        <f t="shared" si="460"/>
        <v>5.7163503056525169</v>
      </c>
      <c r="R215" s="107">
        <f t="shared" si="461"/>
        <v>5.7163503056525169</v>
      </c>
      <c r="S215" s="107">
        <f t="shared" si="462"/>
        <v>5.7163503056525169</v>
      </c>
      <c r="T215" s="107">
        <f t="shared" si="463"/>
        <v>5.7163503056525169</v>
      </c>
      <c r="U215" s="375">
        <f t="shared" si="464"/>
        <v>7.0040273157065305E-2</v>
      </c>
      <c r="V215" s="295">
        <f t="shared" si="465"/>
        <v>8.098406583785675E-2</v>
      </c>
      <c r="W215" s="579">
        <f>(105*0.001)/1.1422</f>
        <v>9.1927858518648209E-2</v>
      </c>
      <c r="X215" s="295">
        <f t="shared" si="466"/>
        <v>9.6305375590964803E-2</v>
      </c>
      <c r="Y215" s="295">
        <f t="shared" si="467"/>
        <v>9.8494134127123101E-2</v>
      </c>
      <c r="Z215" s="579">
        <f t="shared" ref="Z215:Z216" si="469">(115*0.001)/1.1422</f>
        <v>0.10068289266328138</v>
      </c>
      <c r="AA215" s="452">
        <f t="shared" si="468"/>
        <v>0.10506040973559795</v>
      </c>
      <c r="AB215" s="1041"/>
      <c r="AC215" s="1041"/>
      <c r="AD215" s="1041"/>
      <c r="AE215" s="1041"/>
      <c r="AF215" s="1041"/>
      <c r="AG215" s="1041"/>
      <c r="AH215" s="1041"/>
      <c r="AI215" s="371"/>
      <c r="AJ215" s="371"/>
      <c r="AK215" s="371"/>
      <c r="AL215" s="371"/>
      <c r="AM215" s="374"/>
      <c r="AN215" s="371"/>
      <c r="AO215" s="580"/>
      <c r="AP215" s="374"/>
      <c r="AQ215" s="374"/>
      <c r="AR215" s="374"/>
      <c r="AS215" s="374"/>
      <c r="AT215" s="374"/>
      <c r="AU215" s="374"/>
      <c r="AV215" s="580"/>
      <c r="AW215" s="370"/>
      <c r="AX215" s="379"/>
      <c r="AY215" s="104" t="s">
        <v>319</v>
      </c>
    </row>
    <row r="216" spans="1:51" x14ac:dyDescent="0.3">
      <c r="A216" s="853"/>
      <c r="B216" s="848"/>
      <c r="C216" s="370">
        <v>6</v>
      </c>
      <c r="D216" s="371" t="s">
        <v>39</v>
      </c>
      <c r="E216" s="371">
        <v>2020</v>
      </c>
      <c r="F216" s="372" t="s">
        <v>19</v>
      </c>
      <c r="G216" s="373">
        <f t="shared" si="450"/>
        <v>490.28191209945714</v>
      </c>
      <c r="H216" s="107">
        <f t="shared" si="451"/>
        <v>490.28191209945714</v>
      </c>
      <c r="I216" s="374">
        <f t="shared" si="452"/>
        <v>490.28191209945714</v>
      </c>
      <c r="J216" s="107">
        <f t="shared" si="453"/>
        <v>490.28191209945714</v>
      </c>
      <c r="K216" s="107">
        <f t="shared" si="454"/>
        <v>490.28191209945714</v>
      </c>
      <c r="L216" s="374">
        <f t="shared" si="455"/>
        <v>490.28191209945714</v>
      </c>
      <c r="M216" s="109">
        <f t="shared" si="456"/>
        <v>490.28191209945714</v>
      </c>
      <c r="N216" s="107">
        <f t="shared" si="457"/>
        <v>5.7163503056525169</v>
      </c>
      <c r="O216" s="107">
        <f t="shared" si="458"/>
        <v>5.7163503056525169</v>
      </c>
      <c r="P216" s="107">
        <f t="shared" si="459"/>
        <v>5.7163503056525169</v>
      </c>
      <c r="Q216" s="107">
        <f t="shared" si="460"/>
        <v>5.7163503056525169</v>
      </c>
      <c r="R216" s="107">
        <f t="shared" si="461"/>
        <v>5.7163503056525169</v>
      </c>
      <c r="S216" s="107">
        <f t="shared" si="462"/>
        <v>5.7163503056525169</v>
      </c>
      <c r="T216" s="107">
        <f t="shared" si="463"/>
        <v>5.7163503056525169</v>
      </c>
      <c r="U216" s="375">
        <f t="shared" si="464"/>
        <v>7.0040273157065305E-2</v>
      </c>
      <c r="V216" s="295">
        <f t="shared" si="465"/>
        <v>7.8795307301698481E-2</v>
      </c>
      <c r="W216" s="579">
        <f>(100*0.001)/1.1422</f>
        <v>8.7550341446331642E-2</v>
      </c>
      <c r="X216" s="295">
        <f t="shared" si="466"/>
        <v>9.4116617054806506E-2</v>
      </c>
      <c r="Y216" s="295">
        <f t="shared" si="467"/>
        <v>9.7399754859043952E-2</v>
      </c>
      <c r="Z216" s="579">
        <f t="shared" si="469"/>
        <v>0.10068289266328138</v>
      </c>
      <c r="AA216" s="452">
        <f t="shared" si="468"/>
        <v>0.10724916827175625</v>
      </c>
      <c r="AB216" s="1041"/>
      <c r="AC216" s="1041"/>
      <c r="AD216" s="1041"/>
      <c r="AE216" s="1041"/>
      <c r="AF216" s="1041"/>
      <c r="AG216" s="1041"/>
      <c r="AH216" s="1041"/>
      <c r="AI216" s="371"/>
      <c r="AJ216" s="371"/>
      <c r="AK216" s="371"/>
      <c r="AL216" s="371"/>
      <c r="AM216" s="374"/>
      <c r="AN216" s="371"/>
      <c r="AO216" s="580"/>
      <c r="AP216" s="374"/>
      <c r="AQ216" s="374"/>
      <c r="AR216" s="374"/>
      <c r="AS216" s="374"/>
      <c r="AT216" s="374"/>
      <c r="AU216" s="374"/>
      <c r="AV216" s="580"/>
      <c r="AW216" s="370"/>
      <c r="AX216" s="379"/>
      <c r="AY216" s="104" t="s">
        <v>320</v>
      </c>
    </row>
    <row r="217" spans="1:51" x14ac:dyDescent="0.3">
      <c r="A217" s="853"/>
      <c r="B217" s="848"/>
      <c r="C217" s="370">
        <v>6</v>
      </c>
      <c r="D217" s="371" t="s">
        <v>39</v>
      </c>
      <c r="E217" s="371">
        <v>2020</v>
      </c>
      <c r="F217" s="372" t="s">
        <v>19</v>
      </c>
      <c r="G217" s="373">
        <f t="shared" ref="G217:G219" si="470">(700)/1.1422</f>
        <v>612.85239012432146</v>
      </c>
      <c r="H217" s="107">
        <f t="shared" si="451"/>
        <v>612.85239012432146</v>
      </c>
      <c r="I217" s="374">
        <f t="shared" ref="I217:I219" si="471">(700)/1.1422</f>
        <v>612.85239012432146</v>
      </c>
      <c r="J217" s="107">
        <f t="shared" si="453"/>
        <v>612.85239012432146</v>
      </c>
      <c r="K217" s="107">
        <f t="shared" si="454"/>
        <v>612.85239012432146</v>
      </c>
      <c r="L217" s="374">
        <f t="shared" ref="L217:L219" si="472">(700)/1.1422</f>
        <v>612.85239012432146</v>
      </c>
      <c r="M217" s="109">
        <f t="shared" si="456"/>
        <v>612.85239012432146</v>
      </c>
      <c r="N217" s="107">
        <f t="shared" si="457"/>
        <v>7.1454378820656466</v>
      </c>
      <c r="O217" s="107">
        <f t="shared" si="458"/>
        <v>7.1454378820656466</v>
      </c>
      <c r="P217" s="107">
        <f t="shared" si="459"/>
        <v>7.1454378820656466</v>
      </c>
      <c r="Q217" s="107">
        <f t="shared" si="460"/>
        <v>7.1454378820656466</v>
      </c>
      <c r="R217" s="107">
        <f t="shared" si="461"/>
        <v>7.1454378820656466</v>
      </c>
      <c r="S217" s="107">
        <f t="shared" si="462"/>
        <v>7.1454378820656466</v>
      </c>
      <c r="T217" s="107">
        <f t="shared" si="463"/>
        <v>7.1454378820656466</v>
      </c>
      <c r="U217" s="375">
        <f t="shared" ref="U217:U218" si="473">(75*0.001)/1.1422</f>
        <v>6.5662756084748725E-2</v>
      </c>
      <c r="V217" s="295">
        <f t="shared" si="465"/>
        <v>6.5662756084748725E-2</v>
      </c>
      <c r="W217" s="579">
        <f t="shared" ref="W217:W218" si="474">(75*0.001)/1.1422</f>
        <v>6.5662756084748725E-2</v>
      </c>
      <c r="X217" s="295">
        <f t="shared" si="466"/>
        <v>6.7851514620907022E-2</v>
      </c>
      <c r="Y217" s="295">
        <f t="shared" si="467"/>
        <v>6.8945893888986171E-2</v>
      </c>
      <c r="Z217" s="579">
        <f t="shared" ref="Z217:Z218" si="475">(80*0.001)/1.1422</f>
        <v>7.0040273157065305E-2</v>
      </c>
      <c r="AA217" s="452">
        <f t="shared" si="468"/>
        <v>7.2229031693223575E-2</v>
      </c>
      <c r="AB217" s="1041"/>
      <c r="AC217" s="1041"/>
      <c r="AD217" s="1041"/>
      <c r="AE217" s="1041"/>
      <c r="AF217" s="1041"/>
      <c r="AG217" s="1041"/>
      <c r="AH217" s="1041"/>
      <c r="AI217" s="371"/>
      <c r="AJ217" s="371"/>
      <c r="AK217" s="371"/>
      <c r="AL217" s="371"/>
      <c r="AM217" s="374"/>
      <c r="AN217" s="371"/>
      <c r="AO217" s="580"/>
      <c r="AP217" s="374"/>
      <c r="AQ217" s="374"/>
      <c r="AR217" s="374"/>
      <c r="AS217" s="374"/>
      <c r="AT217" s="374"/>
      <c r="AU217" s="374"/>
      <c r="AV217" s="580"/>
      <c r="AW217" s="370"/>
      <c r="AX217" s="379"/>
      <c r="AY217" s="104" t="s">
        <v>321</v>
      </c>
    </row>
    <row r="218" spans="1:51" x14ac:dyDescent="0.3">
      <c r="A218" s="853"/>
      <c r="B218" s="848"/>
      <c r="C218" s="370">
        <v>6</v>
      </c>
      <c r="D218" s="371" t="s">
        <v>39</v>
      </c>
      <c r="E218" s="371">
        <v>2020</v>
      </c>
      <c r="F218" s="372" t="s">
        <v>19</v>
      </c>
      <c r="G218" s="373">
        <f t="shared" si="470"/>
        <v>612.85239012432146</v>
      </c>
      <c r="H218" s="107">
        <f t="shared" si="451"/>
        <v>612.85239012432146</v>
      </c>
      <c r="I218" s="374">
        <f t="shared" si="471"/>
        <v>612.85239012432146</v>
      </c>
      <c r="J218" s="107">
        <f t="shared" si="453"/>
        <v>612.85239012432146</v>
      </c>
      <c r="K218" s="107">
        <f t="shared" si="454"/>
        <v>612.85239012432146</v>
      </c>
      <c r="L218" s="374">
        <f t="shared" si="472"/>
        <v>612.85239012432146</v>
      </c>
      <c r="M218" s="109">
        <f t="shared" si="456"/>
        <v>612.85239012432146</v>
      </c>
      <c r="N218" s="107">
        <f t="shared" si="457"/>
        <v>7.1454378820656466</v>
      </c>
      <c r="O218" s="107">
        <f t="shared" si="458"/>
        <v>7.1454378820656466</v>
      </c>
      <c r="P218" s="107">
        <f t="shared" si="459"/>
        <v>7.1454378820656466</v>
      </c>
      <c r="Q218" s="107">
        <f t="shared" si="460"/>
        <v>7.1454378820656466</v>
      </c>
      <c r="R218" s="107">
        <f t="shared" si="461"/>
        <v>7.1454378820656466</v>
      </c>
      <c r="S218" s="107">
        <f t="shared" si="462"/>
        <v>7.1454378820656466</v>
      </c>
      <c r="T218" s="107">
        <f t="shared" si="463"/>
        <v>7.1454378820656466</v>
      </c>
      <c r="U218" s="375">
        <f t="shared" si="473"/>
        <v>6.5662756084748725E-2</v>
      </c>
      <c r="V218" s="295">
        <f t="shared" si="465"/>
        <v>6.5662756084748725E-2</v>
      </c>
      <c r="W218" s="579">
        <f t="shared" si="474"/>
        <v>6.5662756084748725E-2</v>
      </c>
      <c r="X218" s="295">
        <f t="shared" si="466"/>
        <v>6.7851514620907022E-2</v>
      </c>
      <c r="Y218" s="295">
        <f t="shared" si="467"/>
        <v>6.8945893888986171E-2</v>
      </c>
      <c r="Z218" s="579">
        <f t="shared" si="475"/>
        <v>7.0040273157065305E-2</v>
      </c>
      <c r="AA218" s="452">
        <f t="shared" si="468"/>
        <v>7.2229031693223575E-2</v>
      </c>
      <c r="AB218" s="1041"/>
      <c r="AC218" s="1041"/>
      <c r="AD218" s="1041"/>
      <c r="AE218" s="1041"/>
      <c r="AF218" s="1041"/>
      <c r="AG218" s="1041"/>
      <c r="AH218" s="1041"/>
      <c r="AI218" s="371"/>
      <c r="AJ218" s="371"/>
      <c r="AK218" s="371"/>
      <c r="AL218" s="371"/>
      <c r="AM218" s="374"/>
      <c r="AN218" s="371"/>
      <c r="AO218" s="580"/>
      <c r="AP218" s="374"/>
      <c r="AQ218" s="374"/>
      <c r="AR218" s="374"/>
      <c r="AS218" s="374"/>
      <c r="AT218" s="374"/>
      <c r="AU218" s="374"/>
      <c r="AV218" s="580"/>
      <c r="AW218" s="370"/>
      <c r="AX218" s="379"/>
      <c r="AY218" s="104" t="s">
        <v>322</v>
      </c>
    </row>
    <row r="219" spans="1:51" x14ac:dyDescent="0.3">
      <c r="A219" s="853"/>
      <c r="B219" s="848"/>
      <c r="C219" s="380">
        <v>6</v>
      </c>
      <c r="D219" s="381" t="s">
        <v>39</v>
      </c>
      <c r="E219" s="381">
        <v>2020</v>
      </c>
      <c r="F219" s="606" t="s">
        <v>19</v>
      </c>
      <c r="G219" s="382">
        <f t="shared" si="470"/>
        <v>612.85239012432146</v>
      </c>
      <c r="H219" s="122">
        <f t="shared" si="451"/>
        <v>612.85239012432146</v>
      </c>
      <c r="I219" s="383">
        <f t="shared" si="471"/>
        <v>612.85239012432146</v>
      </c>
      <c r="J219" s="122">
        <f t="shared" si="453"/>
        <v>612.85239012432146</v>
      </c>
      <c r="K219" s="122">
        <f t="shared" si="454"/>
        <v>612.85239012432146</v>
      </c>
      <c r="L219" s="383">
        <f t="shared" si="472"/>
        <v>612.85239012432146</v>
      </c>
      <c r="M219" s="303">
        <f t="shared" si="456"/>
        <v>612.85239012432146</v>
      </c>
      <c r="N219" s="107">
        <f t="shared" si="457"/>
        <v>7.1454378820656466</v>
      </c>
      <c r="O219" s="107">
        <f t="shared" si="458"/>
        <v>7.1454378820656466</v>
      </c>
      <c r="P219" s="107">
        <f t="shared" si="459"/>
        <v>7.1454378820656466</v>
      </c>
      <c r="Q219" s="107">
        <f t="shared" si="460"/>
        <v>7.1454378820656466</v>
      </c>
      <c r="R219" s="107">
        <f t="shared" si="461"/>
        <v>7.1454378820656466</v>
      </c>
      <c r="S219" s="107">
        <f t="shared" si="462"/>
        <v>7.1454378820656466</v>
      </c>
      <c r="T219" s="107">
        <f t="shared" si="463"/>
        <v>7.1454378820656466</v>
      </c>
      <c r="U219" s="384">
        <f>(60*0.001)/1.1422</f>
        <v>5.2530204867798976E-2</v>
      </c>
      <c r="V219" s="305">
        <f t="shared" si="465"/>
        <v>4.5963929259324104E-2</v>
      </c>
      <c r="W219" s="582">
        <f>(45*0.001)/1.1422</f>
        <v>3.9397653650849233E-2</v>
      </c>
      <c r="X219" s="305">
        <f t="shared" si="466"/>
        <v>3.9397653650849233E-2</v>
      </c>
      <c r="Y219" s="305">
        <f t="shared" si="467"/>
        <v>3.9397653650849233E-2</v>
      </c>
      <c r="Z219" s="582">
        <f>(45*0.001)/1.1422</f>
        <v>3.9397653650849233E-2</v>
      </c>
      <c r="AA219" s="514">
        <f t="shared" si="468"/>
        <v>3.9397653650849233E-2</v>
      </c>
      <c r="AB219" s="1041"/>
      <c r="AC219" s="1041"/>
      <c r="AD219" s="1041"/>
      <c r="AE219" s="1041"/>
      <c r="AF219" s="1041"/>
      <c r="AG219" s="1041"/>
      <c r="AH219" s="1041"/>
      <c r="AI219" s="371"/>
      <c r="AJ219" s="371"/>
      <c r="AK219" s="371"/>
      <c r="AL219" s="371"/>
      <c r="AM219" s="383"/>
      <c r="AN219" s="371"/>
      <c r="AO219" s="583"/>
      <c r="AP219" s="374"/>
      <c r="AQ219" s="374"/>
      <c r="AR219" s="374"/>
      <c r="AS219" s="374"/>
      <c r="AT219" s="383"/>
      <c r="AU219" s="374"/>
      <c r="AV219" s="583"/>
      <c r="AW219" s="370"/>
      <c r="AX219" s="379"/>
      <c r="AY219" s="104" t="s">
        <v>323</v>
      </c>
    </row>
    <row r="220" spans="1:51" x14ac:dyDescent="0.3">
      <c r="A220" s="853"/>
      <c r="B220" s="388" t="s">
        <v>267</v>
      </c>
      <c r="C220" s="390"/>
      <c r="D220" s="390"/>
      <c r="E220" s="390"/>
      <c r="F220" s="390"/>
      <c r="G220" s="403">
        <f>MIN(G214:G219)</f>
        <v>490.28191209945714</v>
      </c>
      <c r="H220" s="404">
        <f t="shared" ref="H220:AA220" si="476">MIN(H214:H219)</f>
        <v>490.28191209945714</v>
      </c>
      <c r="I220" s="404">
        <f t="shared" si="476"/>
        <v>490.28191209945714</v>
      </c>
      <c r="J220" s="404">
        <f t="shared" si="476"/>
        <v>490.28191209945714</v>
      </c>
      <c r="K220" s="404">
        <f t="shared" si="476"/>
        <v>490.28191209945714</v>
      </c>
      <c r="L220" s="404">
        <f t="shared" si="476"/>
        <v>490.28191209945714</v>
      </c>
      <c r="M220" s="405">
        <f t="shared" si="476"/>
        <v>490.28191209945714</v>
      </c>
      <c r="N220" s="392">
        <f t="shared" si="476"/>
        <v>5.7163503056525169</v>
      </c>
      <c r="O220" s="392">
        <f t="shared" si="476"/>
        <v>5.7163503056525169</v>
      </c>
      <c r="P220" s="392">
        <f t="shared" si="476"/>
        <v>5.7163503056525169</v>
      </c>
      <c r="Q220" s="392">
        <f t="shared" si="476"/>
        <v>5.7163503056525169</v>
      </c>
      <c r="R220" s="392">
        <f t="shared" si="476"/>
        <v>5.7163503056525169</v>
      </c>
      <c r="S220" s="392">
        <f t="shared" si="476"/>
        <v>5.7163503056525169</v>
      </c>
      <c r="T220" s="393">
        <f t="shared" si="476"/>
        <v>5.7163503056525169</v>
      </c>
      <c r="U220" s="406">
        <f t="shared" si="476"/>
        <v>5.2530204867798976E-2</v>
      </c>
      <c r="V220" s="407">
        <f t="shared" si="476"/>
        <v>4.5963929259324104E-2</v>
      </c>
      <c r="W220" s="407">
        <f t="shared" si="476"/>
        <v>3.9397653650849233E-2</v>
      </c>
      <c r="X220" s="407">
        <f t="shared" si="476"/>
        <v>3.9397653650849233E-2</v>
      </c>
      <c r="Y220" s="407">
        <f t="shared" si="476"/>
        <v>3.9397653650849233E-2</v>
      </c>
      <c r="Z220" s="407">
        <f t="shared" si="476"/>
        <v>3.9397653650849233E-2</v>
      </c>
      <c r="AA220" s="407">
        <f t="shared" si="476"/>
        <v>3.9397653650849233E-2</v>
      </c>
      <c r="AB220" s="407"/>
      <c r="AC220" s="407"/>
      <c r="AD220" s="407"/>
      <c r="AE220" s="407"/>
      <c r="AF220" s="407"/>
      <c r="AG220" s="407"/>
      <c r="AH220" s="407"/>
      <c r="AI220" s="389"/>
      <c r="AJ220" s="390"/>
      <c r="AK220" s="390"/>
      <c r="AL220" s="390"/>
      <c r="AM220" s="392"/>
      <c r="AN220" s="390"/>
      <c r="AO220" s="393"/>
      <c r="AP220" s="390"/>
      <c r="AQ220" s="390"/>
      <c r="AR220" s="390"/>
      <c r="AS220" s="390"/>
      <c r="AT220" s="392"/>
      <c r="AU220" s="390"/>
      <c r="AV220" s="393"/>
      <c r="AW220" s="389"/>
      <c r="AX220" s="399"/>
      <c r="AY220" s="104"/>
    </row>
    <row r="221" spans="1:51" x14ac:dyDescent="0.3">
      <c r="A221" s="853"/>
      <c r="B221" s="400" t="s">
        <v>268</v>
      </c>
      <c r="C221" s="402"/>
      <c r="D221" s="402"/>
      <c r="E221" s="402"/>
      <c r="F221" s="402"/>
      <c r="G221" s="403">
        <f>MEDIAN(G214:G219)</f>
        <v>551.5671511118893</v>
      </c>
      <c r="H221" s="404">
        <f t="shared" ref="H221:AA221" si="477">MEDIAN(H214:H219)</f>
        <v>551.5671511118893</v>
      </c>
      <c r="I221" s="404">
        <f t="shared" si="477"/>
        <v>551.5671511118893</v>
      </c>
      <c r="J221" s="404">
        <f t="shared" si="477"/>
        <v>551.5671511118893</v>
      </c>
      <c r="K221" s="404">
        <f t="shared" si="477"/>
        <v>551.5671511118893</v>
      </c>
      <c r="L221" s="404">
        <f t="shared" si="477"/>
        <v>551.5671511118893</v>
      </c>
      <c r="M221" s="405">
        <f t="shared" si="477"/>
        <v>551.5671511118893</v>
      </c>
      <c r="N221" s="404">
        <f t="shared" si="477"/>
        <v>6.4308940938590817</v>
      </c>
      <c r="O221" s="404">
        <f t="shared" si="477"/>
        <v>6.4308940938590817</v>
      </c>
      <c r="P221" s="404">
        <f t="shared" si="477"/>
        <v>6.4308940938590817</v>
      </c>
      <c r="Q221" s="404">
        <f t="shared" si="477"/>
        <v>6.4308940938590817</v>
      </c>
      <c r="R221" s="404">
        <f t="shared" si="477"/>
        <v>6.4308940938590817</v>
      </c>
      <c r="S221" s="404">
        <f t="shared" si="477"/>
        <v>6.4308940938590817</v>
      </c>
      <c r="T221" s="405">
        <f t="shared" si="477"/>
        <v>6.4308940938590817</v>
      </c>
      <c r="U221" s="406">
        <f t="shared" si="477"/>
        <v>6.7851514620907022E-2</v>
      </c>
      <c r="V221" s="407">
        <f t="shared" si="477"/>
        <v>7.0040273157065305E-2</v>
      </c>
      <c r="W221" s="407">
        <f t="shared" si="477"/>
        <v>7.2229031693223589E-2</v>
      </c>
      <c r="X221" s="407">
        <f t="shared" si="477"/>
        <v>7.5512169497461035E-2</v>
      </c>
      <c r="Y221" s="407">
        <f t="shared" si="477"/>
        <v>7.7153738399579758E-2</v>
      </c>
      <c r="Z221" s="407">
        <f t="shared" si="477"/>
        <v>7.8795307301698481E-2</v>
      </c>
      <c r="AA221" s="407">
        <f t="shared" si="477"/>
        <v>8.2078445105935899E-2</v>
      </c>
      <c r="AB221" s="407"/>
      <c r="AC221" s="407"/>
      <c r="AD221" s="407"/>
      <c r="AE221" s="407"/>
      <c r="AF221" s="407"/>
      <c r="AG221" s="407"/>
      <c r="AH221" s="407"/>
      <c r="AI221" s="401"/>
      <c r="AJ221" s="402"/>
      <c r="AK221" s="402"/>
      <c r="AL221" s="402"/>
      <c r="AM221" s="404"/>
      <c r="AN221" s="402"/>
      <c r="AO221" s="405"/>
      <c r="AP221" s="402"/>
      <c r="AQ221" s="402"/>
      <c r="AR221" s="402"/>
      <c r="AS221" s="402"/>
      <c r="AT221" s="404"/>
      <c r="AU221" s="402"/>
      <c r="AV221" s="405"/>
      <c r="AW221" s="401"/>
      <c r="AX221" s="409"/>
      <c r="AY221" s="104"/>
    </row>
    <row r="222" spans="1:51" x14ac:dyDescent="0.3">
      <c r="A222" s="853"/>
      <c r="B222" s="412" t="s">
        <v>269</v>
      </c>
      <c r="C222" s="414"/>
      <c r="D222" s="414"/>
      <c r="E222" s="414"/>
      <c r="F222" s="414"/>
      <c r="G222" s="415">
        <f>MAX(G214:G219)</f>
        <v>612.85239012432146</v>
      </c>
      <c r="H222" s="416">
        <f t="shared" ref="H222:AA222" si="478">MAX(H214:H219)</f>
        <v>612.85239012432146</v>
      </c>
      <c r="I222" s="416">
        <f t="shared" si="478"/>
        <v>612.85239012432146</v>
      </c>
      <c r="J222" s="416">
        <f t="shared" si="478"/>
        <v>612.85239012432146</v>
      </c>
      <c r="K222" s="416">
        <f t="shared" si="478"/>
        <v>612.85239012432146</v>
      </c>
      <c r="L222" s="416">
        <f t="shared" si="478"/>
        <v>612.85239012432146</v>
      </c>
      <c r="M222" s="417">
        <f t="shared" si="478"/>
        <v>612.85239012432146</v>
      </c>
      <c r="N222" s="416">
        <f t="shared" si="478"/>
        <v>7.1454378820656466</v>
      </c>
      <c r="O222" s="416">
        <f t="shared" si="478"/>
        <v>7.1454378820656466</v>
      </c>
      <c r="P222" s="416">
        <f t="shared" si="478"/>
        <v>7.1454378820656466</v>
      </c>
      <c r="Q222" s="416">
        <f t="shared" si="478"/>
        <v>7.1454378820656466</v>
      </c>
      <c r="R222" s="416">
        <f t="shared" si="478"/>
        <v>7.1454378820656466</v>
      </c>
      <c r="S222" s="416">
        <f t="shared" si="478"/>
        <v>7.1454378820656466</v>
      </c>
      <c r="T222" s="417">
        <f t="shared" si="478"/>
        <v>7.1454378820656466</v>
      </c>
      <c r="U222" s="418">
        <f t="shared" si="478"/>
        <v>7.0040273157065305E-2</v>
      </c>
      <c r="V222" s="419">
        <f t="shared" si="478"/>
        <v>8.098406583785675E-2</v>
      </c>
      <c r="W222" s="419">
        <f t="shared" si="478"/>
        <v>9.1927858518648209E-2</v>
      </c>
      <c r="X222" s="419">
        <f t="shared" si="478"/>
        <v>9.6305375590964803E-2</v>
      </c>
      <c r="Y222" s="419">
        <f t="shared" si="478"/>
        <v>9.8494134127123101E-2</v>
      </c>
      <c r="Z222" s="419">
        <f t="shared" si="478"/>
        <v>0.10068289266328138</v>
      </c>
      <c r="AA222" s="419">
        <f t="shared" si="478"/>
        <v>0.10724916827175625</v>
      </c>
      <c r="AB222" s="419"/>
      <c r="AC222" s="419"/>
      <c r="AD222" s="419"/>
      <c r="AE222" s="419"/>
      <c r="AF222" s="419"/>
      <c r="AG222" s="419"/>
      <c r="AH222" s="419"/>
      <c r="AI222" s="413"/>
      <c r="AJ222" s="414"/>
      <c r="AK222" s="414"/>
      <c r="AL222" s="414"/>
      <c r="AM222" s="416"/>
      <c r="AN222" s="414"/>
      <c r="AO222" s="417"/>
      <c r="AP222" s="414"/>
      <c r="AQ222" s="414"/>
      <c r="AR222" s="414"/>
      <c r="AS222" s="414"/>
      <c r="AT222" s="416"/>
      <c r="AU222" s="414"/>
      <c r="AV222" s="417"/>
      <c r="AW222" s="413"/>
      <c r="AX222" s="421"/>
      <c r="AY222" s="104"/>
    </row>
    <row r="223" spans="1:51" x14ac:dyDescent="0.3">
      <c r="A223" s="853"/>
      <c r="B223" s="424" t="s">
        <v>97</v>
      </c>
      <c r="C223" s="425">
        <v>4</v>
      </c>
      <c r="D223" s="426" t="s">
        <v>31</v>
      </c>
      <c r="E223" s="426">
        <v>2022</v>
      </c>
      <c r="F223" s="427" t="s">
        <v>19</v>
      </c>
      <c r="G223" s="428">
        <v>144.88</v>
      </c>
      <c r="H223" s="429">
        <v>121.52</v>
      </c>
      <c r="I223" s="429">
        <v>98.15</v>
      </c>
      <c r="J223" s="429">
        <v>90.55</v>
      </c>
      <c r="K223" s="429">
        <v>90.28</v>
      </c>
      <c r="L223" s="429">
        <v>90.01</v>
      </c>
      <c r="M223" s="348">
        <f>K223+((L223-K223)/(2050-2045))*(2060-2045)</f>
        <v>89.470000000000013</v>
      </c>
      <c r="N223" s="429">
        <f>G223*0.01*$BC$8</f>
        <v>0.8446006387799736</v>
      </c>
      <c r="O223" s="429">
        <f t="shared" ref="O223:S223" si="479">H223*0.01*$BC$8</f>
        <v>0.70841986212411923</v>
      </c>
      <c r="P223" s="429">
        <f t="shared" si="479"/>
        <v>0.57218078890291557</v>
      </c>
      <c r="Q223" s="429">
        <f t="shared" si="479"/>
        <v>0.52787539923748339</v>
      </c>
      <c r="R223" s="429">
        <f t="shared" si="479"/>
        <v>0.5263013919730537</v>
      </c>
      <c r="S223" s="429">
        <f t="shared" si="479"/>
        <v>0.5247273847086239</v>
      </c>
      <c r="T223" s="348">
        <f>R223+((S223-R223)/(2050-2045))*(2060-2045)</f>
        <v>0.5215793701797643</v>
      </c>
      <c r="U223" s="430"/>
      <c r="V223" s="430"/>
      <c r="W223" s="430"/>
      <c r="X223" s="430"/>
      <c r="Y223" s="429"/>
      <c r="Z223" s="430"/>
      <c r="AA223" s="431"/>
      <c r="AB223" s="429"/>
      <c r="AC223" s="429"/>
      <c r="AD223" s="429"/>
      <c r="AE223" s="429"/>
      <c r="AF223" s="429"/>
      <c r="AG223" s="429"/>
      <c r="AH223" s="429"/>
      <c r="AI223" s="432">
        <v>30</v>
      </c>
      <c r="AJ223" s="430">
        <v>30</v>
      </c>
      <c r="AK223" s="430">
        <v>30</v>
      </c>
      <c r="AL223" s="430">
        <v>30</v>
      </c>
      <c r="AM223" s="433">
        <v>30</v>
      </c>
      <c r="AN223" s="430">
        <v>30</v>
      </c>
      <c r="AO223" s="434">
        <f>AM223+((AN223-AM223)/(2050-2045))*(2060-2045)</f>
        <v>30</v>
      </c>
      <c r="AP223" s="430"/>
      <c r="AQ223" s="430"/>
      <c r="AR223" s="430"/>
      <c r="AS223" s="430"/>
      <c r="AT223" s="429"/>
      <c r="AU223" s="430"/>
      <c r="AV223" s="431"/>
      <c r="AW223" s="435"/>
      <c r="AX223" s="436"/>
      <c r="AY223" s="104" t="s">
        <v>285</v>
      </c>
    </row>
    <row r="226" spans="1:48" x14ac:dyDescent="0.3">
      <c r="A226" s="615" t="s">
        <v>324</v>
      </c>
      <c r="B226" s="615"/>
      <c r="C226" s="615"/>
      <c r="D226" s="615"/>
      <c r="E226" s="615"/>
      <c r="F226" s="615"/>
      <c r="G226" s="615"/>
      <c r="H226" s="615"/>
      <c r="I226" s="615"/>
    </row>
    <row r="229" spans="1:48" x14ac:dyDescent="0.3">
      <c r="B229" t="s">
        <v>325</v>
      </c>
      <c r="C229" s="12"/>
      <c r="D229" s="12"/>
      <c r="E229" s="14"/>
      <c r="J229" s="12"/>
      <c r="K229" s="12"/>
      <c r="L229" s="12"/>
      <c r="M229" s="12"/>
      <c r="N229" s="12"/>
      <c r="O229" s="14"/>
      <c r="R229" s="12"/>
      <c r="V229" s="12"/>
      <c r="X229" s="12"/>
      <c r="AM229" s="12"/>
      <c r="AO229" s="12"/>
      <c r="AP229" s="12"/>
      <c r="AQ229" s="14"/>
      <c r="AT229" s="12"/>
      <c r="AV229" s="12"/>
    </row>
    <row r="230" spans="1:48" x14ac:dyDescent="0.3">
      <c r="B230" s="616">
        <v>1</v>
      </c>
      <c r="C230" s="616" t="s">
        <v>18</v>
      </c>
      <c r="D230" s="616">
        <v>2020</v>
      </c>
      <c r="E230" s="617" t="s">
        <v>19</v>
      </c>
      <c r="J230" s="616">
        <v>8</v>
      </c>
      <c r="K230" s="616"/>
      <c r="L230" s="616" t="s">
        <v>45</v>
      </c>
      <c r="M230" s="616"/>
      <c r="N230" s="616">
        <v>2021</v>
      </c>
      <c r="O230" s="617" t="s">
        <v>19</v>
      </c>
      <c r="R230" s="12"/>
      <c r="S230" s="616">
        <v>9</v>
      </c>
      <c r="T230" s="616" t="s">
        <v>50</v>
      </c>
      <c r="U230" s="616">
        <v>2021</v>
      </c>
      <c r="V230" s="616"/>
      <c r="W230" s="617" t="s">
        <v>19</v>
      </c>
      <c r="X230" s="616"/>
      <c r="AM230" s="12"/>
      <c r="AO230" s="12"/>
      <c r="AP230" s="12"/>
      <c r="AQ230" s="14"/>
      <c r="AT230" s="12"/>
      <c r="AV230" s="12"/>
    </row>
    <row r="231" spans="1:48" x14ac:dyDescent="0.3">
      <c r="B231" t="s">
        <v>326</v>
      </c>
      <c r="J231" t="s">
        <v>327</v>
      </c>
      <c r="S231" t="s">
        <v>232</v>
      </c>
    </row>
    <row r="248" spans="2:25" x14ac:dyDescent="0.3">
      <c r="Y248" s="83"/>
    </row>
    <row r="249" spans="2:25" x14ac:dyDescent="0.3">
      <c r="S249" t="s">
        <v>328</v>
      </c>
    </row>
    <row r="250" spans="2:25" x14ac:dyDescent="0.3">
      <c r="S250" s="618">
        <v>4</v>
      </c>
      <c r="T250" s="618" t="s">
        <v>31</v>
      </c>
      <c r="U250" s="618">
        <v>2022</v>
      </c>
      <c r="V250" s="617" t="s">
        <v>19</v>
      </c>
    </row>
    <row r="251" spans="2:25" x14ac:dyDescent="0.3">
      <c r="S251" t="s">
        <v>329</v>
      </c>
    </row>
    <row r="256" spans="2:25" x14ac:dyDescent="0.3">
      <c r="B256" s="616">
        <v>7</v>
      </c>
      <c r="C256" s="616" t="s">
        <v>42</v>
      </c>
      <c r="D256" s="616">
        <v>2020</v>
      </c>
      <c r="E256" s="617" t="s">
        <v>19</v>
      </c>
      <c r="F256" s="83"/>
    </row>
    <row r="257" spans="2:22" x14ac:dyDescent="0.3">
      <c r="B257" t="s">
        <v>330</v>
      </c>
    </row>
    <row r="264" spans="2:22" x14ac:dyDescent="0.3">
      <c r="S264" s="619">
        <v>13</v>
      </c>
      <c r="T264" s="619" t="s">
        <v>63</v>
      </c>
      <c r="U264" s="619">
        <v>2020</v>
      </c>
      <c r="V264" s="617" t="s">
        <v>19</v>
      </c>
    </row>
    <row r="265" spans="2:22" x14ac:dyDescent="0.3">
      <c r="S265" t="s">
        <v>331</v>
      </c>
    </row>
    <row r="266" spans="2:22" x14ac:dyDescent="0.3">
      <c r="S266" t="s">
        <v>332</v>
      </c>
    </row>
    <row r="277" spans="2:5" x14ac:dyDescent="0.3">
      <c r="B277" t="s">
        <v>333</v>
      </c>
    </row>
    <row r="278" spans="2:5" x14ac:dyDescent="0.3">
      <c r="B278" s="616">
        <v>6</v>
      </c>
      <c r="C278" s="616" t="s">
        <v>39</v>
      </c>
      <c r="D278" s="616">
        <v>2020</v>
      </c>
      <c r="E278" s="617" t="s">
        <v>19</v>
      </c>
    </row>
    <row r="279" spans="2:5" x14ac:dyDescent="0.3">
      <c r="B279" t="s">
        <v>334</v>
      </c>
    </row>
    <row r="313" spans="2:23" x14ac:dyDescent="0.3">
      <c r="B313" t="s">
        <v>335</v>
      </c>
    </row>
    <row r="314" spans="2:23" x14ac:dyDescent="0.3">
      <c r="B314" s="618">
        <v>5</v>
      </c>
      <c r="C314" s="618" t="s">
        <v>35</v>
      </c>
      <c r="D314" s="618">
        <v>2021</v>
      </c>
      <c r="E314" s="617" t="s">
        <v>19</v>
      </c>
      <c r="F314" s="620"/>
      <c r="O314" s="618">
        <v>23</v>
      </c>
      <c r="P314" s="621" t="s">
        <v>88</v>
      </c>
      <c r="Q314" s="618">
        <v>2021</v>
      </c>
      <c r="R314" s="617" t="s">
        <v>19</v>
      </c>
      <c r="V314" s="82"/>
      <c r="W314" s="83"/>
    </row>
    <row r="315" spans="2:23" x14ac:dyDescent="0.3">
      <c r="B315" t="s">
        <v>336</v>
      </c>
    </row>
    <row r="359" spans="5:6" x14ac:dyDescent="0.3">
      <c r="E359" s="83"/>
      <c r="F359" s="83"/>
    </row>
  </sheetData>
  <mergeCells count="112">
    <mergeCell ref="AB1:AH1"/>
    <mergeCell ref="AW1:AX1"/>
    <mergeCell ref="AY1:AY2"/>
    <mergeCell ref="A3:A58"/>
    <mergeCell ref="B3:B10"/>
    <mergeCell ref="AP3:AV10"/>
    <mergeCell ref="AP11:AV13"/>
    <mergeCell ref="B14:B21"/>
    <mergeCell ref="AP14:AV21"/>
    <mergeCell ref="AP22:AV24"/>
    <mergeCell ref="B25:B32"/>
    <mergeCell ref="AP25:AV32"/>
    <mergeCell ref="AP33:AV35"/>
    <mergeCell ref="B36:B38"/>
    <mergeCell ref="AP36:AV38"/>
    <mergeCell ref="AP39:AV41"/>
    <mergeCell ref="B42:B47"/>
    <mergeCell ref="B52:B54"/>
    <mergeCell ref="A1:A2"/>
    <mergeCell ref="B1:B2"/>
    <mergeCell ref="C1:F1"/>
    <mergeCell ref="G1:M1"/>
    <mergeCell ref="N1:T1"/>
    <mergeCell ref="U1:AA1"/>
    <mergeCell ref="AI1:AO1"/>
    <mergeCell ref="AP1:AV1"/>
    <mergeCell ref="A60:A119"/>
    <mergeCell ref="B60:B66"/>
    <mergeCell ref="AP60:AV66"/>
    <mergeCell ref="AW60:AX60"/>
    <mergeCell ref="AW61:AX61"/>
    <mergeCell ref="AW62:AX62"/>
    <mergeCell ref="AP67:AV69"/>
    <mergeCell ref="B70:B76"/>
    <mergeCell ref="AP70:AV76"/>
    <mergeCell ref="AW70:AX70"/>
    <mergeCell ref="AW71:AX71"/>
    <mergeCell ref="AW72:AX72"/>
    <mergeCell ref="AP77:AV79"/>
    <mergeCell ref="B80:B86"/>
    <mergeCell ref="AP80:AV86"/>
    <mergeCell ref="AW80:AX80"/>
    <mergeCell ref="AW81:AX81"/>
    <mergeCell ref="AW82:AX82"/>
    <mergeCell ref="AP87:AV89"/>
    <mergeCell ref="B90:B91"/>
    <mergeCell ref="AP90:AV91"/>
    <mergeCell ref="AP92:AV94"/>
    <mergeCell ref="B95:B99"/>
    <mergeCell ref="B103:B107"/>
    <mergeCell ref="B111:B115"/>
    <mergeCell ref="A121:A162"/>
    <mergeCell ref="B121:B123"/>
    <mergeCell ref="AP121:AV124"/>
    <mergeCell ref="AW121:AX121"/>
    <mergeCell ref="AW122:AX122"/>
    <mergeCell ref="AW123:AX123"/>
    <mergeCell ref="AP125:AV127"/>
    <mergeCell ref="AW125:AX125"/>
    <mergeCell ref="B128:B131"/>
    <mergeCell ref="AP128:AV131"/>
    <mergeCell ref="AW128:AX128"/>
    <mergeCell ref="AW129:AX129"/>
    <mergeCell ref="AW130:AX130"/>
    <mergeCell ref="AW131:AX131"/>
    <mergeCell ref="AP132:AV134"/>
    <mergeCell ref="B135:B138"/>
    <mergeCell ref="AP135:AV138"/>
    <mergeCell ref="AW135:AX135"/>
    <mergeCell ref="AW136:AX136"/>
    <mergeCell ref="AW137:AX137"/>
    <mergeCell ref="AW138:AX138"/>
    <mergeCell ref="AP139:AV141"/>
    <mergeCell ref="AP142:AV142"/>
    <mergeCell ref="B143:B145"/>
    <mergeCell ref="B149:B152"/>
    <mergeCell ref="B156:B158"/>
    <mergeCell ref="C163:E163"/>
    <mergeCell ref="G163:H163"/>
    <mergeCell ref="A164:A223"/>
    <mergeCell ref="B164:B169"/>
    <mergeCell ref="AP164:AV170"/>
    <mergeCell ref="AP191:AV193"/>
    <mergeCell ref="AP194:AV194"/>
    <mergeCell ref="B195:B200"/>
    <mergeCell ref="B204:B210"/>
    <mergeCell ref="B214:B219"/>
    <mergeCell ref="AP181:AV183"/>
    <mergeCell ref="B184:B190"/>
    <mergeCell ref="AP184:AV190"/>
    <mergeCell ref="AP171:AV173"/>
    <mergeCell ref="B174:B179"/>
    <mergeCell ref="AP174:AV180"/>
    <mergeCell ref="AW186:AX186"/>
    <mergeCell ref="AW187:AX187"/>
    <mergeCell ref="AW188:AX188"/>
    <mergeCell ref="AW189:AX189"/>
    <mergeCell ref="AW164:AX164"/>
    <mergeCell ref="AW165:AX165"/>
    <mergeCell ref="AW166:AX166"/>
    <mergeCell ref="AW167:AX167"/>
    <mergeCell ref="AW168:AX168"/>
    <mergeCell ref="AW169:AX169"/>
    <mergeCell ref="AW174:AX174"/>
    <mergeCell ref="AW175:AX175"/>
    <mergeCell ref="AW176:AX176"/>
    <mergeCell ref="AW177:AX177"/>
    <mergeCell ref="AW178:AX178"/>
    <mergeCell ref="AW179:AX179"/>
    <mergeCell ref="AW180:AX180"/>
    <mergeCell ref="AW184:AX184"/>
    <mergeCell ref="AW185:AX185"/>
  </mergeCells>
  <hyperlinks>
    <hyperlink ref="F3" r:id="rId1" xr:uid="{00000000-0004-0000-0200-000000000000}"/>
    <hyperlink ref="F4" r:id="rId2" xr:uid="{00000000-0004-0000-0200-000001000000}"/>
    <hyperlink ref="F5" r:id="rId3" xr:uid="{00000000-0004-0000-0200-000002000000}"/>
    <hyperlink ref="F6" r:id="rId4" xr:uid="{00000000-0004-0000-0200-000003000000}"/>
    <hyperlink ref="F7" r:id="rId5" xr:uid="{00000000-0004-0000-0200-000004000000}"/>
    <hyperlink ref="F8" r:id="rId6" xr:uid="{00000000-0004-0000-0200-000005000000}"/>
    <hyperlink ref="F9" r:id="rId7" xr:uid="{00000000-0004-0000-0200-000006000000}"/>
    <hyperlink ref="F10" r:id="rId8" xr:uid="{00000000-0004-0000-0200-000007000000}"/>
    <hyperlink ref="F14" r:id="rId9" xr:uid="{00000000-0004-0000-0200-000008000000}"/>
    <hyperlink ref="F15" r:id="rId10" xr:uid="{00000000-0004-0000-0200-000009000000}"/>
    <hyperlink ref="F16" r:id="rId11" xr:uid="{00000000-0004-0000-0200-00000A000000}"/>
    <hyperlink ref="F17" r:id="rId12" xr:uid="{00000000-0004-0000-0200-00000B000000}"/>
    <hyperlink ref="F18" r:id="rId13" xr:uid="{00000000-0004-0000-0200-00000C000000}"/>
    <hyperlink ref="F19" r:id="rId14" xr:uid="{00000000-0004-0000-0200-00000D000000}"/>
    <hyperlink ref="F20" r:id="rId15" xr:uid="{00000000-0004-0000-0200-00000E000000}"/>
    <hyperlink ref="F21" r:id="rId16" xr:uid="{00000000-0004-0000-0200-00000F000000}"/>
    <hyperlink ref="F25" r:id="rId17" xr:uid="{00000000-0004-0000-0200-000010000000}"/>
    <hyperlink ref="F26" r:id="rId18" xr:uid="{00000000-0004-0000-0200-000011000000}"/>
    <hyperlink ref="F27" r:id="rId19" xr:uid="{00000000-0004-0000-0200-000012000000}"/>
    <hyperlink ref="F28" r:id="rId20" xr:uid="{00000000-0004-0000-0200-000013000000}"/>
    <hyperlink ref="F29" r:id="rId21" xr:uid="{00000000-0004-0000-0200-000014000000}"/>
    <hyperlink ref="F30" r:id="rId22" xr:uid="{00000000-0004-0000-0200-000015000000}"/>
    <hyperlink ref="F31" r:id="rId23" xr:uid="{00000000-0004-0000-0200-000016000000}"/>
    <hyperlink ref="F32" r:id="rId24" xr:uid="{00000000-0004-0000-0200-000017000000}"/>
    <hyperlink ref="F36" r:id="rId25" xr:uid="{00000000-0004-0000-0200-000018000000}"/>
    <hyperlink ref="F37" r:id="rId26" xr:uid="{00000000-0004-0000-0200-000019000000}"/>
    <hyperlink ref="F38" r:id="rId27" xr:uid="{00000000-0004-0000-0200-00001A000000}"/>
    <hyperlink ref="F42" r:id="rId28" xr:uid="{00000000-0004-0000-0200-00001B000000}"/>
    <hyperlink ref="F43" r:id="rId29" xr:uid="{00000000-0004-0000-0200-00001C000000}"/>
    <hyperlink ref="F44" r:id="rId30" xr:uid="{00000000-0004-0000-0200-00001D000000}"/>
    <hyperlink ref="F45" r:id="rId31" xr:uid="{00000000-0004-0000-0200-00001E000000}"/>
    <hyperlink ref="F46" r:id="rId32" xr:uid="{00000000-0004-0000-0200-00001F000000}"/>
    <hyperlink ref="F47" r:id="rId33" xr:uid="{00000000-0004-0000-0200-000020000000}"/>
    <hyperlink ref="F51" r:id="rId34" xr:uid="{00000000-0004-0000-0200-000021000000}"/>
    <hyperlink ref="F52" r:id="rId35" xr:uid="{00000000-0004-0000-0200-000022000000}"/>
    <hyperlink ref="F53" r:id="rId36" xr:uid="{00000000-0004-0000-0200-000023000000}"/>
    <hyperlink ref="F54" r:id="rId37" xr:uid="{00000000-0004-0000-0200-000024000000}"/>
    <hyperlink ref="F58" r:id="rId38" xr:uid="{00000000-0004-0000-0200-000025000000}"/>
    <hyperlink ref="F60" r:id="rId39" xr:uid="{00000000-0004-0000-0200-000026000000}"/>
    <hyperlink ref="F61" r:id="rId40" xr:uid="{00000000-0004-0000-0200-000027000000}"/>
    <hyperlink ref="F62" r:id="rId41" xr:uid="{00000000-0004-0000-0200-000028000000}"/>
    <hyperlink ref="F63" r:id="rId42" xr:uid="{00000000-0004-0000-0200-000029000000}"/>
    <hyperlink ref="F64" r:id="rId43" xr:uid="{00000000-0004-0000-0200-00002A000000}"/>
    <hyperlink ref="F65" r:id="rId44" xr:uid="{00000000-0004-0000-0200-00002B000000}"/>
    <hyperlink ref="F66" r:id="rId45" xr:uid="{00000000-0004-0000-0200-00002C000000}"/>
    <hyperlink ref="F70" r:id="rId46" xr:uid="{00000000-0004-0000-0200-00002D000000}"/>
    <hyperlink ref="F71" r:id="rId47" xr:uid="{00000000-0004-0000-0200-00002E000000}"/>
    <hyperlink ref="F72" r:id="rId48" xr:uid="{00000000-0004-0000-0200-00002F000000}"/>
    <hyperlink ref="F73" r:id="rId49" xr:uid="{00000000-0004-0000-0200-000030000000}"/>
    <hyperlink ref="F74" r:id="rId50" xr:uid="{00000000-0004-0000-0200-000031000000}"/>
    <hyperlink ref="F75" r:id="rId51" xr:uid="{00000000-0004-0000-0200-000032000000}"/>
    <hyperlink ref="F76" r:id="rId52" xr:uid="{00000000-0004-0000-0200-000033000000}"/>
    <hyperlink ref="F80" r:id="rId53" xr:uid="{00000000-0004-0000-0200-000034000000}"/>
    <hyperlink ref="F81" r:id="rId54" xr:uid="{00000000-0004-0000-0200-000035000000}"/>
    <hyperlink ref="F82" r:id="rId55" xr:uid="{00000000-0004-0000-0200-000036000000}"/>
    <hyperlink ref="F83" r:id="rId56" xr:uid="{00000000-0004-0000-0200-000037000000}"/>
    <hyperlink ref="F84" r:id="rId57" xr:uid="{00000000-0004-0000-0200-000038000000}"/>
    <hyperlink ref="F85" r:id="rId58" xr:uid="{00000000-0004-0000-0200-000039000000}"/>
    <hyperlink ref="F86" r:id="rId59" xr:uid="{00000000-0004-0000-0200-00003A000000}"/>
    <hyperlink ref="F90" r:id="rId60" xr:uid="{00000000-0004-0000-0200-00003B000000}"/>
    <hyperlink ref="F91" r:id="rId61" xr:uid="{00000000-0004-0000-0200-00003C000000}"/>
    <hyperlink ref="F95" r:id="rId62" xr:uid="{00000000-0004-0000-0200-00003D000000}"/>
    <hyperlink ref="F96" r:id="rId63" xr:uid="{00000000-0004-0000-0200-00003E000000}"/>
    <hyperlink ref="F97" r:id="rId64" xr:uid="{00000000-0004-0000-0200-00003F000000}"/>
    <hyperlink ref="F98" r:id="rId65" xr:uid="{00000000-0004-0000-0200-000040000000}"/>
    <hyperlink ref="F99" r:id="rId66" xr:uid="{00000000-0004-0000-0200-000041000000}"/>
    <hyperlink ref="F103" r:id="rId67" xr:uid="{00000000-0004-0000-0200-000042000000}"/>
    <hyperlink ref="F104" r:id="rId68" xr:uid="{00000000-0004-0000-0200-000043000000}"/>
    <hyperlink ref="F105" r:id="rId69" xr:uid="{00000000-0004-0000-0200-000044000000}"/>
    <hyperlink ref="F106" r:id="rId70" xr:uid="{00000000-0004-0000-0200-000045000000}"/>
    <hyperlink ref="F107" r:id="rId71" xr:uid="{00000000-0004-0000-0200-000046000000}"/>
    <hyperlink ref="F111" r:id="rId72" xr:uid="{00000000-0004-0000-0200-000047000000}"/>
    <hyperlink ref="F112" r:id="rId73" xr:uid="{00000000-0004-0000-0200-000048000000}"/>
    <hyperlink ref="F113" r:id="rId74" xr:uid="{00000000-0004-0000-0200-000049000000}"/>
    <hyperlink ref="F114" r:id="rId75" xr:uid="{00000000-0004-0000-0200-00004A000000}"/>
    <hyperlink ref="F115" r:id="rId76" xr:uid="{00000000-0004-0000-0200-00004B000000}"/>
    <hyperlink ref="F119" r:id="rId77" xr:uid="{00000000-0004-0000-0200-00004C000000}"/>
    <hyperlink ref="F121" r:id="rId78" xr:uid="{00000000-0004-0000-0200-00004D000000}"/>
    <hyperlink ref="F122" r:id="rId79" xr:uid="{00000000-0004-0000-0200-00004E000000}"/>
    <hyperlink ref="F123" r:id="rId80" xr:uid="{00000000-0004-0000-0200-00004F000000}"/>
    <hyperlink ref="F124" r:id="rId81" xr:uid="{00000000-0004-0000-0200-000050000000}"/>
    <hyperlink ref="F128" r:id="rId82" xr:uid="{00000000-0004-0000-0200-000051000000}"/>
    <hyperlink ref="F129" r:id="rId83" xr:uid="{00000000-0004-0000-0200-000052000000}"/>
    <hyperlink ref="F130" r:id="rId84" xr:uid="{00000000-0004-0000-0200-000053000000}"/>
    <hyperlink ref="F131" r:id="rId85" xr:uid="{00000000-0004-0000-0200-000054000000}"/>
    <hyperlink ref="F135" r:id="rId86" xr:uid="{00000000-0004-0000-0200-000055000000}"/>
    <hyperlink ref="F136" r:id="rId87" xr:uid="{00000000-0004-0000-0200-000056000000}"/>
    <hyperlink ref="F137" r:id="rId88" xr:uid="{00000000-0004-0000-0200-000057000000}"/>
    <hyperlink ref="F138" r:id="rId89" xr:uid="{00000000-0004-0000-0200-000058000000}"/>
    <hyperlink ref="F142" r:id="rId90" xr:uid="{00000000-0004-0000-0200-000059000000}"/>
    <hyperlink ref="F143" r:id="rId91" xr:uid="{00000000-0004-0000-0200-00005A000000}"/>
    <hyperlink ref="F144" r:id="rId92" xr:uid="{00000000-0004-0000-0200-00005B000000}"/>
    <hyperlink ref="F145" r:id="rId93" xr:uid="{00000000-0004-0000-0200-00005C000000}"/>
    <hyperlink ref="F149" r:id="rId94" xr:uid="{00000000-0004-0000-0200-00005D000000}"/>
    <hyperlink ref="F150" r:id="rId95" xr:uid="{00000000-0004-0000-0200-00005E000000}"/>
    <hyperlink ref="F151" r:id="rId96" xr:uid="{00000000-0004-0000-0200-00005F000000}"/>
    <hyperlink ref="F152" r:id="rId97" xr:uid="{00000000-0004-0000-0200-000060000000}"/>
    <hyperlink ref="F156" r:id="rId98" xr:uid="{00000000-0004-0000-0200-000061000000}"/>
    <hyperlink ref="F157" r:id="rId99" xr:uid="{00000000-0004-0000-0200-000062000000}"/>
    <hyperlink ref="F158" r:id="rId100" xr:uid="{00000000-0004-0000-0200-000063000000}"/>
    <hyperlink ref="F162" r:id="rId101" xr:uid="{00000000-0004-0000-0200-000064000000}"/>
    <hyperlink ref="F164" r:id="rId102" xr:uid="{00000000-0004-0000-0200-000065000000}"/>
    <hyperlink ref="F165:F166" r:id="rId103" display="Link" xr:uid="{00000000-0004-0000-0200-000066000000}"/>
    <hyperlink ref="F167" r:id="rId104" xr:uid="{00000000-0004-0000-0200-000067000000}"/>
    <hyperlink ref="F168" r:id="rId105" xr:uid="{00000000-0004-0000-0200-000068000000}"/>
    <hyperlink ref="F169" r:id="rId106" xr:uid="{00000000-0004-0000-0200-000069000000}"/>
    <hyperlink ref="F170" r:id="rId107" xr:uid="{00000000-0004-0000-0200-00006A000000}"/>
    <hyperlink ref="F174:F179" r:id="rId108" display="Link" xr:uid="{00000000-0004-0000-0200-00006B000000}"/>
    <hyperlink ref="F180" r:id="rId109" xr:uid="{00000000-0004-0000-0200-00006C000000}"/>
    <hyperlink ref="F184:F189" r:id="rId110" display="Link" xr:uid="{00000000-0004-0000-0200-00006D000000}"/>
    <hyperlink ref="F190" r:id="rId111" xr:uid="{00000000-0004-0000-0200-00006E000000}"/>
    <hyperlink ref="F194" r:id="rId112" xr:uid="{00000000-0004-0000-0200-00006F000000}"/>
    <hyperlink ref="F195:F200" r:id="rId113" display="Link" xr:uid="{00000000-0004-0000-0200-000070000000}"/>
    <hyperlink ref="F204:F209" r:id="rId114" display="Link" xr:uid="{00000000-0004-0000-0200-000071000000}"/>
    <hyperlink ref="F210" r:id="rId115" xr:uid="{00000000-0004-0000-0200-000072000000}"/>
    <hyperlink ref="F214:F219" r:id="rId116" display="Link" xr:uid="{00000000-0004-0000-0200-000073000000}"/>
    <hyperlink ref="F223" r:id="rId117" xr:uid="{00000000-0004-0000-0200-000074000000}"/>
    <hyperlink ref="E230" r:id="rId118" xr:uid="{00000000-0004-0000-0200-000075000000}"/>
    <hyperlink ref="O230" r:id="rId119" xr:uid="{00000000-0004-0000-0200-000076000000}"/>
    <hyperlink ref="W230" r:id="rId120" xr:uid="{00000000-0004-0000-0200-000077000000}"/>
    <hyperlink ref="V250" r:id="rId121" xr:uid="{00000000-0004-0000-0200-000078000000}"/>
    <hyperlink ref="E256" r:id="rId122" xr:uid="{00000000-0004-0000-0200-000079000000}"/>
    <hyperlink ref="V264" r:id="rId123" xr:uid="{00000000-0004-0000-0200-00007A000000}"/>
    <hyperlink ref="E278" r:id="rId124" xr:uid="{00000000-0004-0000-0200-00007B000000}"/>
    <hyperlink ref="E314" r:id="rId125" xr:uid="{00000000-0004-0000-0200-00007C000000}"/>
    <hyperlink ref="R314" r:id="rId126" xr:uid="{00000000-0004-0000-0200-00007D000000}"/>
  </hyperlinks>
  <pageMargins left="0.7" right="0.7" top="0.78740157500000008" bottom="0.78740157500000008" header="0.3" footer="0.3"/>
  <pageSetup paperSize="9" orientation="portrait" horizontalDpi="0" verticalDpi="0"/>
  <drawing r:id="rId127"/>
  <legacyDrawing r:id="rId128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AW199"/>
  <sheetViews>
    <sheetView zoomScale="85" workbookViewId="0">
      <selection activeCell="AI3" sqref="AI3"/>
    </sheetView>
  </sheetViews>
  <sheetFormatPr baseColWidth="10" defaultRowHeight="14.4" x14ac:dyDescent="0.3"/>
  <sheetData>
    <row r="1" spans="1:49" x14ac:dyDescent="0.3">
      <c r="A1" s="947" t="s">
        <v>245</v>
      </c>
      <c r="B1" s="947" t="s">
        <v>1</v>
      </c>
      <c r="C1" s="949" t="s">
        <v>246</v>
      </c>
      <c r="D1" s="950"/>
      <c r="E1" s="950"/>
      <c r="F1" s="951"/>
      <c r="G1" s="949" t="s">
        <v>337</v>
      </c>
      <c r="H1" s="950"/>
      <c r="I1" s="950"/>
      <c r="J1" s="950"/>
      <c r="K1" s="950"/>
      <c r="L1" s="950"/>
      <c r="M1" s="951"/>
      <c r="N1" s="914" t="s">
        <v>338</v>
      </c>
      <c r="O1" s="915"/>
      <c r="P1" s="915"/>
      <c r="Q1" s="915"/>
      <c r="R1" s="915"/>
      <c r="S1" s="915"/>
      <c r="T1" s="916"/>
      <c r="U1" s="914" t="s">
        <v>339</v>
      </c>
      <c r="V1" s="915"/>
      <c r="W1" s="915"/>
      <c r="X1" s="915"/>
      <c r="Y1" s="915"/>
      <c r="Z1" s="915"/>
      <c r="AA1" s="916"/>
      <c r="AB1" s="914" t="s">
        <v>250</v>
      </c>
      <c r="AC1" s="915"/>
      <c r="AD1" s="915"/>
      <c r="AE1" s="915"/>
      <c r="AF1" s="915"/>
      <c r="AG1" s="915"/>
      <c r="AH1" s="916"/>
      <c r="AI1" s="914" t="s">
        <v>251</v>
      </c>
      <c r="AJ1" s="915"/>
      <c r="AK1" s="915"/>
      <c r="AL1" s="915"/>
      <c r="AM1" s="915"/>
      <c r="AN1" s="915"/>
      <c r="AO1" s="916"/>
      <c r="AP1" s="914" t="s">
        <v>252</v>
      </c>
      <c r="AQ1" s="916"/>
      <c r="AR1" s="962" t="s">
        <v>253</v>
      </c>
    </row>
    <row r="2" spans="1:49" x14ac:dyDescent="0.3">
      <c r="A2" s="963"/>
      <c r="B2" s="963"/>
      <c r="C2" s="87" t="s">
        <v>254</v>
      </c>
      <c r="D2" s="87" t="s">
        <v>255</v>
      </c>
      <c r="E2" s="85" t="s">
        <v>256</v>
      </c>
      <c r="F2" s="87"/>
      <c r="G2" s="86">
        <v>2020</v>
      </c>
      <c r="H2" s="87">
        <v>2025</v>
      </c>
      <c r="I2" s="87">
        <v>2030</v>
      </c>
      <c r="J2" s="87">
        <v>2040</v>
      </c>
      <c r="K2" s="87">
        <v>2045</v>
      </c>
      <c r="L2" s="87">
        <v>2050</v>
      </c>
      <c r="M2" s="87">
        <v>2060</v>
      </c>
      <c r="N2" s="86">
        <v>2020</v>
      </c>
      <c r="O2" s="87">
        <v>2025</v>
      </c>
      <c r="P2" s="87">
        <v>2030</v>
      </c>
      <c r="Q2" s="87">
        <v>2040</v>
      </c>
      <c r="R2" s="87">
        <v>2045</v>
      </c>
      <c r="S2" s="87">
        <v>2050</v>
      </c>
      <c r="T2" s="87">
        <v>2060</v>
      </c>
      <c r="U2" s="86">
        <v>2020</v>
      </c>
      <c r="V2" s="87">
        <v>2025</v>
      </c>
      <c r="W2" s="87">
        <v>2030</v>
      </c>
      <c r="X2" s="87">
        <v>2040</v>
      </c>
      <c r="Y2" s="87">
        <v>2045</v>
      </c>
      <c r="Z2" s="87">
        <v>2050</v>
      </c>
      <c r="AA2" s="87">
        <v>2060</v>
      </c>
      <c r="AB2" s="86">
        <v>2020</v>
      </c>
      <c r="AC2" s="87">
        <v>2025</v>
      </c>
      <c r="AD2" s="87">
        <v>2030</v>
      </c>
      <c r="AE2" s="87">
        <v>2040</v>
      </c>
      <c r="AF2" s="87">
        <v>2045</v>
      </c>
      <c r="AG2" s="87">
        <v>2050</v>
      </c>
      <c r="AH2" s="87">
        <v>2060</v>
      </c>
      <c r="AI2" s="86">
        <v>2020</v>
      </c>
      <c r="AJ2" s="87">
        <v>2025</v>
      </c>
      <c r="AK2" s="87">
        <v>2030</v>
      </c>
      <c r="AL2" s="87">
        <v>2040</v>
      </c>
      <c r="AM2" s="87">
        <v>2045</v>
      </c>
      <c r="AN2" s="87">
        <v>2050</v>
      </c>
      <c r="AO2" s="87">
        <v>2060</v>
      </c>
      <c r="AP2" s="86" t="s">
        <v>257</v>
      </c>
      <c r="AQ2" s="622" t="s">
        <v>258</v>
      </c>
      <c r="AR2" s="962"/>
      <c r="AV2" t="s">
        <v>123</v>
      </c>
    </row>
    <row r="3" spans="1:49" x14ac:dyDescent="0.3">
      <c r="A3" s="935" t="s">
        <v>259</v>
      </c>
      <c r="B3" s="841" t="s">
        <v>340</v>
      </c>
      <c r="C3" s="623">
        <v>4</v>
      </c>
      <c r="D3" s="623" t="s">
        <v>31</v>
      </c>
      <c r="E3" s="623">
        <v>2022</v>
      </c>
      <c r="F3" s="624" t="s">
        <v>19</v>
      </c>
      <c r="G3" s="508">
        <v>40219.78</v>
      </c>
      <c r="H3" s="281">
        <v>36907.69</v>
      </c>
      <c r="I3" s="281">
        <v>32882.050000000003</v>
      </c>
      <c r="J3" s="281">
        <v>26297.439999999999</v>
      </c>
      <c r="K3" s="93">
        <f>J3+((L3-J3)/(2050-2040))*(2045-2040)</f>
        <v>23661.54</v>
      </c>
      <c r="L3" s="281">
        <v>21025.64</v>
      </c>
      <c r="M3" s="93">
        <v>21025.64</v>
      </c>
      <c r="N3" s="508">
        <f>G3*0.04</f>
        <v>1608.7911999999999</v>
      </c>
      <c r="O3" s="281">
        <f>H3*0.04</f>
        <v>1476.3076000000001</v>
      </c>
      <c r="P3" s="281">
        <f>I3*0.04</f>
        <v>1315.2820000000002</v>
      </c>
      <c r="Q3" s="281">
        <f>J3*0.04</f>
        <v>1051.8976</v>
      </c>
      <c r="R3" s="93">
        <f>Q3+((S3-Q3)/(2050-2040))*(2045-2040)</f>
        <v>946.46159999999998</v>
      </c>
      <c r="S3" s="281">
        <f>L3*0.04</f>
        <v>841.02559999999994</v>
      </c>
      <c r="T3" s="93">
        <f>R3+((S3-R3)/(2050-2045))*(2060-2045)</f>
        <v>630.15359999999987</v>
      </c>
      <c r="U3" s="508"/>
      <c r="V3" s="279"/>
      <c r="W3" s="279"/>
      <c r="X3" s="279"/>
      <c r="Y3" s="281"/>
      <c r="Z3" s="279"/>
      <c r="AA3" s="281"/>
      <c r="AB3" s="278">
        <v>30</v>
      </c>
      <c r="AC3" s="279">
        <v>30</v>
      </c>
      <c r="AD3" s="279">
        <v>30</v>
      </c>
      <c r="AE3" s="279">
        <v>30</v>
      </c>
      <c r="AF3" s="625">
        <f>AE3+((AG3-AE3)/(2050-2040))*(2045-2040)</f>
        <v>30</v>
      </c>
      <c r="AG3" s="279">
        <v>30</v>
      </c>
      <c r="AH3" s="101">
        <v>30</v>
      </c>
      <c r="AI3" s="278"/>
      <c r="AJ3" s="279"/>
      <c r="AK3" s="279"/>
      <c r="AL3" s="279"/>
      <c r="AM3" s="281"/>
      <c r="AN3" s="279"/>
      <c r="AO3" s="281"/>
      <c r="AP3" s="278"/>
      <c r="AQ3" s="7"/>
      <c r="AR3" s="104"/>
      <c r="AV3" t="s">
        <v>128</v>
      </c>
      <c r="AW3" s="76">
        <v>1.3486719798104709</v>
      </c>
    </row>
    <row r="4" spans="1:49" x14ac:dyDescent="0.3">
      <c r="A4" s="936"/>
      <c r="B4" s="955"/>
      <c r="C4" s="626">
        <v>19</v>
      </c>
      <c r="D4" s="627" t="s">
        <v>80</v>
      </c>
      <c r="E4" s="626">
        <v>2016</v>
      </c>
      <c r="F4" s="617" t="s">
        <v>19</v>
      </c>
      <c r="G4" s="289">
        <f>(1.2*10^6/1.1069)/(10^3/24)</f>
        <v>26018.610533923573</v>
      </c>
      <c r="H4" s="290"/>
      <c r="I4" s="282"/>
      <c r="J4" s="282"/>
      <c r="K4" s="282"/>
      <c r="L4" s="282"/>
      <c r="M4" s="282"/>
      <c r="N4" s="106">
        <f t="shared" ref="N4:N8" si="0">G4*0.02</f>
        <v>520.37221067847145</v>
      </c>
      <c r="O4" s="282"/>
      <c r="P4" s="282"/>
      <c r="Q4" s="282"/>
      <c r="R4" s="282"/>
      <c r="S4" s="282"/>
      <c r="T4" s="282"/>
      <c r="U4" s="510">
        <f>0.35/1.1069</f>
        <v>0.31619839190532117</v>
      </c>
      <c r="V4" s="290"/>
      <c r="W4" s="290"/>
      <c r="X4" s="290"/>
      <c r="Y4" s="282"/>
      <c r="Z4" s="290"/>
      <c r="AA4" s="282"/>
      <c r="AB4" s="289"/>
      <c r="AC4" s="290"/>
      <c r="AD4" s="290"/>
      <c r="AE4" s="290"/>
      <c r="AF4" s="282"/>
      <c r="AG4" s="290"/>
      <c r="AH4" s="282"/>
      <c r="AI4" s="289"/>
      <c r="AJ4" s="290"/>
      <c r="AK4" s="290"/>
      <c r="AL4" s="290"/>
      <c r="AM4" s="282"/>
      <c r="AN4" s="290"/>
      <c r="AO4" s="282"/>
      <c r="AP4" s="289"/>
      <c r="AQ4" s="11"/>
      <c r="AR4" s="104" t="s">
        <v>341</v>
      </c>
      <c r="AV4" t="s">
        <v>132</v>
      </c>
      <c r="AW4" s="76">
        <v>1.3374192380309164</v>
      </c>
    </row>
    <row r="5" spans="1:49" x14ac:dyDescent="0.3">
      <c r="A5" s="936"/>
      <c r="B5" s="955"/>
      <c r="C5" s="626">
        <v>19</v>
      </c>
      <c r="D5" s="627" t="s">
        <v>80</v>
      </c>
      <c r="E5" s="626">
        <v>2016</v>
      </c>
      <c r="F5" s="617" t="s">
        <v>19</v>
      </c>
      <c r="G5" s="289">
        <f t="shared" ref="G5:G6" si="1">(1.5*10^6/1.1069)/(10^3/24)</f>
        <v>32523.263167404464</v>
      </c>
      <c r="H5" s="290"/>
      <c r="I5" s="282"/>
      <c r="J5" s="282"/>
      <c r="K5" s="282"/>
      <c r="L5" s="282"/>
      <c r="M5" s="282"/>
      <c r="N5" s="106">
        <f t="shared" si="0"/>
        <v>650.46526334808925</v>
      </c>
      <c r="O5" s="282"/>
      <c r="P5" s="282"/>
      <c r="Q5" s="282"/>
      <c r="R5" s="282"/>
      <c r="S5" s="282"/>
      <c r="T5" s="282"/>
      <c r="U5" s="510">
        <f>0.64/1.1069</f>
        <v>0.57819134519830162</v>
      </c>
      <c r="V5" s="290"/>
      <c r="W5" s="290"/>
      <c r="X5" s="290"/>
      <c r="Y5" s="282"/>
      <c r="Z5" s="290"/>
      <c r="AA5" s="282"/>
      <c r="AB5" s="289"/>
      <c r="AC5" s="290"/>
      <c r="AD5" s="290"/>
      <c r="AE5" s="290"/>
      <c r="AF5" s="282"/>
      <c r="AG5" s="290"/>
      <c r="AH5" s="282"/>
      <c r="AI5" s="289"/>
      <c r="AJ5" s="290"/>
      <c r="AK5" s="290"/>
      <c r="AL5" s="290"/>
      <c r="AM5" s="282"/>
      <c r="AN5" s="290"/>
      <c r="AO5" s="282"/>
      <c r="AP5" s="289"/>
      <c r="AQ5" s="11"/>
      <c r="AR5" s="104" t="s">
        <v>342</v>
      </c>
      <c r="AV5" t="s">
        <v>130</v>
      </c>
      <c r="AW5" s="76">
        <v>0.58296565349252727</v>
      </c>
    </row>
    <row r="6" spans="1:49" ht="16.2" customHeight="1" x14ac:dyDescent="0.3">
      <c r="A6" s="936"/>
      <c r="B6" s="955"/>
      <c r="C6" s="626">
        <v>19</v>
      </c>
      <c r="D6" s="627" t="s">
        <v>80</v>
      </c>
      <c r="E6" s="626">
        <v>2016</v>
      </c>
      <c r="F6" s="617" t="s">
        <v>19</v>
      </c>
      <c r="G6" s="289">
        <f t="shared" si="1"/>
        <v>32523.263167404464</v>
      </c>
      <c r="H6" s="290"/>
      <c r="I6" s="282"/>
      <c r="J6" s="282"/>
      <c r="K6" s="282"/>
      <c r="L6" s="282"/>
      <c r="M6" s="282"/>
      <c r="N6" s="106">
        <f t="shared" si="0"/>
        <v>650.46526334808925</v>
      </c>
      <c r="O6" s="282"/>
      <c r="P6" s="282"/>
      <c r="Q6" s="282"/>
      <c r="R6" s="282"/>
      <c r="S6" s="282"/>
      <c r="T6" s="282"/>
      <c r="U6" s="510">
        <f>0.51/1.1069</f>
        <v>0.46074622820489658</v>
      </c>
      <c r="V6" s="290"/>
      <c r="W6" s="290"/>
      <c r="X6" s="290"/>
      <c r="Y6" s="282"/>
      <c r="Z6" s="290"/>
      <c r="AA6" s="282"/>
      <c r="AB6" s="289"/>
      <c r="AC6" s="290"/>
      <c r="AD6" s="290"/>
      <c r="AE6" s="290"/>
      <c r="AF6" s="282"/>
      <c r="AG6" s="290"/>
      <c r="AH6" s="282"/>
      <c r="AI6" s="510"/>
      <c r="AJ6" s="290"/>
      <c r="AK6" s="290"/>
      <c r="AL6" s="290"/>
      <c r="AM6" s="282"/>
      <c r="AN6" s="290"/>
      <c r="AO6" s="282"/>
      <c r="AP6" s="289"/>
      <c r="AQ6" s="11"/>
      <c r="AR6" s="104" t="s">
        <v>343</v>
      </c>
    </row>
    <row r="7" spans="1:49" ht="16.95" customHeight="1" x14ac:dyDescent="0.3">
      <c r="A7" s="936"/>
      <c r="B7" s="955"/>
      <c r="C7" s="626">
        <v>20</v>
      </c>
      <c r="D7" s="626" t="s">
        <v>82</v>
      </c>
      <c r="E7" s="626">
        <v>2020</v>
      </c>
      <c r="F7" s="617" t="s">
        <v>19</v>
      </c>
      <c r="G7" s="510">
        <f>(13.8*10^6/1.1422)/(10000/24)</f>
        <v>28996.673087025036</v>
      </c>
      <c r="H7" s="282">
        <f>(12*10^6/1.1422)/(10000/24)</f>
        <v>25214.498336543511</v>
      </c>
      <c r="I7" s="107">
        <f>G7+((H7-G7)/(2025-2020))*(2030-2020)</f>
        <v>21432.323586061986</v>
      </c>
      <c r="J7" s="107">
        <v>21432.323586061986</v>
      </c>
      <c r="K7" s="107">
        <v>21432.323586061986</v>
      </c>
      <c r="L7" s="107">
        <v>21432.323586061986</v>
      </c>
      <c r="M7" s="107">
        <v>21432.323586061986</v>
      </c>
      <c r="N7" s="106">
        <f t="shared" si="0"/>
        <v>579.93346174050077</v>
      </c>
      <c r="O7" s="107">
        <f t="shared" ref="O7:T7" si="2">H7*0.02</f>
        <v>504.28996673087022</v>
      </c>
      <c r="P7" s="107">
        <f t="shared" si="2"/>
        <v>428.64647172123972</v>
      </c>
      <c r="Q7" s="107">
        <f t="shared" si="2"/>
        <v>428.64647172123972</v>
      </c>
      <c r="R7" s="107">
        <f t="shared" si="2"/>
        <v>428.64647172123972</v>
      </c>
      <c r="S7" s="107">
        <f t="shared" si="2"/>
        <v>428.64647172123972</v>
      </c>
      <c r="T7" s="107">
        <f t="shared" si="2"/>
        <v>428.64647172123972</v>
      </c>
      <c r="U7" s="510"/>
      <c r="V7" s="290"/>
      <c r="W7" s="290"/>
      <c r="X7" s="290"/>
      <c r="Y7" s="282"/>
      <c r="Z7" s="290"/>
      <c r="AA7" s="282"/>
      <c r="AB7" s="289"/>
      <c r="AC7" s="290"/>
      <c r="AD7" s="290"/>
      <c r="AE7" s="290"/>
      <c r="AF7" s="282"/>
      <c r="AG7" s="290"/>
      <c r="AH7" s="282"/>
      <c r="AI7" s="510"/>
      <c r="AJ7" s="290"/>
      <c r="AK7" s="290"/>
      <c r="AL7" s="290"/>
      <c r="AM7" s="282"/>
      <c r="AN7" s="290"/>
      <c r="AO7" s="282"/>
      <c r="AP7" s="289"/>
      <c r="AQ7" s="11"/>
      <c r="AR7" s="116"/>
    </row>
    <row r="8" spans="1:49" ht="16.95" customHeight="1" x14ac:dyDescent="0.3">
      <c r="A8" s="936"/>
      <c r="B8" s="955"/>
      <c r="C8" s="626">
        <v>21</v>
      </c>
      <c r="D8" s="626" t="s">
        <v>84</v>
      </c>
      <c r="E8" s="626">
        <v>2019</v>
      </c>
      <c r="F8" s="617" t="s">
        <v>19</v>
      </c>
      <c r="G8" s="510">
        <f>2.23/(1/8760)</f>
        <v>19534.8</v>
      </c>
      <c r="H8" s="290"/>
      <c r="I8" s="290"/>
      <c r="J8" s="290"/>
      <c r="K8" s="290"/>
      <c r="L8" s="282"/>
      <c r="M8" s="290"/>
      <c r="N8" s="510">
        <f t="shared" si="0"/>
        <v>390.69599999999997</v>
      </c>
      <c r="O8" s="282"/>
      <c r="P8" s="282"/>
      <c r="Q8" s="282"/>
      <c r="R8" s="290"/>
      <c r="S8" s="282"/>
      <c r="T8" s="290"/>
      <c r="U8" s="510"/>
      <c r="V8" s="290"/>
      <c r="W8" s="290"/>
      <c r="X8" s="290"/>
      <c r="Y8" s="290"/>
      <c r="Z8" s="290"/>
      <c r="AA8" s="290"/>
      <c r="AB8" s="289"/>
      <c r="AC8" s="290"/>
      <c r="AD8" s="290"/>
      <c r="AE8" s="290"/>
      <c r="AF8" s="290"/>
      <c r="AG8" s="290"/>
      <c r="AH8" s="290"/>
      <c r="AI8" s="510"/>
      <c r="AJ8" s="290"/>
      <c r="AK8" s="290"/>
      <c r="AL8" s="290"/>
      <c r="AM8" s="290"/>
      <c r="AN8" s="290"/>
      <c r="AO8" s="290"/>
      <c r="AP8" s="289"/>
      <c r="AQ8" s="11"/>
      <c r="AR8" s="116"/>
    </row>
    <row r="9" spans="1:49" ht="16.2" customHeight="1" x14ac:dyDescent="0.3">
      <c r="A9" s="936"/>
      <c r="B9" s="310" t="s">
        <v>267</v>
      </c>
      <c r="C9" s="628"/>
      <c r="D9" s="629"/>
      <c r="E9" s="628"/>
      <c r="F9" s="628"/>
      <c r="G9" s="312">
        <f t="shared" ref="G9:U9" si="3">MIN(G3:G8)</f>
        <v>19534.8</v>
      </c>
      <c r="H9" s="318">
        <f t="shared" si="3"/>
        <v>25214.498336543511</v>
      </c>
      <c r="I9" s="313">
        <f t="shared" si="3"/>
        <v>21432.323586061986</v>
      </c>
      <c r="J9" s="313">
        <f t="shared" si="3"/>
        <v>21432.323586061986</v>
      </c>
      <c r="K9" s="313">
        <f t="shared" si="3"/>
        <v>21432.323586061986</v>
      </c>
      <c r="L9" s="313">
        <f t="shared" si="3"/>
        <v>21025.64</v>
      </c>
      <c r="M9" s="313">
        <f t="shared" si="3"/>
        <v>21025.64</v>
      </c>
      <c r="N9" s="312">
        <f t="shared" si="3"/>
        <v>390.69599999999997</v>
      </c>
      <c r="O9" s="313">
        <f t="shared" si="3"/>
        <v>504.28996673087022</v>
      </c>
      <c r="P9" s="313">
        <f t="shared" si="3"/>
        <v>428.64647172123972</v>
      </c>
      <c r="Q9" s="313">
        <f t="shared" si="3"/>
        <v>428.64647172123972</v>
      </c>
      <c r="R9" s="313">
        <f t="shared" si="3"/>
        <v>428.64647172123972</v>
      </c>
      <c r="S9" s="313">
        <f t="shared" si="3"/>
        <v>428.64647172123972</v>
      </c>
      <c r="T9" s="313">
        <f t="shared" si="3"/>
        <v>428.64647172123972</v>
      </c>
      <c r="U9" s="312">
        <f t="shared" si="3"/>
        <v>0.31619839190532117</v>
      </c>
      <c r="V9" s="318"/>
      <c r="W9" s="318"/>
      <c r="X9" s="318"/>
      <c r="Y9" s="313"/>
      <c r="Z9" s="318"/>
      <c r="AA9" s="313"/>
      <c r="AB9" s="317">
        <f>MIN(AB3:AB8)</f>
        <v>30</v>
      </c>
      <c r="AC9" s="318">
        <f>MIN(AC3:AC8)</f>
        <v>30</v>
      </c>
      <c r="AD9" s="318">
        <f>MIN(AD3:AD8)</f>
        <v>30</v>
      </c>
      <c r="AE9" s="318">
        <f>MIN(AE3:AE8)</f>
        <v>30</v>
      </c>
      <c r="AF9" s="318">
        <f t="shared" ref="AF9:AH9" si="4">MIN(AF3:AF8)</f>
        <v>30</v>
      </c>
      <c r="AG9" s="318">
        <f t="shared" si="4"/>
        <v>30</v>
      </c>
      <c r="AH9" s="318">
        <f t="shared" si="4"/>
        <v>30</v>
      </c>
      <c r="AI9" s="312"/>
      <c r="AJ9" s="318"/>
      <c r="AK9" s="318"/>
      <c r="AL9" s="318"/>
      <c r="AM9" s="313"/>
      <c r="AN9" s="318"/>
      <c r="AO9" s="313"/>
      <c r="AP9" s="317"/>
      <c r="AQ9" s="321"/>
      <c r="AR9" s="104"/>
    </row>
    <row r="10" spans="1:49" ht="16.95" customHeight="1" x14ac:dyDescent="0.3">
      <c r="A10" s="936"/>
      <c r="B10" s="322" t="s">
        <v>268</v>
      </c>
      <c r="C10" s="630"/>
      <c r="D10" s="630"/>
      <c r="E10" s="630"/>
      <c r="F10" s="630"/>
      <c r="G10" s="323">
        <f>MEDIAN(G3:G8)</f>
        <v>30759.96812721475</v>
      </c>
      <c r="H10" s="324">
        <f t="shared" ref="H10:AH10" si="5">MEDIAN(H3:H8)</f>
        <v>31061.094168271757</v>
      </c>
      <c r="I10" s="324">
        <f t="shared" si="5"/>
        <v>27157.186793030996</v>
      </c>
      <c r="J10" s="324">
        <f t="shared" si="5"/>
        <v>23864.881793030992</v>
      </c>
      <c r="K10" s="324">
        <f t="shared" si="5"/>
        <v>22546.931793030992</v>
      </c>
      <c r="L10" s="324">
        <f t="shared" si="5"/>
        <v>21228.981793030995</v>
      </c>
      <c r="M10" s="324">
        <f t="shared" si="5"/>
        <v>21228.981793030995</v>
      </c>
      <c r="N10" s="323">
        <f t="shared" si="5"/>
        <v>615.19936254429501</v>
      </c>
      <c r="O10" s="324">
        <f t="shared" si="5"/>
        <v>990.29878336543516</v>
      </c>
      <c r="P10" s="324">
        <f t="shared" si="5"/>
        <v>871.96423586061997</v>
      </c>
      <c r="Q10" s="324">
        <f t="shared" si="5"/>
        <v>740.27203586061978</v>
      </c>
      <c r="R10" s="324">
        <f t="shared" si="5"/>
        <v>687.55403586061993</v>
      </c>
      <c r="S10" s="324">
        <f t="shared" si="5"/>
        <v>634.83603586061986</v>
      </c>
      <c r="T10" s="324">
        <f t="shared" si="5"/>
        <v>529.40003586061982</v>
      </c>
      <c r="U10" s="323">
        <f t="shared" si="5"/>
        <v>0.46074622820489658</v>
      </c>
      <c r="V10" s="311"/>
      <c r="W10" s="311"/>
      <c r="X10" s="311"/>
      <c r="Y10" s="324"/>
      <c r="Z10" s="311"/>
      <c r="AA10" s="324"/>
      <c r="AB10" s="328">
        <f t="shared" si="5"/>
        <v>30</v>
      </c>
      <c r="AC10" s="311">
        <f t="shared" si="5"/>
        <v>30</v>
      </c>
      <c r="AD10" s="311">
        <f t="shared" si="5"/>
        <v>30</v>
      </c>
      <c r="AE10" s="311">
        <f t="shared" si="5"/>
        <v>30</v>
      </c>
      <c r="AF10" s="311">
        <f t="shared" si="5"/>
        <v>30</v>
      </c>
      <c r="AG10" s="311">
        <f t="shared" si="5"/>
        <v>30</v>
      </c>
      <c r="AH10" s="311">
        <f t="shared" si="5"/>
        <v>30</v>
      </c>
      <c r="AI10" s="323"/>
      <c r="AJ10" s="311"/>
      <c r="AK10" s="311"/>
      <c r="AL10" s="311"/>
      <c r="AM10" s="324"/>
      <c r="AN10" s="311"/>
      <c r="AO10" s="324"/>
      <c r="AP10" s="328"/>
      <c r="AQ10" s="331"/>
      <c r="AR10" s="116"/>
    </row>
    <row r="11" spans="1:49" ht="16.95" customHeight="1" x14ac:dyDescent="0.3">
      <c r="A11" s="956"/>
      <c r="B11" s="332" t="s">
        <v>269</v>
      </c>
      <c r="C11" s="631"/>
      <c r="D11" s="631"/>
      <c r="E11" s="631"/>
      <c r="F11" s="631"/>
      <c r="G11" s="334">
        <f>MAX(G3:G8)</f>
        <v>40219.78</v>
      </c>
      <c r="H11" s="333">
        <f t="shared" ref="H11:AH11" si="6">MAX(H3:H8)</f>
        <v>36907.69</v>
      </c>
      <c r="I11" s="333">
        <f t="shared" si="6"/>
        <v>32882.050000000003</v>
      </c>
      <c r="J11" s="333">
        <f t="shared" si="6"/>
        <v>26297.439999999999</v>
      </c>
      <c r="K11" s="333">
        <f t="shared" si="6"/>
        <v>23661.54</v>
      </c>
      <c r="L11" s="333">
        <f t="shared" si="6"/>
        <v>21432.323586061986</v>
      </c>
      <c r="M11" s="333">
        <f t="shared" si="6"/>
        <v>21432.323586061986</v>
      </c>
      <c r="N11" s="334">
        <f t="shared" si="6"/>
        <v>1608.7911999999999</v>
      </c>
      <c r="O11" s="335">
        <f t="shared" si="6"/>
        <v>1476.3076000000001</v>
      </c>
      <c r="P11" s="335">
        <f t="shared" si="6"/>
        <v>1315.2820000000002</v>
      </c>
      <c r="Q11" s="335">
        <f t="shared" si="6"/>
        <v>1051.8976</v>
      </c>
      <c r="R11" s="333">
        <f t="shared" si="6"/>
        <v>946.46159999999998</v>
      </c>
      <c r="S11" s="335">
        <f t="shared" si="6"/>
        <v>841.02559999999994</v>
      </c>
      <c r="T11" s="333">
        <f t="shared" si="6"/>
        <v>630.15359999999987</v>
      </c>
      <c r="U11" s="334">
        <f t="shared" si="6"/>
        <v>0.57819134519830162</v>
      </c>
      <c r="V11" s="333"/>
      <c r="W11" s="333"/>
      <c r="X11" s="333"/>
      <c r="Y11" s="333"/>
      <c r="Z11" s="333"/>
      <c r="AA11" s="333"/>
      <c r="AB11" s="339">
        <f t="shared" si="6"/>
        <v>30</v>
      </c>
      <c r="AC11" s="333">
        <f t="shared" si="6"/>
        <v>30</v>
      </c>
      <c r="AD11" s="333">
        <f t="shared" si="6"/>
        <v>30</v>
      </c>
      <c r="AE11" s="333">
        <f t="shared" si="6"/>
        <v>30</v>
      </c>
      <c r="AF11" s="333">
        <f t="shared" si="6"/>
        <v>30</v>
      </c>
      <c r="AG11" s="333">
        <f t="shared" si="6"/>
        <v>30</v>
      </c>
      <c r="AH11" s="333">
        <f t="shared" si="6"/>
        <v>30</v>
      </c>
      <c r="AI11" s="334"/>
      <c r="AJ11" s="333"/>
      <c r="AK11" s="333"/>
      <c r="AL11" s="333"/>
      <c r="AM11" s="333"/>
      <c r="AN11" s="333"/>
      <c r="AO11" s="333"/>
      <c r="AP11" s="339"/>
      <c r="AQ11" s="342"/>
      <c r="AR11" s="116"/>
    </row>
    <row r="12" spans="1:49" ht="16.95" customHeight="1" x14ac:dyDescent="0.3">
      <c r="A12" s="632"/>
      <c r="B12" s="632"/>
      <c r="C12" s="633"/>
      <c r="D12" s="633"/>
      <c r="E12" s="633"/>
      <c r="F12" s="633"/>
      <c r="G12" s="440"/>
      <c r="H12" s="439"/>
      <c r="I12" s="439"/>
      <c r="J12" s="439"/>
      <c r="K12" s="439"/>
      <c r="L12" s="439"/>
      <c r="M12" s="439"/>
      <c r="N12" s="440"/>
      <c r="O12" s="441"/>
      <c r="P12" s="441"/>
      <c r="Q12" s="441"/>
      <c r="R12" s="439"/>
      <c r="S12" s="441"/>
      <c r="T12" s="439"/>
      <c r="U12" s="440"/>
      <c r="V12" s="439"/>
      <c r="W12" s="439"/>
      <c r="X12" s="439"/>
      <c r="Y12" s="439"/>
      <c r="Z12" s="439"/>
      <c r="AA12" s="439"/>
      <c r="AB12" s="445"/>
      <c r="AC12" s="439"/>
      <c r="AD12" s="439"/>
      <c r="AE12" s="439"/>
      <c r="AF12" s="439"/>
      <c r="AG12" s="439"/>
      <c r="AH12" s="439"/>
      <c r="AI12" s="440"/>
      <c r="AJ12" s="439"/>
      <c r="AK12" s="439"/>
      <c r="AL12" s="439"/>
      <c r="AM12" s="439"/>
      <c r="AN12" s="439"/>
      <c r="AO12" s="439"/>
      <c r="AP12" s="445"/>
      <c r="AQ12" s="446"/>
      <c r="AR12" s="634"/>
      <c r="AS12" s="635"/>
      <c r="AT12" s="635"/>
    </row>
    <row r="13" spans="1:49" x14ac:dyDescent="0.3">
      <c r="A13" s="957" t="s">
        <v>128</v>
      </c>
      <c r="B13" s="841" t="s">
        <v>340</v>
      </c>
      <c r="C13" s="623">
        <v>4</v>
      </c>
      <c r="D13" s="623" t="s">
        <v>31</v>
      </c>
      <c r="E13" s="623">
        <v>2022</v>
      </c>
      <c r="F13" s="624" t="s">
        <v>19</v>
      </c>
      <c r="G13" s="508">
        <v>40219.78</v>
      </c>
      <c r="H13" s="281">
        <v>36907.69</v>
      </c>
      <c r="I13" s="281">
        <v>32882.050000000003</v>
      </c>
      <c r="J13" s="281">
        <v>26297.439999999999</v>
      </c>
      <c r="K13" s="93">
        <f>J13+((L13-J13)/(2050-2040))*(2045-2040)</f>
        <v>23661.54</v>
      </c>
      <c r="L13" s="281">
        <v>21025.64</v>
      </c>
      <c r="M13" s="93">
        <v>21025.64</v>
      </c>
      <c r="N13" s="508">
        <f>G13*0.04*$AW$3</f>
        <v>2169.7316128056632</v>
      </c>
      <c r="O13" s="281">
        <f>H13*0.04*$AW$3</f>
        <v>1991.054693701245</v>
      </c>
      <c r="P13" s="281">
        <f>I13*0.04*$AW$3</f>
        <v>1773.883978949076</v>
      </c>
      <c r="Q13" s="281">
        <f>J13*0.04*$AW$3</f>
        <v>1418.6648187498829</v>
      </c>
      <c r="R13" s="93">
        <f>Q13+((S13-Q13)/(2050-2040))*(2045-2040)</f>
        <v>1276.466239886586</v>
      </c>
      <c r="S13" s="281">
        <f>L13*0.04*$AW$3</f>
        <v>1134.2676610232891</v>
      </c>
      <c r="T13" s="93">
        <f>R13+((S13-R13)/(2050-2045))*(2060-2045)</f>
        <v>849.87050329669523</v>
      </c>
      <c r="U13" s="508"/>
      <c r="V13" s="279"/>
      <c r="W13" s="279"/>
      <c r="X13" s="279"/>
      <c r="Y13" s="281"/>
      <c r="Z13" s="279"/>
      <c r="AA13" s="281"/>
      <c r="AB13" s="278">
        <v>30</v>
      </c>
      <c r="AC13" s="279">
        <v>30</v>
      </c>
      <c r="AD13" s="279">
        <v>30</v>
      </c>
      <c r="AE13" s="279">
        <v>30</v>
      </c>
      <c r="AF13" s="625">
        <f>AE13+((AG13-AE13)/(2050-2040))*(2045-2040)</f>
        <v>30</v>
      </c>
      <c r="AG13" s="279">
        <v>30</v>
      </c>
      <c r="AH13" s="101">
        <v>30</v>
      </c>
      <c r="AI13" s="278"/>
      <c r="AJ13" s="279"/>
      <c r="AK13" s="279"/>
      <c r="AL13" s="279"/>
      <c r="AM13" s="281"/>
      <c r="AN13" s="279"/>
      <c r="AO13" s="281"/>
      <c r="AP13" s="278"/>
      <c r="AQ13" s="7"/>
      <c r="AR13" s="104"/>
    </row>
    <row r="14" spans="1:49" x14ac:dyDescent="0.3">
      <c r="A14" s="917"/>
      <c r="B14" s="955"/>
      <c r="C14" s="626">
        <v>19</v>
      </c>
      <c r="D14" s="627" t="s">
        <v>80</v>
      </c>
      <c r="E14" s="626">
        <v>2016</v>
      </c>
      <c r="F14" s="617" t="s">
        <v>19</v>
      </c>
      <c r="G14" s="289">
        <f>(1.2*10^6/1.1069)/(10^3/24)</f>
        <v>26018.610533923573</v>
      </c>
      <c r="H14" s="290"/>
      <c r="I14" s="282"/>
      <c r="J14" s="282"/>
      <c r="K14" s="282"/>
      <c r="L14" s="282"/>
      <c r="M14" s="282"/>
      <c r="N14" s="106">
        <f t="shared" ref="N14:N18" si="7">G14*0.02*$AW$3</f>
        <v>701.81141961408559</v>
      </c>
      <c r="O14" s="282"/>
      <c r="P14" s="282"/>
      <c r="Q14" s="282"/>
      <c r="R14" s="282"/>
      <c r="S14" s="282"/>
      <c r="T14" s="282"/>
      <c r="U14" s="510">
        <f>0.35/1.1069</f>
        <v>0.31619839190532117</v>
      </c>
      <c r="V14" s="290"/>
      <c r="W14" s="290"/>
      <c r="X14" s="290"/>
      <c r="Y14" s="282"/>
      <c r="Z14" s="290"/>
      <c r="AA14" s="282"/>
      <c r="AB14" s="289"/>
      <c r="AC14" s="290"/>
      <c r="AD14" s="290"/>
      <c r="AE14" s="290"/>
      <c r="AF14" s="282"/>
      <c r="AG14" s="290"/>
      <c r="AH14" s="282"/>
      <c r="AI14" s="289"/>
      <c r="AJ14" s="290"/>
      <c r="AK14" s="290"/>
      <c r="AL14" s="290"/>
      <c r="AM14" s="282"/>
      <c r="AN14" s="290"/>
      <c r="AO14" s="282"/>
      <c r="AP14" s="289"/>
      <c r="AQ14" s="11"/>
      <c r="AR14" s="104" t="s">
        <v>341</v>
      </c>
    </row>
    <row r="15" spans="1:49" x14ac:dyDescent="0.3">
      <c r="A15" s="917"/>
      <c r="B15" s="955"/>
      <c r="C15" s="626">
        <v>19</v>
      </c>
      <c r="D15" s="627" t="s">
        <v>80</v>
      </c>
      <c r="E15" s="626">
        <v>2016</v>
      </c>
      <c r="F15" s="617" t="s">
        <v>19</v>
      </c>
      <c r="G15" s="289">
        <f t="shared" ref="G15:G16" si="8">(1.5*10^6/1.1069)/(10^3/24)</f>
        <v>32523.263167404464</v>
      </c>
      <c r="H15" s="290"/>
      <c r="I15" s="282"/>
      <c r="J15" s="282"/>
      <c r="K15" s="282"/>
      <c r="L15" s="282"/>
      <c r="M15" s="282"/>
      <c r="N15" s="106">
        <f t="shared" si="7"/>
        <v>877.26427451760685</v>
      </c>
      <c r="O15" s="282"/>
      <c r="P15" s="282"/>
      <c r="Q15" s="282"/>
      <c r="R15" s="282"/>
      <c r="S15" s="282"/>
      <c r="T15" s="282"/>
      <c r="U15" s="510">
        <f>0.64/1.1069</f>
        <v>0.57819134519830162</v>
      </c>
      <c r="V15" s="290"/>
      <c r="W15" s="290"/>
      <c r="X15" s="290"/>
      <c r="Y15" s="282"/>
      <c r="Z15" s="290"/>
      <c r="AA15" s="282"/>
      <c r="AB15" s="289"/>
      <c r="AC15" s="290"/>
      <c r="AD15" s="290"/>
      <c r="AE15" s="290"/>
      <c r="AF15" s="282"/>
      <c r="AG15" s="290"/>
      <c r="AH15" s="282"/>
      <c r="AI15" s="289"/>
      <c r="AJ15" s="290"/>
      <c r="AK15" s="290"/>
      <c r="AL15" s="290"/>
      <c r="AM15" s="282"/>
      <c r="AN15" s="290"/>
      <c r="AO15" s="282"/>
      <c r="AP15" s="289"/>
      <c r="AQ15" s="11"/>
      <c r="AR15" s="104" t="s">
        <v>342</v>
      </c>
    </row>
    <row r="16" spans="1:49" ht="16.2" customHeight="1" x14ac:dyDescent="0.3">
      <c r="A16" s="917"/>
      <c r="B16" s="955"/>
      <c r="C16" s="626">
        <v>19</v>
      </c>
      <c r="D16" s="627" t="s">
        <v>80</v>
      </c>
      <c r="E16" s="626">
        <v>2016</v>
      </c>
      <c r="F16" s="617" t="s">
        <v>19</v>
      </c>
      <c r="G16" s="289">
        <f t="shared" si="8"/>
        <v>32523.263167404464</v>
      </c>
      <c r="H16" s="290"/>
      <c r="I16" s="282"/>
      <c r="J16" s="282"/>
      <c r="K16" s="282"/>
      <c r="L16" s="282"/>
      <c r="M16" s="282"/>
      <c r="N16" s="106">
        <f t="shared" si="7"/>
        <v>877.26427451760685</v>
      </c>
      <c r="O16" s="282"/>
      <c r="P16" s="282"/>
      <c r="Q16" s="282"/>
      <c r="R16" s="282"/>
      <c r="S16" s="282"/>
      <c r="T16" s="282"/>
      <c r="U16" s="510">
        <f>0.51/1.1069</f>
        <v>0.46074622820489658</v>
      </c>
      <c r="V16" s="290"/>
      <c r="W16" s="290"/>
      <c r="X16" s="290"/>
      <c r="Y16" s="282"/>
      <c r="Z16" s="290"/>
      <c r="AA16" s="282"/>
      <c r="AB16" s="289"/>
      <c r="AC16" s="290"/>
      <c r="AD16" s="290"/>
      <c r="AE16" s="290"/>
      <c r="AF16" s="282"/>
      <c r="AG16" s="290"/>
      <c r="AH16" s="282"/>
      <c r="AI16" s="510"/>
      <c r="AJ16" s="290"/>
      <c r="AK16" s="290"/>
      <c r="AL16" s="290"/>
      <c r="AM16" s="282"/>
      <c r="AN16" s="290"/>
      <c r="AO16" s="282"/>
      <c r="AP16" s="289"/>
      <c r="AQ16" s="11"/>
      <c r="AR16" s="104" t="s">
        <v>343</v>
      </c>
    </row>
    <row r="17" spans="1:46" ht="16.95" customHeight="1" x14ac:dyDescent="0.3">
      <c r="A17" s="917"/>
      <c r="B17" s="955"/>
      <c r="C17" s="626">
        <v>20</v>
      </c>
      <c r="D17" s="626" t="s">
        <v>82</v>
      </c>
      <c r="E17" s="626">
        <v>2020</v>
      </c>
      <c r="F17" s="617" t="s">
        <v>19</v>
      </c>
      <c r="G17" s="510">
        <f>(13.8*10^6/1.1422)/(10000/24)</f>
        <v>28996.673087025036</v>
      </c>
      <c r="H17" s="282">
        <f>(12*10^6/1.1422)/(10000/24)</f>
        <v>25214.498336543511</v>
      </c>
      <c r="I17" s="107">
        <f>G17+((H17-G17)/(2025-2020))*(2030-2020)</f>
        <v>21432.323586061986</v>
      </c>
      <c r="J17" s="107">
        <v>21432.323586061986</v>
      </c>
      <c r="K17" s="107">
        <v>21432.323586061986</v>
      </c>
      <c r="L17" s="107">
        <v>21432.323586061986</v>
      </c>
      <c r="M17" s="107">
        <v>21432.323586061986</v>
      </c>
      <c r="N17" s="106">
        <f t="shared" si="7"/>
        <v>782.14001000390112</v>
      </c>
      <c r="O17" s="107">
        <f t="shared" ref="O17:T17" si="9">H17*0.02*$AW$3</f>
        <v>680.1217478294792</v>
      </c>
      <c r="P17" s="107">
        <f t="shared" si="9"/>
        <v>578.1034856550574</v>
      </c>
      <c r="Q17" s="107">
        <f t="shared" si="9"/>
        <v>578.1034856550574</v>
      </c>
      <c r="R17" s="107">
        <f t="shared" si="9"/>
        <v>578.1034856550574</v>
      </c>
      <c r="S17" s="107">
        <f t="shared" si="9"/>
        <v>578.1034856550574</v>
      </c>
      <c r="T17" s="107">
        <f t="shared" si="9"/>
        <v>578.1034856550574</v>
      </c>
      <c r="U17" s="510"/>
      <c r="V17" s="290"/>
      <c r="W17" s="290"/>
      <c r="X17" s="290"/>
      <c r="Y17" s="282"/>
      <c r="Z17" s="290"/>
      <c r="AA17" s="282"/>
      <c r="AB17" s="289"/>
      <c r="AC17" s="290"/>
      <c r="AD17" s="290"/>
      <c r="AE17" s="290"/>
      <c r="AF17" s="282"/>
      <c r="AG17" s="290"/>
      <c r="AH17" s="282"/>
      <c r="AI17" s="510"/>
      <c r="AJ17" s="290"/>
      <c r="AK17" s="290"/>
      <c r="AL17" s="290"/>
      <c r="AM17" s="282"/>
      <c r="AN17" s="290"/>
      <c r="AO17" s="282"/>
      <c r="AP17" s="289"/>
      <c r="AQ17" s="11"/>
      <c r="AR17" s="116"/>
    </row>
    <row r="18" spans="1:46" ht="16.95" customHeight="1" x14ac:dyDescent="0.3">
      <c r="A18" s="917"/>
      <c r="B18" s="955"/>
      <c r="C18" s="626">
        <v>21</v>
      </c>
      <c r="D18" s="626" t="s">
        <v>84</v>
      </c>
      <c r="E18" s="626">
        <v>2019</v>
      </c>
      <c r="F18" s="617" t="s">
        <v>19</v>
      </c>
      <c r="G18" s="510">
        <f>2.23/(1/8760)</f>
        <v>19534.8</v>
      </c>
      <c r="H18" s="290"/>
      <c r="I18" s="290"/>
      <c r="J18" s="290"/>
      <c r="K18" s="290"/>
      <c r="L18" s="282"/>
      <c r="M18" s="290"/>
      <c r="N18" s="510">
        <f t="shared" si="7"/>
        <v>526.92074782403176</v>
      </c>
      <c r="O18" s="282"/>
      <c r="P18" s="282"/>
      <c r="Q18" s="282"/>
      <c r="R18" s="290"/>
      <c r="S18" s="282"/>
      <c r="T18" s="290"/>
      <c r="U18" s="510"/>
      <c r="V18" s="290"/>
      <c r="W18" s="290"/>
      <c r="X18" s="290"/>
      <c r="Y18" s="290"/>
      <c r="Z18" s="290"/>
      <c r="AA18" s="290"/>
      <c r="AB18" s="289"/>
      <c r="AC18" s="290"/>
      <c r="AD18" s="290"/>
      <c r="AE18" s="290"/>
      <c r="AF18" s="290"/>
      <c r="AG18" s="290"/>
      <c r="AH18" s="290"/>
      <c r="AI18" s="510"/>
      <c r="AJ18" s="290"/>
      <c r="AK18" s="290"/>
      <c r="AL18" s="290"/>
      <c r="AM18" s="290"/>
      <c r="AN18" s="290"/>
      <c r="AO18" s="290"/>
      <c r="AP18" s="289"/>
      <c r="AQ18" s="11"/>
      <c r="AR18" s="116"/>
    </row>
    <row r="19" spans="1:46" ht="16.2" customHeight="1" x14ac:dyDescent="0.3">
      <c r="A19" s="917"/>
      <c r="B19" s="310" t="s">
        <v>267</v>
      </c>
      <c r="C19" s="628"/>
      <c r="D19" s="629"/>
      <c r="E19" s="628"/>
      <c r="F19" s="628"/>
      <c r="G19" s="312">
        <f t="shared" ref="G19:U19" si="10">MIN(G13:G18)</f>
        <v>19534.8</v>
      </c>
      <c r="H19" s="318">
        <f t="shared" si="10"/>
        <v>25214.498336543511</v>
      </c>
      <c r="I19" s="313">
        <f t="shared" si="10"/>
        <v>21432.323586061986</v>
      </c>
      <c r="J19" s="313">
        <f t="shared" si="10"/>
        <v>21432.323586061986</v>
      </c>
      <c r="K19" s="313">
        <f t="shared" si="10"/>
        <v>21432.323586061986</v>
      </c>
      <c r="L19" s="313">
        <f t="shared" si="10"/>
        <v>21025.64</v>
      </c>
      <c r="M19" s="313">
        <f t="shared" si="10"/>
        <v>21025.64</v>
      </c>
      <c r="N19" s="312">
        <f t="shared" si="10"/>
        <v>526.92074782403176</v>
      </c>
      <c r="O19" s="313">
        <f t="shared" si="10"/>
        <v>680.1217478294792</v>
      </c>
      <c r="P19" s="313">
        <f t="shared" si="10"/>
        <v>578.1034856550574</v>
      </c>
      <c r="Q19" s="313">
        <f t="shared" si="10"/>
        <v>578.1034856550574</v>
      </c>
      <c r="R19" s="313">
        <f t="shared" si="10"/>
        <v>578.1034856550574</v>
      </c>
      <c r="S19" s="313">
        <f t="shared" si="10"/>
        <v>578.1034856550574</v>
      </c>
      <c r="T19" s="313">
        <f t="shared" si="10"/>
        <v>578.1034856550574</v>
      </c>
      <c r="U19" s="312">
        <f t="shared" si="10"/>
        <v>0.31619839190532117</v>
      </c>
      <c r="V19" s="318"/>
      <c r="W19" s="318"/>
      <c r="X19" s="318"/>
      <c r="Y19" s="313"/>
      <c r="Z19" s="318"/>
      <c r="AA19" s="313"/>
      <c r="AB19" s="317">
        <f>MIN(AB13:AB18)</f>
        <v>30</v>
      </c>
      <c r="AC19" s="318">
        <f>MIN(AC13:AC18)</f>
        <v>30</v>
      </c>
      <c r="AD19" s="318">
        <f>MIN(AD13:AD18)</f>
        <v>30</v>
      </c>
      <c r="AE19" s="318">
        <f>MIN(AE13:AE18)</f>
        <v>30</v>
      </c>
      <c r="AF19" s="318">
        <f t="shared" ref="AF19:AH19" si="11">MIN(AF13:AF18)</f>
        <v>30</v>
      </c>
      <c r="AG19" s="318">
        <f t="shared" si="11"/>
        <v>30</v>
      </c>
      <c r="AH19" s="318">
        <f t="shared" si="11"/>
        <v>30</v>
      </c>
      <c r="AI19" s="312"/>
      <c r="AJ19" s="318"/>
      <c r="AK19" s="318"/>
      <c r="AL19" s="318"/>
      <c r="AM19" s="313"/>
      <c r="AN19" s="318"/>
      <c r="AO19" s="313"/>
      <c r="AP19" s="317"/>
      <c r="AQ19" s="321"/>
      <c r="AR19" s="104"/>
    </row>
    <row r="20" spans="1:46" ht="16.95" customHeight="1" x14ac:dyDescent="0.3">
      <c r="A20" s="917"/>
      <c r="B20" s="322" t="s">
        <v>268</v>
      </c>
      <c r="C20" s="630"/>
      <c r="D20" s="630"/>
      <c r="E20" s="630"/>
      <c r="F20" s="630"/>
      <c r="G20" s="323">
        <f>MEDIAN(G13:G18)</f>
        <v>30759.96812721475</v>
      </c>
      <c r="H20" s="324">
        <f t="shared" ref="H20:U20" si="12">MEDIAN(H13:H18)</f>
        <v>31061.094168271757</v>
      </c>
      <c r="I20" s="324">
        <f t="shared" si="12"/>
        <v>27157.186793030996</v>
      </c>
      <c r="J20" s="324">
        <f t="shared" si="12"/>
        <v>23864.881793030992</v>
      </c>
      <c r="K20" s="324">
        <f t="shared" si="12"/>
        <v>22546.931793030992</v>
      </c>
      <c r="L20" s="324">
        <f t="shared" si="12"/>
        <v>21228.981793030995</v>
      </c>
      <c r="M20" s="324">
        <f t="shared" si="12"/>
        <v>21228.981793030995</v>
      </c>
      <c r="N20" s="323">
        <f t="shared" si="12"/>
        <v>829.70214226075404</v>
      </c>
      <c r="O20" s="324">
        <f t="shared" si="12"/>
        <v>1335.5882207653622</v>
      </c>
      <c r="P20" s="324">
        <f t="shared" si="12"/>
        <v>1175.9937323020667</v>
      </c>
      <c r="Q20" s="324">
        <f t="shared" si="12"/>
        <v>998.3841522024702</v>
      </c>
      <c r="R20" s="324">
        <f t="shared" si="12"/>
        <v>927.28486277082175</v>
      </c>
      <c r="S20" s="324">
        <f t="shared" si="12"/>
        <v>856.18557333917329</v>
      </c>
      <c r="T20" s="324">
        <f t="shared" si="12"/>
        <v>713.98699447587637</v>
      </c>
      <c r="U20" s="323">
        <f t="shared" si="12"/>
        <v>0.46074622820489658</v>
      </c>
      <c r="V20" s="311"/>
      <c r="W20" s="311"/>
      <c r="X20" s="311"/>
      <c r="Y20" s="324"/>
      <c r="Z20" s="311"/>
      <c r="AA20" s="324"/>
      <c r="AB20" s="328">
        <f t="shared" ref="AB20:AH20" si="13">MEDIAN(AB13:AB18)</f>
        <v>30</v>
      </c>
      <c r="AC20" s="311">
        <f t="shared" si="13"/>
        <v>30</v>
      </c>
      <c r="AD20" s="311">
        <f t="shared" si="13"/>
        <v>30</v>
      </c>
      <c r="AE20" s="311">
        <f t="shared" si="13"/>
        <v>30</v>
      </c>
      <c r="AF20" s="311">
        <f t="shared" si="13"/>
        <v>30</v>
      </c>
      <c r="AG20" s="311">
        <f t="shared" si="13"/>
        <v>30</v>
      </c>
      <c r="AH20" s="311">
        <f t="shared" si="13"/>
        <v>30</v>
      </c>
      <c r="AI20" s="323"/>
      <c r="AJ20" s="311"/>
      <c r="AK20" s="311"/>
      <c r="AL20" s="311"/>
      <c r="AM20" s="324"/>
      <c r="AN20" s="311"/>
      <c r="AO20" s="324"/>
      <c r="AP20" s="328"/>
      <c r="AQ20" s="331"/>
      <c r="AR20" s="116"/>
    </row>
    <row r="21" spans="1:46" ht="16.95" customHeight="1" x14ac:dyDescent="0.3">
      <c r="A21" s="958"/>
      <c r="B21" s="332" t="s">
        <v>269</v>
      </c>
      <c r="C21" s="631"/>
      <c r="D21" s="631"/>
      <c r="E21" s="631"/>
      <c r="F21" s="631"/>
      <c r="G21" s="334">
        <f>MAX(G13:G18)</f>
        <v>40219.78</v>
      </c>
      <c r="H21" s="333">
        <f t="shared" ref="H21:U21" si="14">MAX(H13:H18)</f>
        <v>36907.69</v>
      </c>
      <c r="I21" s="333">
        <f t="shared" si="14"/>
        <v>32882.050000000003</v>
      </c>
      <c r="J21" s="333">
        <f t="shared" si="14"/>
        <v>26297.439999999999</v>
      </c>
      <c r="K21" s="333">
        <f t="shared" si="14"/>
        <v>23661.54</v>
      </c>
      <c r="L21" s="333">
        <f t="shared" si="14"/>
        <v>21432.323586061986</v>
      </c>
      <c r="M21" s="333">
        <f t="shared" si="14"/>
        <v>21432.323586061986</v>
      </c>
      <c r="N21" s="334">
        <f t="shared" si="14"/>
        <v>2169.7316128056632</v>
      </c>
      <c r="O21" s="335">
        <f t="shared" si="14"/>
        <v>1991.054693701245</v>
      </c>
      <c r="P21" s="335">
        <f t="shared" si="14"/>
        <v>1773.883978949076</v>
      </c>
      <c r="Q21" s="335">
        <f t="shared" si="14"/>
        <v>1418.6648187498829</v>
      </c>
      <c r="R21" s="333">
        <f t="shared" si="14"/>
        <v>1276.466239886586</v>
      </c>
      <c r="S21" s="335">
        <f t="shared" si="14"/>
        <v>1134.2676610232891</v>
      </c>
      <c r="T21" s="333">
        <f t="shared" si="14"/>
        <v>849.87050329669523</v>
      </c>
      <c r="U21" s="334">
        <f t="shared" si="14"/>
        <v>0.57819134519830162</v>
      </c>
      <c r="V21" s="333"/>
      <c r="W21" s="333"/>
      <c r="X21" s="333"/>
      <c r="Y21" s="333"/>
      <c r="Z21" s="333"/>
      <c r="AA21" s="333"/>
      <c r="AB21" s="339">
        <f t="shared" ref="AB21:AH21" si="15">MAX(AB13:AB18)</f>
        <v>30</v>
      </c>
      <c r="AC21" s="333">
        <f t="shared" si="15"/>
        <v>30</v>
      </c>
      <c r="AD21" s="333">
        <f t="shared" si="15"/>
        <v>30</v>
      </c>
      <c r="AE21" s="333">
        <f t="shared" si="15"/>
        <v>30</v>
      </c>
      <c r="AF21" s="333">
        <f t="shared" si="15"/>
        <v>30</v>
      </c>
      <c r="AG21" s="333">
        <f t="shared" si="15"/>
        <v>30</v>
      </c>
      <c r="AH21" s="333">
        <f t="shared" si="15"/>
        <v>30</v>
      </c>
      <c r="AI21" s="334"/>
      <c r="AJ21" s="333"/>
      <c r="AK21" s="333"/>
      <c r="AL21" s="333"/>
      <c r="AM21" s="333"/>
      <c r="AN21" s="333"/>
      <c r="AO21" s="333"/>
      <c r="AP21" s="339"/>
      <c r="AQ21" s="342"/>
      <c r="AR21" s="116"/>
    </row>
    <row r="22" spans="1:46" ht="16.95" customHeight="1" x14ac:dyDescent="0.3">
      <c r="A22" s="632"/>
      <c r="B22" s="632"/>
      <c r="C22" s="633"/>
      <c r="D22" s="633"/>
      <c r="E22" s="633"/>
      <c r="F22" s="633"/>
      <c r="G22" s="440"/>
      <c r="H22" s="439"/>
      <c r="I22" s="439"/>
      <c r="J22" s="439"/>
      <c r="K22" s="439"/>
      <c r="L22" s="439"/>
      <c r="M22" s="439"/>
      <c r="N22" s="440"/>
      <c r="O22" s="441"/>
      <c r="P22" s="441"/>
      <c r="Q22" s="441"/>
      <c r="R22" s="439"/>
      <c r="S22" s="441"/>
      <c r="T22" s="439"/>
      <c r="U22" s="440"/>
      <c r="V22" s="439"/>
      <c r="W22" s="439"/>
      <c r="X22" s="439"/>
      <c r="Y22" s="439"/>
      <c r="Z22" s="439"/>
      <c r="AA22" s="439"/>
      <c r="AB22" s="445"/>
      <c r="AC22" s="439"/>
      <c r="AD22" s="439"/>
      <c r="AE22" s="439"/>
      <c r="AF22" s="439"/>
      <c r="AG22" s="439"/>
      <c r="AH22" s="439"/>
      <c r="AI22" s="440"/>
      <c r="AJ22" s="439"/>
      <c r="AK22" s="439"/>
      <c r="AL22" s="439"/>
      <c r="AM22" s="439"/>
      <c r="AN22" s="439"/>
      <c r="AO22" s="439"/>
      <c r="AP22" s="445"/>
      <c r="AQ22" s="446"/>
      <c r="AR22" s="634"/>
      <c r="AS22" s="635"/>
      <c r="AT22" s="635"/>
    </row>
    <row r="23" spans="1:46" x14ac:dyDescent="0.3">
      <c r="A23" s="959" t="s">
        <v>132</v>
      </c>
      <c r="B23" s="841" t="s">
        <v>340</v>
      </c>
      <c r="C23" s="623">
        <v>4</v>
      </c>
      <c r="D23" s="623" t="s">
        <v>31</v>
      </c>
      <c r="E23" s="623">
        <v>2022</v>
      </c>
      <c r="F23" s="624" t="s">
        <v>19</v>
      </c>
      <c r="G23" s="508">
        <v>40219.78</v>
      </c>
      <c r="H23" s="281">
        <v>36907.69</v>
      </c>
      <c r="I23" s="281">
        <v>32882.050000000003</v>
      </c>
      <c r="J23" s="281">
        <v>26297.439999999999</v>
      </c>
      <c r="K23" s="93">
        <f>J23+((L23-J23)/(2050-2040))*(2045-2040)</f>
        <v>23661.54</v>
      </c>
      <c r="L23" s="281">
        <v>21025.64</v>
      </c>
      <c r="M23" s="93">
        <v>21025.64</v>
      </c>
      <c r="N23" s="508">
        <f>G23*0.04*$AW$4</f>
        <v>2151.6283008548435</v>
      </c>
      <c r="O23" s="281">
        <f>H23*0.04*$AW$4</f>
        <v>1974.4421854912512</v>
      </c>
      <c r="P23" s="281">
        <f>I23*0.04*$AW$4</f>
        <v>1759.08345023578</v>
      </c>
      <c r="Q23" s="281">
        <f>J23*0.04*$AW$4</f>
        <v>1406.8280866785497</v>
      </c>
      <c r="R23" s="93">
        <f>Q23+((S23-Q23)/(2050-2040))*(2045-2040)</f>
        <v>1265.8159518975219</v>
      </c>
      <c r="S23" s="281">
        <f>L23*0.04*$AW$4</f>
        <v>1124.8038171164942</v>
      </c>
      <c r="T23" s="93">
        <f>R23+((S23-R23)/(2050-2045))*(2060-2045)</f>
        <v>842.77954755443875</v>
      </c>
      <c r="U23" s="508"/>
      <c r="V23" s="279"/>
      <c r="W23" s="279"/>
      <c r="X23" s="279"/>
      <c r="Y23" s="281"/>
      <c r="Z23" s="279"/>
      <c r="AA23" s="281"/>
      <c r="AB23" s="278">
        <v>30</v>
      </c>
      <c r="AC23" s="279">
        <v>30</v>
      </c>
      <c r="AD23" s="279">
        <v>30</v>
      </c>
      <c r="AE23" s="279">
        <v>30</v>
      </c>
      <c r="AF23" s="625">
        <f>AE23+((AG23-AE23)/(2050-2040))*(2045-2040)</f>
        <v>30</v>
      </c>
      <c r="AG23" s="279">
        <v>30</v>
      </c>
      <c r="AH23" s="101">
        <v>30</v>
      </c>
      <c r="AI23" s="278"/>
      <c r="AJ23" s="279"/>
      <c r="AK23" s="279"/>
      <c r="AL23" s="279"/>
      <c r="AM23" s="281"/>
      <c r="AN23" s="279"/>
      <c r="AO23" s="281"/>
      <c r="AP23" s="278"/>
      <c r="AQ23" s="7"/>
      <c r="AR23" s="104"/>
    </row>
    <row r="24" spans="1:46" x14ac:dyDescent="0.3">
      <c r="A24" s="960"/>
      <c r="B24" s="955"/>
      <c r="C24" s="626">
        <v>19</v>
      </c>
      <c r="D24" s="627" t="s">
        <v>80</v>
      </c>
      <c r="E24" s="626">
        <v>2016</v>
      </c>
      <c r="F24" s="617" t="s">
        <v>19</v>
      </c>
      <c r="G24" s="289">
        <f>(1.2*10^6/1.1069)/(10^3/24)</f>
        <v>26018.610533923573</v>
      </c>
      <c r="H24" s="290"/>
      <c r="I24" s="282"/>
      <c r="J24" s="282"/>
      <c r="K24" s="282"/>
      <c r="L24" s="282"/>
      <c r="M24" s="282"/>
      <c r="N24" s="106">
        <f t="shared" ref="N24:N28" si="16">G24*0.02*$AW$4</f>
        <v>695.95580549806482</v>
      </c>
      <c r="O24" s="282"/>
      <c r="P24" s="282"/>
      <c r="Q24" s="282"/>
      <c r="R24" s="282"/>
      <c r="S24" s="282"/>
      <c r="T24" s="282"/>
      <c r="U24" s="510">
        <f>0.35/1.1069</f>
        <v>0.31619839190532117</v>
      </c>
      <c r="V24" s="290"/>
      <c r="W24" s="290"/>
      <c r="X24" s="290"/>
      <c r="Y24" s="282"/>
      <c r="Z24" s="290"/>
      <c r="AA24" s="282"/>
      <c r="AB24" s="289"/>
      <c r="AC24" s="290"/>
      <c r="AD24" s="290"/>
      <c r="AE24" s="290"/>
      <c r="AF24" s="282"/>
      <c r="AG24" s="290"/>
      <c r="AH24" s="282"/>
      <c r="AI24" s="289"/>
      <c r="AJ24" s="290"/>
      <c r="AK24" s="290"/>
      <c r="AL24" s="290"/>
      <c r="AM24" s="282"/>
      <c r="AN24" s="290"/>
      <c r="AO24" s="282"/>
      <c r="AP24" s="289"/>
      <c r="AQ24" s="11"/>
      <c r="AR24" s="104" t="s">
        <v>341</v>
      </c>
    </row>
    <row r="25" spans="1:46" x14ac:dyDescent="0.3">
      <c r="A25" s="960"/>
      <c r="B25" s="955"/>
      <c r="C25" s="626">
        <v>19</v>
      </c>
      <c r="D25" s="627" t="s">
        <v>80</v>
      </c>
      <c r="E25" s="626">
        <v>2016</v>
      </c>
      <c r="F25" s="617" t="s">
        <v>19</v>
      </c>
      <c r="G25" s="289">
        <f t="shared" ref="G25:G26" si="17">(1.5*10^6/1.1069)/(10^3/24)</f>
        <v>32523.263167404464</v>
      </c>
      <c r="H25" s="290"/>
      <c r="I25" s="282"/>
      <c r="J25" s="282"/>
      <c r="K25" s="282"/>
      <c r="L25" s="282"/>
      <c r="M25" s="282"/>
      <c r="N25" s="106">
        <f t="shared" si="16"/>
        <v>869.94475687258091</v>
      </c>
      <c r="O25" s="282"/>
      <c r="P25" s="282"/>
      <c r="Q25" s="282"/>
      <c r="R25" s="282"/>
      <c r="S25" s="282"/>
      <c r="T25" s="282"/>
      <c r="U25" s="510">
        <f>0.64/1.1069</f>
        <v>0.57819134519830162</v>
      </c>
      <c r="V25" s="290"/>
      <c r="W25" s="290"/>
      <c r="X25" s="290"/>
      <c r="Y25" s="282"/>
      <c r="Z25" s="290"/>
      <c r="AA25" s="282"/>
      <c r="AB25" s="289"/>
      <c r="AC25" s="290"/>
      <c r="AD25" s="290"/>
      <c r="AE25" s="290"/>
      <c r="AF25" s="282"/>
      <c r="AG25" s="290"/>
      <c r="AH25" s="282"/>
      <c r="AI25" s="289"/>
      <c r="AJ25" s="290"/>
      <c r="AK25" s="290"/>
      <c r="AL25" s="290"/>
      <c r="AM25" s="282"/>
      <c r="AN25" s="290"/>
      <c r="AO25" s="282"/>
      <c r="AP25" s="289"/>
      <c r="AQ25" s="11"/>
      <c r="AR25" s="104" t="s">
        <v>342</v>
      </c>
    </row>
    <row r="26" spans="1:46" ht="16.2" customHeight="1" x14ac:dyDescent="0.3">
      <c r="A26" s="960"/>
      <c r="B26" s="955"/>
      <c r="C26" s="626">
        <v>19</v>
      </c>
      <c r="D26" s="627" t="s">
        <v>80</v>
      </c>
      <c r="E26" s="626">
        <v>2016</v>
      </c>
      <c r="F26" s="617" t="s">
        <v>19</v>
      </c>
      <c r="G26" s="289">
        <f t="shared" si="17"/>
        <v>32523.263167404464</v>
      </c>
      <c r="H26" s="290"/>
      <c r="I26" s="282"/>
      <c r="J26" s="282"/>
      <c r="K26" s="282"/>
      <c r="L26" s="282"/>
      <c r="M26" s="282"/>
      <c r="N26" s="106">
        <f t="shared" si="16"/>
        <v>869.94475687258091</v>
      </c>
      <c r="O26" s="282"/>
      <c r="P26" s="282"/>
      <c r="Q26" s="282"/>
      <c r="R26" s="282"/>
      <c r="S26" s="282"/>
      <c r="T26" s="282"/>
      <c r="U26" s="510">
        <f>0.51/1.1069</f>
        <v>0.46074622820489658</v>
      </c>
      <c r="V26" s="290"/>
      <c r="W26" s="290"/>
      <c r="X26" s="290"/>
      <c r="Y26" s="282"/>
      <c r="Z26" s="290"/>
      <c r="AA26" s="282"/>
      <c r="AB26" s="289"/>
      <c r="AC26" s="290"/>
      <c r="AD26" s="290"/>
      <c r="AE26" s="290"/>
      <c r="AF26" s="282"/>
      <c r="AG26" s="290"/>
      <c r="AH26" s="282"/>
      <c r="AI26" s="510"/>
      <c r="AJ26" s="290"/>
      <c r="AK26" s="290"/>
      <c r="AL26" s="290"/>
      <c r="AM26" s="282"/>
      <c r="AN26" s="290"/>
      <c r="AO26" s="282"/>
      <c r="AP26" s="289"/>
      <c r="AQ26" s="11"/>
      <c r="AR26" s="104" t="s">
        <v>343</v>
      </c>
    </row>
    <row r="27" spans="1:46" ht="16.95" customHeight="1" x14ac:dyDescent="0.3">
      <c r="A27" s="960"/>
      <c r="B27" s="955"/>
      <c r="C27" s="626">
        <v>20</v>
      </c>
      <c r="D27" s="626" t="s">
        <v>82</v>
      </c>
      <c r="E27" s="626">
        <v>2020</v>
      </c>
      <c r="F27" s="617" t="s">
        <v>19</v>
      </c>
      <c r="G27" s="510">
        <f>(13.8*10^6/1.1422)/(10000/24)</f>
        <v>28996.673087025036</v>
      </c>
      <c r="H27" s="282">
        <f>(12*10^6/1.1422)/(10000/24)</f>
        <v>25214.498336543511</v>
      </c>
      <c r="I27" s="107">
        <f>G27+((H27-G27)/(2025-2020))*(2030-2020)</f>
        <v>21432.323586061986</v>
      </c>
      <c r="J27" s="107">
        <v>21432.323586061986</v>
      </c>
      <c r="K27" s="107">
        <v>21432.323586061986</v>
      </c>
      <c r="L27" s="107">
        <v>21432.323586061986</v>
      </c>
      <c r="M27" s="107">
        <v>21432.323586061986</v>
      </c>
      <c r="N27" s="106">
        <f t="shared" si="16"/>
        <v>775.61416850961223</v>
      </c>
      <c r="O27" s="107">
        <f t="shared" ref="O27:T27" si="18">H27*0.02*$AW$4</f>
        <v>674.44710305183662</v>
      </c>
      <c r="P27" s="107">
        <f t="shared" si="18"/>
        <v>573.28003759406124</v>
      </c>
      <c r="Q27" s="107">
        <f t="shared" si="18"/>
        <v>573.28003759406124</v>
      </c>
      <c r="R27" s="107">
        <f t="shared" si="18"/>
        <v>573.28003759406124</v>
      </c>
      <c r="S27" s="107">
        <f t="shared" si="18"/>
        <v>573.28003759406124</v>
      </c>
      <c r="T27" s="107">
        <f t="shared" si="18"/>
        <v>573.28003759406124</v>
      </c>
      <c r="U27" s="510"/>
      <c r="V27" s="290"/>
      <c r="W27" s="290"/>
      <c r="X27" s="290"/>
      <c r="Y27" s="282"/>
      <c r="Z27" s="290"/>
      <c r="AA27" s="282"/>
      <c r="AB27" s="289"/>
      <c r="AC27" s="290"/>
      <c r="AD27" s="290"/>
      <c r="AE27" s="290"/>
      <c r="AF27" s="282"/>
      <c r="AG27" s="290"/>
      <c r="AH27" s="282"/>
      <c r="AI27" s="510"/>
      <c r="AJ27" s="290"/>
      <c r="AK27" s="290"/>
      <c r="AL27" s="290"/>
      <c r="AM27" s="282"/>
      <c r="AN27" s="290"/>
      <c r="AO27" s="282"/>
      <c r="AP27" s="289"/>
      <c r="AQ27" s="11"/>
      <c r="AR27" s="116"/>
    </row>
    <row r="28" spans="1:46" ht="16.95" customHeight="1" x14ac:dyDescent="0.3">
      <c r="A28" s="960"/>
      <c r="B28" s="955"/>
      <c r="C28" s="626">
        <v>21</v>
      </c>
      <c r="D28" s="626" t="s">
        <v>84</v>
      </c>
      <c r="E28" s="626">
        <v>2019</v>
      </c>
      <c r="F28" s="617" t="s">
        <v>19</v>
      </c>
      <c r="G28" s="510">
        <f>2.23/(1/8760)</f>
        <v>19534.8</v>
      </c>
      <c r="H28" s="290"/>
      <c r="I28" s="290"/>
      <c r="J28" s="290"/>
      <c r="K28" s="290"/>
      <c r="L28" s="282"/>
      <c r="M28" s="290"/>
      <c r="N28" s="510">
        <f t="shared" si="16"/>
        <v>522.52434662172686</v>
      </c>
      <c r="O28" s="282"/>
      <c r="P28" s="282"/>
      <c r="Q28" s="282"/>
      <c r="R28" s="290"/>
      <c r="S28" s="282"/>
      <c r="T28" s="290"/>
      <c r="U28" s="510"/>
      <c r="V28" s="290"/>
      <c r="W28" s="290"/>
      <c r="X28" s="290"/>
      <c r="Y28" s="290"/>
      <c r="Z28" s="290"/>
      <c r="AA28" s="290"/>
      <c r="AB28" s="289"/>
      <c r="AC28" s="290"/>
      <c r="AD28" s="290"/>
      <c r="AE28" s="290"/>
      <c r="AF28" s="290"/>
      <c r="AG28" s="290"/>
      <c r="AH28" s="290"/>
      <c r="AI28" s="510"/>
      <c r="AJ28" s="290"/>
      <c r="AK28" s="290"/>
      <c r="AL28" s="290"/>
      <c r="AM28" s="290"/>
      <c r="AN28" s="290"/>
      <c r="AO28" s="290"/>
      <c r="AP28" s="289"/>
      <c r="AQ28" s="11"/>
      <c r="AR28" s="116"/>
    </row>
    <row r="29" spans="1:46" ht="16.2" customHeight="1" x14ac:dyDescent="0.3">
      <c r="A29" s="960"/>
      <c r="B29" s="310" t="s">
        <v>267</v>
      </c>
      <c r="C29" s="628"/>
      <c r="D29" s="629"/>
      <c r="E29" s="628"/>
      <c r="F29" s="628"/>
      <c r="G29" s="312">
        <f t="shared" ref="G29:U29" si="19">MIN(G23:G28)</f>
        <v>19534.8</v>
      </c>
      <c r="H29" s="318">
        <f t="shared" si="19"/>
        <v>25214.498336543511</v>
      </c>
      <c r="I29" s="313">
        <f t="shared" si="19"/>
        <v>21432.323586061986</v>
      </c>
      <c r="J29" s="313">
        <f t="shared" si="19"/>
        <v>21432.323586061986</v>
      </c>
      <c r="K29" s="313">
        <f t="shared" si="19"/>
        <v>21432.323586061986</v>
      </c>
      <c r="L29" s="313">
        <f t="shared" si="19"/>
        <v>21025.64</v>
      </c>
      <c r="M29" s="313">
        <f t="shared" si="19"/>
        <v>21025.64</v>
      </c>
      <c r="N29" s="312">
        <f t="shared" si="19"/>
        <v>522.52434662172686</v>
      </c>
      <c r="O29" s="313">
        <f t="shared" si="19"/>
        <v>674.44710305183662</v>
      </c>
      <c r="P29" s="313">
        <f t="shared" si="19"/>
        <v>573.28003759406124</v>
      </c>
      <c r="Q29" s="313">
        <f t="shared" si="19"/>
        <v>573.28003759406124</v>
      </c>
      <c r="R29" s="313">
        <f t="shared" si="19"/>
        <v>573.28003759406124</v>
      </c>
      <c r="S29" s="313">
        <f t="shared" si="19"/>
        <v>573.28003759406124</v>
      </c>
      <c r="T29" s="313">
        <f t="shared" si="19"/>
        <v>573.28003759406124</v>
      </c>
      <c r="U29" s="312">
        <f t="shared" si="19"/>
        <v>0.31619839190532117</v>
      </c>
      <c r="V29" s="318"/>
      <c r="W29" s="318"/>
      <c r="X29" s="318"/>
      <c r="Y29" s="313"/>
      <c r="Z29" s="318"/>
      <c r="AA29" s="313"/>
      <c r="AB29" s="317">
        <f>MIN(AB23:AB28)</f>
        <v>30</v>
      </c>
      <c r="AC29" s="318">
        <f>MIN(AC23:AC28)</f>
        <v>30</v>
      </c>
      <c r="AD29" s="318">
        <f>MIN(AD23:AD28)</f>
        <v>30</v>
      </c>
      <c r="AE29" s="318">
        <f>MIN(AE23:AE28)</f>
        <v>30</v>
      </c>
      <c r="AF29" s="318">
        <f t="shared" ref="AF29:AH29" si="20">MIN(AF23:AF28)</f>
        <v>30</v>
      </c>
      <c r="AG29" s="318">
        <f t="shared" si="20"/>
        <v>30</v>
      </c>
      <c r="AH29" s="318">
        <f t="shared" si="20"/>
        <v>30</v>
      </c>
      <c r="AI29" s="312"/>
      <c r="AJ29" s="318"/>
      <c r="AK29" s="318"/>
      <c r="AL29" s="318"/>
      <c r="AM29" s="313"/>
      <c r="AN29" s="318"/>
      <c r="AO29" s="313"/>
      <c r="AP29" s="317"/>
      <c r="AQ29" s="321"/>
      <c r="AR29" s="104"/>
    </row>
    <row r="30" spans="1:46" ht="16.95" customHeight="1" x14ac:dyDescent="0.3">
      <c r="A30" s="960"/>
      <c r="B30" s="322" t="s">
        <v>268</v>
      </c>
      <c r="C30" s="630"/>
      <c r="D30" s="630"/>
      <c r="E30" s="630"/>
      <c r="F30" s="630"/>
      <c r="G30" s="323">
        <f>MEDIAN(G23:G28)</f>
        <v>30759.96812721475</v>
      </c>
      <c r="H30" s="324">
        <f t="shared" ref="H30:U30" si="21">MEDIAN(H23:H28)</f>
        <v>31061.094168271757</v>
      </c>
      <c r="I30" s="324">
        <f t="shared" si="21"/>
        <v>27157.186793030996</v>
      </c>
      <c r="J30" s="324">
        <f t="shared" si="21"/>
        <v>23864.881793030992</v>
      </c>
      <c r="K30" s="324">
        <f t="shared" si="21"/>
        <v>22546.931793030992</v>
      </c>
      <c r="L30" s="324">
        <f t="shared" si="21"/>
        <v>21228.981793030995</v>
      </c>
      <c r="M30" s="324">
        <f t="shared" si="21"/>
        <v>21228.981793030995</v>
      </c>
      <c r="N30" s="323">
        <f t="shared" si="21"/>
        <v>822.77946269109657</v>
      </c>
      <c r="O30" s="324">
        <f t="shared" si="21"/>
        <v>1324.4446442715439</v>
      </c>
      <c r="P30" s="324">
        <f t="shared" si="21"/>
        <v>1166.1817439149206</v>
      </c>
      <c r="Q30" s="324">
        <f t="shared" si="21"/>
        <v>990.05406213630545</v>
      </c>
      <c r="R30" s="324">
        <f t="shared" si="21"/>
        <v>919.54799474579158</v>
      </c>
      <c r="S30" s="324">
        <f t="shared" si="21"/>
        <v>849.04192735527772</v>
      </c>
      <c r="T30" s="324">
        <f t="shared" si="21"/>
        <v>708.02979257425</v>
      </c>
      <c r="U30" s="323">
        <f t="shared" si="21"/>
        <v>0.46074622820489658</v>
      </c>
      <c r="V30" s="311"/>
      <c r="W30" s="311"/>
      <c r="X30" s="311"/>
      <c r="Y30" s="324"/>
      <c r="Z30" s="311"/>
      <c r="AA30" s="324"/>
      <c r="AB30" s="328">
        <f t="shared" ref="AB30:AH30" si="22">MEDIAN(AB23:AB28)</f>
        <v>30</v>
      </c>
      <c r="AC30" s="311">
        <f t="shared" si="22"/>
        <v>30</v>
      </c>
      <c r="AD30" s="311">
        <f t="shared" si="22"/>
        <v>30</v>
      </c>
      <c r="AE30" s="311">
        <f t="shared" si="22"/>
        <v>30</v>
      </c>
      <c r="AF30" s="311">
        <f t="shared" si="22"/>
        <v>30</v>
      </c>
      <c r="AG30" s="311">
        <f t="shared" si="22"/>
        <v>30</v>
      </c>
      <c r="AH30" s="311">
        <f t="shared" si="22"/>
        <v>30</v>
      </c>
      <c r="AI30" s="323"/>
      <c r="AJ30" s="311"/>
      <c r="AK30" s="311"/>
      <c r="AL30" s="311"/>
      <c r="AM30" s="324"/>
      <c r="AN30" s="311"/>
      <c r="AO30" s="324"/>
      <c r="AP30" s="328"/>
      <c r="AQ30" s="331"/>
      <c r="AR30" s="116"/>
    </row>
    <row r="31" spans="1:46" ht="16.95" customHeight="1" x14ac:dyDescent="0.3">
      <c r="A31" s="961"/>
      <c r="B31" s="332" t="s">
        <v>269</v>
      </c>
      <c r="C31" s="631"/>
      <c r="D31" s="631"/>
      <c r="E31" s="631"/>
      <c r="F31" s="631"/>
      <c r="G31" s="334">
        <f>MAX(G23:G28)</f>
        <v>40219.78</v>
      </c>
      <c r="H31" s="333">
        <f t="shared" ref="H31:U31" si="23">MAX(H23:H28)</f>
        <v>36907.69</v>
      </c>
      <c r="I31" s="333">
        <f t="shared" si="23"/>
        <v>32882.050000000003</v>
      </c>
      <c r="J31" s="333">
        <f t="shared" si="23"/>
        <v>26297.439999999999</v>
      </c>
      <c r="K31" s="333">
        <f t="shared" si="23"/>
        <v>23661.54</v>
      </c>
      <c r="L31" s="333">
        <f t="shared" si="23"/>
        <v>21432.323586061986</v>
      </c>
      <c r="M31" s="333">
        <f t="shared" si="23"/>
        <v>21432.323586061986</v>
      </c>
      <c r="N31" s="334">
        <f t="shared" si="23"/>
        <v>2151.6283008548435</v>
      </c>
      <c r="O31" s="335">
        <f t="shared" si="23"/>
        <v>1974.4421854912512</v>
      </c>
      <c r="P31" s="335">
        <f t="shared" si="23"/>
        <v>1759.08345023578</v>
      </c>
      <c r="Q31" s="335">
        <f t="shared" si="23"/>
        <v>1406.8280866785497</v>
      </c>
      <c r="R31" s="333">
        <f t="shared" si="23"/>
        <v>1265.8159518975219</v>
      </c>
      <c r="S31" s="335">
        <f t="shared" si="23"/>
        <v>1124.8038171164942</v>
      </c>
      <c r="T31" s="333">
        <f t="shared" si="23"/>
        <v>842.77954755443875</v>
      </c>
      <c r="U31" s="334">
        <f t="shared" si="23"/>
        <v>0.57819134519830162</v>
      </c>
      <c r="V31" s="333"/>
      <c r="W31" s="333"/>
      <c r="X31" s="333"/>
      <c r="Y31" s="333"/>
      <c r="Z31" s="333"/>
      <c r="AA31" s="333"/>
      <c r="AB31" s="339">
        <f t="shared" ref="AB31:AH31" si="24">MAX(AB23:AB28)</f>
        <v>30</v>
      </c>
      <c r="AC31" s="333">
        <f t="shared" si="24"/>
        <v>30</v>
      </c>
      <c r="AD31" s="333">
        <f t="shared" si="24"/>
        <v>30</v>
      </c>
      <c r="AE31" s="333">
        <f t="shared" si="24"/>
        <v>30</v>
      </c>
      <c r="AF31" s="333">
        <f t="shared" si="24"/>
        <v>30</v>
      </c>
      <c r="AG31" s="333">
        <f t="shared" si="24"/>
        <v>30</v>
      </c>
      <c r="AH31" s="333">
        <f t="shared" si="24"/>
        <v>30</v>
      </c>
      <c r="AI31" s="334"/>
      <c r="AJ31" s="333"/>
      <c r="AK31" s="333"/>
      <c r="AL31" s="333"/>
      <c r="AM31" s="333"/>
      <c r="AN31" s="333"/>
      <c r="AO31" s="333"/>
      <c r="AP31" s="339"/>
      <c r="AQ31" s="342"/>
      <c r="AR31" s="116"/>
    </row>
    <row r="32" spans="1:46" ht="16.95" customHeight="1" x14ac:dyDescent="0.3">
      <c r="A32" s="632"/>
      <c r="B32" s="632"/>
      <c r="C32" s="633"/>
      <c r="D32" s="633"/>
      <c r="E32" s="633"/>
      <c r="F32" s="633"/>
      <c r="G32" s="440"/>
      <c r="H32" s="439"/>
      <c r="I32" s="439"/>
      <c r="J32" s="439"/>
      <c r="K32" s="439"/>
      <c r="L32" s="439"/>
      <c r="M32" s="439"/>
      <c r="N32" s="440"/>
      <c r="O32" s="441"/>
      <c r="P32" s="441"/>
      <c r="Q32" s="441"/>
      <c r="R32" s="439"/>
      <c r="S32" s="441"/>
      <c r="T32" s="439"/>
      <c r="U32" s="440"/>
      <c r="V32" s="439"/>
      <c r="W32" s="439"/>
      <c r="X32" s="439"/>
      <c r="Y32" s="439"/>
      <c r="Z32" s="439"/>
      <c r="AA32" s="439"/>
      <c r="AB32" s="445"/>
      <c r="AC32" s="439"/>
      <c r="AD32" s="439"/>
      <c r="AE32" s="439"/>
      <c r="AF32" s="439"/>
      <c r="AG32" s="439"/>
      <c r="AH32" s="439"/>
      <c r="AI32" s="440"/>
      <c r="AJ32" s="439"/>
      <c r="AK32" s="439"/>
      <c r="AL32" s="439"/>
      <c r="AM32" s="439"/>
      <c r="AN32" s="439"/>
      <c r="AO32" s="439"/>
      <c r="AP32" s="445"/>
      <c r="AQ32" s="446"/>
      <c r="AR32" s="634"/>
      <c r="AS32" s="635"/>
      <c r="AT32" s="635"/>
    </row>
    <row r="33" spans="1:44" x14ac:dyDescent="0.3">
      <c r="A33" s="952" t="s">
        <v>130</v>
      </c>
      <c r="B33" s="841" t="s">
        <v>340</v>
      </c>
      <c r="C33" s="623">
        <v>4</v>
      </c>
      <c r="D33" s="623" t="s">
        <v>31</v>
      </c>
      <c r="E33" s="623">
        <v>2022</v>
      </c>
      <c r="F33" s="624" t="s">
        <v>19</v>
      </c>
      <c r="G33" s="508">
        <v>40219.78</v>
      </c>
      <c r="H33" s="281">
        <v>36907.69</v>
      </c>
      <c r="I33" s="281">
        <v>32882.050000000003</v>
      </c>
      <c r="J33" s="281">
        <v>26297.439999999999</v>
      </c>
      <c r="K33" s="93">
        <f>J33+((L33-J33)/(2050-2040))*(2045-2040)</f>
        <v>23661.54</v>
      </c>
      <c r="L33" s="281">
        <v>21025.64</v>
      </c>
      <c r="M33" s="93">
        <v>21025.64</v>
      </c>
      <c r="N33" s="508">
        <f>G33*0.04*$AW$5</f>
        <v>937.8700132410271</v>
      </c>
      <c r="O33" s="281">
        <f>H33*0.04*$AW$5</f>
        <v>860.63662478998458</v>
      </c>
      <c r="P33" s="281">
        <f>I33*0.04*$AW$5</f>
        <v>766.76423065695838</v>
      </c>
      <c r="Q33" s="281">
        <f>J33*0.04*$AW$5</f>
        <v>613.22017179122111</v>
      </c>
      <c r="R33" s="93">
        <f>Q33+((S33-Q33)/(2050-2040))*(2045-2040)</f>
        <v>551.75460514958297</v>
      </c>
      <c r="S33" s="281">
        <f>L33*0.04*$AW$5</f>
        <v>490.28903850794478</v>
      </c>
      <c r="T33" s="93">
        <f>R33+((S33-R33)/(2050-2045))*(2060-2045)</f>
        <v>367.3579052246684</v>
      </c>
      <c r="U33" s="508"/>
      <c r="V33" s="279"/>
      <c r="W33" s="279"/>
      <c r="X33" s="279"/>
      <c r="Y33" s="281"/>
      <c r="Z33" s="279"/>
      <c r="AA33" s="281"/>
      <c r="AB33" s="278">
        <v>30</v>
      </c>
      <c r="AC33" s="279">
        <v>30</v>
      </c>
      <c r="AD33" s="279">
        <v>30</v>
      </c>
      <c r="AE33" s="279">
        <v>30</v>
      </c>
      <c r="AF33" s="625">
        <f>AE33+((AG33-AE33)/(2050-2040))*(2045-2040)</f>
        <v>30</v>
      </c>
      <c r="AG33" s="279">
        <v>30</v>
      </c>
      <c r="AH33" s="101">
        <v>30</v>
      </c>
      <c r="AI33" s="278"/>
      <c r="AJ33" s="279"/>
      <c r="AK33" s="279"/>
      <c r="AL33" s="279"/>
      <c r="AM33" s="281"/>
      <c r="AN33" s="279"/>
      <c r="AO33" s="281"/>
      <c r="AP33" s="278"/>
      <c r="AQ33" s="7"/>
      <c r="AR33" s="104"/>
    </row>
    <row r="34" spans="1:44" x14ac:dyDescent="0.3">
      <c r="A34" s="953"/>
      <c r="B34" s="955"/>
      <c r="C34" s="626">
        <v>19</v>
      </c>
      <c r="D34" s="627" t="s">
        <v>80</v>
      </c>
      <c r="E34" s="626">
        <v>2016</v>
      </c>
      <c r="F34" s="617" t="s">
        <v>19</v>
      </c>
      <c r="G34" s="289">
        <f>(1.2*10^6/1.1069)/(10^3/24)</f>
        <v>26018.610533923573</v>
      </c>
      <c r="H34" s="290"/>
      <c r="I34" s="282"/>
      <c r="J34" s="282"/>
      <c r="K34" s="282"/>
      <c r="L34" s="282"/>
      <c r="M34" s="282"/>
      <c r="N34" s="106">
        <f t="shared" ref="N34:N38" si="25">G34*0.02*$AW$5</f>
        <v>303.35912585752618</v>
      </c>
      <c r="O34" s="282"/>
      <c r="P34" s="282"/>
      <c r="Q34" s="282"/>
      <c r="R34" s="282"/>
      <c r="S34" s="282"/>
      <c r="T34" s="282"/>
      <c r="U34" s="510">
        <f>0.35/1.1069</f>
        <v>0.31619839190532117</v>
      </c>
      <c r="V34" s="290"/>
      <c r="W34" s="290"/>
      <c r="X34" s="290"/>
      <c r="Y34" s="282"/>
      <c r="Z34" s="290"/>
      <c r="AA34" s="282"/>
      <c r="AB34" s="289"/>
      <c r="AC34" s="290"/>
      <c r="AD34" s="290"/>
      <c r="AE34" s="290"/>
      <c r="AF34" s="282"/>
      <c r="AG34" s="290"/>
      <c r="AH34" s="282"/>
      <c r="AI34" s="289"/>
      <c r="AJ34" s="290"/>
      <c r="AK34" s="290"/>
      <c r="AL34" s="290"/>
      <c r="AM34" s="282"/>
      <c r="AN34" s="290"/>
      <c r="AO34" s="282"/>
      <c r="AP34" s="289"/>
      <c r="AQ34" s="11"/>
      <c r="AR34" s="104" t="s">
        <v>341</v>
      </c>
    </row>
    <row r="35" spans="1:44" x14ac:dyDescent="0.3">
      <c r="A35" s="953"/>
      <c r="B35" s="955"/>
      <c r="C35" s="626">
        <v>19</v>
      </c>
      <c r="D35" s="627" t="s">
        <v>80</v>
      </c>
      <c r="E35" s="626">
        <v>2016</v>
      </c>
      <c r="F35" s="617" t="s">
        <v>19</v>
      </c>
      <c r="G35" s="289">
        <f t="shared" ref="G35:G36" si="26">(1.5*10^6/1.1069)/(10^3/24)</f>
        <v>32523.263167404464</v>
      </c>
      <c r="H35" s="290"/>
      <c r="I35" s="282"/>
      <c r="J35" s="282"/>
      <c r="K35" s="282"/>
      <c r="L35" s="282"/>
      <c r="M35" s="282"/>
      <c r="N35" s="106">
        <f t="shared" si="25"/>
        <v>379.19890732190771</v>
      </c>
      <c r="O35" s="282"/>
      <c r="P35" s="282"/>
      <c r="Q35" s="282"/>
      <c r="R35" s="282"/>
      <c r="S35" s="282"/>
      <c r="T35" s="282"/>
      <c r="U35" s="510">
        <f>0.64/1.1069</f>
        <v>0.57819134519830162</v>
      </c>
      <c r="V35" s="290"/>
      <c r="W35" s="290"/>
      <c r="X35" s="290"/>
      <c r="Y35" s="282"/>
      <c r="Z35" s="290"/>
      <c r="AA35" s="282"/>
      <c r="AB35" s="289"/>
      <c r="AC35" s="290"/>
      <c r="AD35" s="290"/>
      <c r="AE35" s="290"/>
      <c r="AF35" s="282"/>
      <c r="AG35" s="290"/>
      <c r="AH35" s="282"/>
      <c r="AI35" s="289"/>
      <c r="AJ35" s="290"/>
      <c r="AK35" s="290"/>
      <c r="AL35" s="290"/>
      <c r="AM35" s="282"/>
      <c r="AN35" s="290"/>
      <c r="AO35" s="282"/>
      <c r="AP35" s="289"/>
      <c r="AQ35" s="11"/>
      <c r="AR35" s="104" t="s">
        <v>342</v>
      </c>
    </row>
    <row r="36" spans="1:44" ht="16.2" customHeight="1" x14ac:dyDescent="0.3">
      <c r="A36" s="953"/>
      <c r="B36" s="955"/>
      <c r="C36" s="626">
        <v>19</v>
      </c>
      <c r="D36" s="627" t="s">
        <v>80</v>
      </c>
      <c r="E36" s="626">
        <v>2016</v>
      </c>
      <c r="F36" s="617" t="s">
        <v>19</v>
      </c>
      <c r="G36" s="289">
        <f t="shared" si="26"/>
        <v>32523.263167404464</v>
      </c>
      <c r="H36" s="290"/>
      <c r="I36" s="282"/>
      <c r="J36" s="282"/>
      <c r="K36" s="282"/>
      <c r="L36" s="282"/>
      <c r="M36" s="282"/>
      <c r="N36" s="106">
        <f t="shared" si="25"/>
        <v>379.19890732190771</v>
      </c>
      <c r="O36" s="282"/>
      <c r="P36" s="282"/>
      <c r="Q36" s="282"/>
      <c r="R36" s="282"/>
      <c r="S36" s="282"/>
      <c r="T36" s="282"/>
      <c r="U36" s="510">
        <f>0.51/1.1069</f>
        <v>0.46074622820489658</v>
      </c>
      <c r="V36" s="290"/>
      <c r="W36" s="290"/>
      <c r="X36" s="290"/>
      <c r="Y36" s="282"/>
      <c r="Z36" s="290"/>
      <c r="AA36" s="282"/>
      <c r="AB36" s="289"/>
      <c r="AC36" s="290"/>
      <c r="AD36" s="290"/>
      <c r="AE36" s="290"/>
      <c r="AF36" s="282"/>
      <c r="AG36" s="290"/>
      <c r="AH36" s="282"/>
      <c r="AI36" s="510"/>
      <c r="AJ36" s="290"/>
      <c r="AK36" s="290"/>
      <c r="AL36" s="290"/>
      <c r="AM36" s="282"/>
      <c r="AN36" s="290"/>
      <c r="AO36" s="282"/>
      <c r="AP36" s="289"/>
      <c r="AQ36" s="11"/>
      <c r="AR36" s="104" t="s">
        <v>343</v>
      </c>
    </row>
    <row r="37" spans="1:44" ht="16.95" customHeight="1" x14ac:dyDescent="0.3">
      <c r="A37" s="953"/>
      <c r="B37" s="955"/>
      <c r="C37" s="626">
        <v>20</v>
      </c>
      <c r="D37" s="626" t="s">
        <v>82</v>
      </c>
      <c r="E37" s="626">
        <v>2020</v>
      </c>
      <c r="F37" s="617" t="s">
        <v>19</v>
      </c>
      <c r="G37" s="510">
        <f>(13.8*10^6/1.1422)/(10000/24)</f>
        <v>28996.673087025036</v>
      </c>
      <c r="H37" s="282">
        <f>(12*10^6/1.1422)/(10000/24)</f>
        <v>25214.498336543511</v>
      </c>
      <c r="I37" s="107">
        <f>G37+((H37-G37)/(2025-2020))*(2030-2020)</f>
        <v>21432.323586061986</v>
      </c>
      <c r="J37" s="107">
        <v>21432.323586061986</v>
      </c>
      <c r="K37" s="107">
        <v>21432.323586061986</v>
      </c>
      <c r="L37" s="107">
        <v>21432.323586061986</v>
      </c>
      <c r="M37" s="107">
        <v>21432.323586061986</v>
      </c>
      <c r="N37" s="106">
        <f t="shared" si="25"/>
        <v>338.08128950573462</v>
      </c>
      <c r="O37" s="107">
        <f t="shared" ref="O37:T37" si="27">H37*0.02*$AW$5</f>
        <v>293.98373000498657</v>
      </c>
      <c r="P37" s="107">
        <f t="shared" si="27"/>
        <v>249.88617050423863</v>
      </c>
      <c r="Q37" s="107">
        <f t="shared" si="27"/>
        <v>249.88617050423863</v>
      </c>
      <c r="R37" s="107">
        <f t="shared" si="27"/>
        <v>249.88617050423863</v>
      </c>
      <c r="S37" s="107">
        <f t="shared" si="27"/>
        <v>249.88617050423863</v>
      </c>
      <c r="T37" s="107">
        <f t="shared" si="27"/>
        <v>249.88617050423863</v>
      </c>
      <c r="U37" s="510"/>
      <c r="V37" s="290"/>
      <c r="W37" s="290"/>
      <c r="X37" s="290"/>
      <c r="Y37" s="282"/>
      <c r="Z37" s="290"/>
      <c r="AA37" s="282"/>
      <c r="AB37" s="289"/>
      <c r="AC37" s="290"/>
      <c r="AD37" s="290"/>
      <c r="AE37" s="290"/>
      <c r="AF37" s="282"/>
      <c r="AG37" s="290"/>
      <c r="AH37" s="282"/>
      <c r="AI37" s="510"/>
      <c r="AJ37" s="290"/>
      <c r="AK37" s="290"/>
      <c r="AL37" s="290"/>
      <c r="AM37" s="282"/>
      <c r="AN37" s="290"/>
      <c r="AO37" s="282"/>
      <c r="AP37" s="289"/>
      <c r="AQ37" s="11"/>
      <c r="AR37" s="116"/>
    </row>
    <row r="38" spans="1:44" ht="16.95" customHeight="1" x14ac:dyDescent="0.3">
      <c r="A38" s="953"/>
      <c r="B38" s="955"/>
      <c r="C38" s="626">
        <v>21</v>
      </c>
      <c r="D38" s="626" t="s">
        <v>84</v>
      </c>
      <c r="E38" s="626">
        <v>2019</v>
      </c>
      <c r="F38" s="617" t="s">
        <v>19</v>
      </c>
      <c r="G38" s="510">
        <f>2.23/(1/8760)</f>
        <v>19534.8</v>
      </c>
      <c r="H38" s="290"/>
      <c r="I38" s="290"/>
      <c r="J38" s="290"/>
      <c r="K38" s="290"/>
      <c r="L38" s="282"/>
      <c r="M38" s="290"/>
      <c r="N38" s="510">
        <f t="shared" si="25"/>
        <v>227.76234895691641</v>
      </c>
      <c r="O38" s="282"/>
      <c r="P38" s="282"/>
      <c r="Q38" s="282"/>
      <c r="R38" s="290"/>
      <c r="S38" s="282"/>
      <c r="T38" s="290"/>
      <c r="U38" s="510"/>
      <c r="V38" s="290"/>
      <c r="W38" s="290"/>
      <c r="X38" s="290"/>
      <c r="Y38" s="290"/>
      <c r="Z38" s="290"/>
      <c r="AA38" s="290"/>
      <c r="AB38" s="289"/>
      <c r="AC38" s="290"/>
      <c r="AD38" s="290"/>
      <c r="AE38" s="290"/>
      <c r="AF38" s="290"/>
      <c r="AG38" s="290"/>
      <c r="AH38" s="290"/>
      <c r="AI38" s="510"/>
      <c r="AJ38" s="290"/>
      <c r="AK38" s="290"/>
      <c r="AL38" s="290"/>
      <c r="AM38" s="290"/>
      <c r="AN38" s="290"/>
      <c r="AO38" s="290"/>
      <c r="AP38" s="289"/>
      <c r="AQ38" s="11"/>
      <c r="AR38" s="116"/>
    </row>
    <row r="39" spans="1:44" ht="16.2" customHeight="1" x14ac:dyDescent="0.3">
      <c r="A39" s="953"/>
      <c r="B39" s="310" t="s">
        <v>267</v>
      </c>
      <c r="C39" s="628"/>
      <c r="D39" s="629"/>
      <c r="E39" s="628"/>
      <c r="F39" s="628"/>
      <c r="G39" s="312">
        <f t="shared" ref="G39:U39" si="28">MIN(G33:G38)</f>
        <v>19534.8</v>
      </c>
      <c r="H39" s="318">
        <f t="shared" si="28"/>
        <v>25214.498336543511</v>
      </c>
      <c r="I39" s="313">
        <f t="shared" si="28"/>
        <v>21432.323586061986</v>
      </c>
      <c r="J39" s="313">
        <f t="shared" si="28"/>
        <v>21432.323586061986</v>
      </c>
      <c r="K39" s="313">
        <f t="shared" si="28"/>
        <v>21432.323586061986</v>
      </c>
      <c r="L39" s="313">
        <f t="shared" si="28"/>
        <v>21025.64</v>
      </c>
      <c r="M39" s="313">
        <f t="shared" si="28"/>
        <v>21025.64</v>
      </c>
      <c r="N39" s="312">
        <f t="shared" si="28"/>
        <v>227.76234895691641</v>
      </c>
      <c r="O39" s="313">
        <f t="shared" si="28"/>
        <v>293.98373000498657</v>
      </c>
      <c r="P39" s="313">
        <f t="shared" si="28"/>
        <v>249.88617050423863</v>
      </c>
      <c r="Q39" s="313">
        <f t="shared" si="28"/>
        <v>249.88617050423863</v>
      </c>
      <c r="R39" s="313">
        <f t="shared" si="28"/>
        <v>249.88617050423863</v>
      </c>
      <c r="S39" s="313">
        <f t="shared" si="28"/>
        <v>249.88617050423863</v>
      </c>
      <c r="T39" s="313">
        <f t="shared" si="28"/>
        <v>249.88617050423863</v>
      </c>
      <c r="U39" s="312">
        <f t="shared" si="28"/>
        <v>0.31619839190532117</v>
      </c>
      <c r="V39" s="318"/>
      <c r="W39" s="318"/>
      <c r="X39" s="318"/>
      <c r="Y39" s="313"/>
      <c r="Z39" s="318"/>
      <c r="AA39" s="313"/>
      <c r="AB39" s="317">
        <f>MIN(AB33:AB38)</f>
        <v>30</v>
      </c>
      <c r="AC39" s="318">
        <f>MIN(AC33:AC38)</f>
        <v>30</v>
      </c>
      <c r="AD39" s="318">
        <f>MIN(AD33:AD38)</f>
        <v>30</v>
      </c>
      <c r="AE39" s="318">
        <f>MIN(AE33:AE38)</f>
        <v>30</v>
      </c>
      <c r="AF39" s="318">
        <f t="shared" ref="AF39:AH39" si="29">MIN(AF33:AF38)</f>
        <v>30</v>
      </c>
      <c r="AG39" s="318">
        <f t="shared" si="29"/>
        <v>30</v>
      </c>
      <c r="AH39" s="318">
        <f t="shared" si="29"/>
        <v>30</v>
      </c>
      <c r="AI39" s="312"/>
      <c r="AJ39" s="318"/>
      <c r="AK39" s="318"/>
      <c r="AL39" s="318"/>
      <c r="AM39" s="313"/>
      <c r="AN39" s="318"/>
      <c r="AO39" s="313"/>
      <c r="AP39" s="317"/>
      <c r="AQ39" s="321"/>
      <c r="AR39" s="104"/>
    </row>
    <row r="40" spans="1:44" ht="16.95" customHeight="1" x14ac:dyDescent="0.3">
      <c r="A40" s="953"/>
      <c r="B40" s="322" t="s">
        <v>268</v>
      </c>
      <c r="C40" s="630"/>
      <c r="D40" s="630"/>
      <c r="E40" s="630"/>
      <c r="F40" s="630"/>
      <c r="G40" s="323">
        <f>MEDIAN(G33:G38)</f>
        <v>30759.96812721475</v>
      </c>
      <c r="H40" s="324">
        <f t="shared" ref="H40:U40" si="30">MEDIAN(H33:H38)</f>
        <v>31061.094168271757</v>
      </c>
      <c r="I40" s="324">
        <f t="shared" si="30"/>
        <v>27157.186793030996</v>
      </c>
      <c r="J40" s="324">
        <f t="shared" si="30"/>
        <v>23864.881793030992</v>
      </c>
      <c r="K40" s="324">
        <f t="shared" si="30"/>
        <v>22546.931793030992</v>
      </c>
      <c r="L40" s="324">
        <f t="shared" si="30"/>
        <v>21228.981793030995</v>
      </c>
      <c r="M40" s="324">
        <f t="shared" si="30"/>
        <v>21228.981793030995</v>
      </c>
      <c r="N40" s="323">
        <f t="shared" si="30"/>
        <v>358.64009841382119</v>
      </c>
      <c r="O40" s="324">
        <f t="shared" si="30"/>
        <v>577.31017739748563</v>
      </c>
      <c r="P40" s="324">
        <f t="shared" si="30"/>
        <v>508.3252005805985</v>
      </c>
      <c r="Q40" s="324">
        <f t="shared" si="30"/>
        <v>431.55317114772987</v>
      </c>
      <c r="R40" s="324">
        <f t="shared" si="30"/>
        <v>400.8203878269108</v>
      </c>
      <c r="S40" s="324">
        <f t="shared" si="30"/>
        <v>370.08760450609168</v>
      </c>
      <c r="T40" s="324">
        <f t="shared" si="30"/>
        <v>308.62203786445355</v>
      </c>
      <c r="U40" s="323">
        <f t="shared" si="30"/>
        <v>0.46074622820489658</v>
      </c>
      <c r="V40" s="311"/>
      <c r="W40" s="311"/>
      <c r="X40" s="311"/>
      <c r="Y40" s="324"/>
      <c r="Z40" s="311"/>
      <c r="AA40" s="324"/>
      <c r="AB40" s="328">
        <f t="shared" ref="AB40:AH40" si="31">MEDIAN(AB33:AB38)</f>
        <v>30</v>
      </c>
      <c r="AC40" s="311">
        <f t="shared" si="31"/>
        <v>30</v>
      </c>
      <c r="AD40" s="311">
        <f t="shared" si="31"/>
        <v>30</v>
      </c>
      <c r="AE40" s="311">
        <f t="shared" si="31"/>
        <v>30</v>
      </c>
      <c r="AF40" s="311">
        <f t="shared" si="31"/>
        <v>30</v>
      </c>
      <c r="AG40" s="311">
        <f t="shared" si="31"/>
        <v>30</v>
      </c>
      <c r="AH40" s="311">
        <f t="shared" si="31"/>
        <v>30</v>
      </c>
      <c r="AI40" s="323"/>
      <c r="AJ40" s="311"/>
      <c r="AK40" s="311"/>
      <c r="AL40" s="311"/>
      <c r="AM40" s="324"/>
      <c r="AN40" s="311"/>
      <c r="AO40" s="324"/>
      <c r="AP40" s="328"/>
      <c r="AQ40" s="331"/>
      <c r="AR40" s="116"/>
    </row>
    <row r="41" spans="1:44" ht="16.95" customHeight="1" x14ac:dyDescent="0.3">
      <c r="A41" s="954"/>
      <c r="B41" s="332" t="s">
        <v>269</v>
      </c>
      <c r="C41" s="631"/>
      <c r="D41" s="631"/>
      <c r="E41" s="631"/>
      <c r="F41" s="631"/>
      <c r="G41" s="334">
        <f>MAX(G33:G38)</f>
        <v>40219.78</v>
      </c>
      <c r="H41" s="333">
        <f t="shared" ref="H41:U41" si="32">MAX(H33:H38)</f>
        <v>36907.69</v>
      </c>
      <c r="I41" s="333">
        <f t="shared" si="32"/>
        <v>32882.050000000003</v>
      </c>
      <c r="J41" s="333">
        <f t="shared" si="32"/>
        <v>26297.439999999999</v>
      </c>
      <c r="K41" s="333">
        <f t="shared" si="32"/>
        <v>23661.54</v>
      </c>
      <c r="L41" s="333">
        <f t="shared" si="32"/>
        <v>21432.323586061986</v>
      </c>
      <c r="M41" s="333">
        <f t="shared" si="32"/>
        <v>21432.323586061986</v>
      </c>
      <c r="N41" s="334">
        <f t="shared" si="32"/>
        <v>937.8700132410271</v>
      </c>
      <c r="O41" s="335">
        <f t="shared" si="32"/>
        <v>860.63662478998458</v>
      </c>
      <c r="P41" s="335">
        <f t="shared" si="32"/>
        <v>766.76423065695838</v>
      </c>
      <c r="Q41" s="335">
        <f t="shared" si="32"/>
        <v>613.22017179122111</v>
      </c>
      <c r="R41" s="333">
        <f t="shared" si="32"/>
        <v>551.75460514958297</v>
      </c>
      <c r="S41" s="335">
        <f t="shared" si="32"/>
        <v>490.28903850794478</v>
      </c>
      <c r="T41" s="333">
        <f t="shared" si="32"/>
        <v>367.3579052246684</v>
      </c>
      <c r="U41" s="334">
        <f t="shared" si="32"/>
        <v>0.57819134519830162</v>
      </c>
      <c r="V41" s="333"/>
      <c r="W41" s="333"/>
      <c r="X41" s="333"/>
      <c r="Y41" s="333"/>
      <c r="Z41" s="333"/>
      <c r="AA41" s="333"/>
      <c r="AB41" s="339">
        <f t="shared" ref="AB41:AH41" si="33">MAX(AB33:AB38)</f>
        <v>30</v>
      </c>
      <c r="AC41" s="333">
        <f t="shared" si="33"/>
        <v>30</v>
      </c>
      <c r="AD41" s="333">
        <f t="shared" si="33"/>
        <v>30</v>
      </c>
      <c r="AE41" s="333">
        <f t="shared" si="33"/>
        <v>30</v>
      </c>
      <c r="AF41" s="333">
        <f t="shared" si="33"/>
        <v>30</v>
      </c>
      <c r="AG41" s="333">
        <f t="shared" si="33"/>
        <v>30</v>
      </c>
      <c r="AH41" s="333">
        <f t="shared" si="33"/>
        <v>30</v>
      </c>
      <c r="AI41" s="334"/>
      <c r="AJ41" s="333"/>
      <c r="AK41" s="333"/>
      <c r="AL41" s="333"/>
      <c r="AM41" s="333"/>
      <c r="AN41" s="333"/>
      <c r="AO41" s="333"/>
      <c r="AP41" s="339"/>
      <c r="AQ41" s="342"/>
      <c r="AR41" s="116"/>
    </row>
    <row r="42" spans="1:44" ht="16.95" customHeight="1" x14ac:dyDescent="0.3">
      <c r="A42" s="83"/>
    </row>
    <row r="43" spans="1:44" x14ac:dyDescent="0.3">
      <c r="A43" s="83"/>
    </row>
    <row r="44" spans="1:44" x14ac:dyDescent="0.3">
      <c r="B44" s="616">
        <v>19</v>
      </c>
      <c r="C44" s="81" t="s">
        <v>80</v>
      </c>
      <c r="D44" s="616">
        <v>2016</v>
      </c>
      <c r="E44" s="617" t="s">
        <v>19</v>
      </c>
      <c r="F44" s="14"/>
    </row>
    <row r="45" spans="1:44" ht="16.2" customHeight="1" x14ac:dyDescent="0.3">
      <c r="B45" t="s">
        <v>344</v>
      </c>
      <c r="O45" s="803" t="s">
        <v>527</v>
      </c>
      <c r="P45" s="803"/>
      <c r="Q45" s="803"/>
      <c r="R45" s="803"/>
      <c r="S45" s="803"/>
    </row>
    <row r="46" spans="1:44" ht="16.95" customHeight="1" x14ac:dyDescent="0.3"/>
    <row r="47" spans="1:44" ht="16.95" customHeight="1" x14ac:dyDescent="0.3"/>
    <row r="48" spans="1:44" ht="16.95" customHeight="1" x14ac:dyDescent="0.3">
      <c r="O48" s="794" t="s">
        <v>525</v>
      </c>
      <c r="P48" s="793"/>
      <c r="Q48" s="793"/>
      <c r="R48" s="793"/>
      <c r="S48" s="793"/>
      <c r="T48" s="793"/>
      <c r="U48" s="793"/>
      <c r="V48" s="793"/>
      <c r="W48" s="793"/>
    </row>
    <row r="49" spans="15:38" ht="16.2" customHeight="1" x14ac:dyDescent="0.3"/>
    <row r="50" spans="15:38" ht="16.95" customHeight="1" x14ac:dyDescent="0.3">
      <c r="AF50" t="s">
        <v>346</v>
      </c>
      <c r="AL50" t="s">
        <v>347</v>
      </c>
    </row>
    <row r="51" spans="15:38" ht="16.95" customHeight="1" x14ac:dyDescent="0.3">
      <c r="AF51" s="83" t="s">
        <v>348</v>
      </c>
      <c r="AL51" t="s">
        <v>349</v>
      </c>
    </row>
    <row r="52" spans="15:38" ht="16.95" customHeight="1" x14ac:dyDescent="0.3"/>
    <row r="55" spans="15:38" ht="16.2" customHeight="1" x14ac:dyDescent="0.3"/>
    <row r="56" spans="15:38" ht="16.95" customHeight="1" x14ac:dyDescent="0.3"/>
    <row r="57" spans="15:38" ht="16.95" customHeight="1" x14ac:dyDescent="0.3"/>
    <row r="58" spans="15:38" ht="16.95" customHeight="1" x14ac:dyDescent="0.3"/>
    <row r="59" spans="15:38" ht="16.95" customHeight="1" x14ac:dyDescent="0.3">
      <c r="O59" s="74"/>
      <c r="P59" s="74"/>
      <c r="Q59" s="74"/>
      <c r="R59" s="74"/>
    </row>
    <row r="60" spans="15:38" ht="16.95" customHeight="1" x14ac:dyDescent="0.3"/>
    <row r="63" spans="15:38" x14ac:dyDescent="0.3">
      <c r="O63" s="74"/>
      <c r="P63" s="74"/>
      <c r="Q63" s="74"/>
      <c r="R63" s="74"/>
    </row>
    <row r="71" spans="2:24" x14ac:dyDescent="0.3">
      <c r="O71" s="794" t="s">
        <v>526</v>
      </c>
      <c r="P71" s="793"/>
      <c r="Q71" s="793"/>
      <c r="R71" s="793"/>
      <c r="S71" s="793"/>
      <c r="T71" s="793"/>
      <c r="U71" s="793"/>
      <c r="V71" s="793"/>
      <c r="W71" s="793"/>
      <c r="X71" s="793"/>
    </row>
    <row r="78" spans="2:24" x14ac:dyDescent="0.3">
      <c r="B78" t="s">
        <v>328</v>
      </c>
    </row>
    <row r="79" spans="2:24" x14ac:dyDescent="0.3">
      <c r="B79" s="618">
        <v>4</v>
      </c>
      <c r="C79" s="618" t="s">
        <v>31</v>
      </c>
      <c r="D79" s="618">
        <v>2022</v>
      </c>
      <c r="E79" s="617" t="s">
        <v>19</v>
      </c>
      <c r="F79" s="14"/>
      <c r="G79" s="14"/>
    </row>
    <row r="90" spans="2:19" x14ac:dyDescent="0.3">
      <c r="B90" s="618">
        <v>20</v>
      </c>
      <c r="C90" s="618" t="s">
        <v>82</v>
      </c>
      <c r="D90" s="618">
        <v>2020</v>
      </c>
      <c r="E90" s="617" t="s">
        <v>19</v>
      </c>
    </row>
    <row r="91" spans="2:19" x14ac:dyDescent="0.3">
      <c r="B91" t="s">
        <v>345</v>
      </c>
    </row>
    <row r="93" spans="2:19" x14ac:dyDescent="0.3">
      <c r="P93" s="618">
        <v>21</v>
      </c>
      <c r="Q93" s="618" t="s">
        <v>84</v>
      </c>
      <c r="R93" s="618">
        <v>2019</v>
      </c>
      <c r="S93" s="617" t="s">
        <v>19</v>
      </c>
    </row>
    <row r="94" spans="2:19" x14ac:dyDescent="0.3">
      <c r="P94" t="s">
        <v>350</v>
      </c>
    </row>
    <row r="99" ht="16.2" customHeight="1" x14ac:dyDescent="0.3"/>
    <row r="199" spans="5:6" x14ac:dyDescent="0.3">
      <c r="E199" s="83"/>
      <c r="F199" s="83"/>
    </row>
  </sheetData>
  <mergeCells count="18">
    <mergeCell ref="A1:A2"/>
    <mergeCell ref="B1:B2"/>
    <mergeCell ref="C1:F1"/>
    <mergeCell ref="G1:M1"/>
    <mergeCell ref="N1:T1"/>
    <mergeCell ref="U1:AA1"/>
    <mergeCell ref="AB1:AH1"/>
    <mergeCell ref="AI1:AO1"/>
    <mergeCell ref="AP1:AQ1"/>
    <mergeCell ref="AR1:AR2"/>
    <mergeCell ref="A33:A41"/>
    <mergeCell ref="B33:B38"/>
    <mergeCell ref="A3:A11"/>
    <mergeCell ref="B3:B8"/>
    <mergeCell ref="A13:A21"/>
    <mergeCell ref="B13:B18"/>
    <mergeCell ref="A23:A31"/>
    <mergeCell ref="B23:B28"/>
  </mergeCells>
  <hyperlinks>
    <hyperlink ref="F3" r:id="rId1" xr:uid="{00000000-0004-0000-0300-000000000000}"/>
    <hyperlink ref="F4" r:id="rId2" xr:uid="{00000000-0004-0000-0300-000001000000}"/>
    <hyperlink ref="F5" r:id="rId3" xr:uid="{00000000-0004-0000-0300-000002000000}"/>
    <hyperlink ref="F6" r:id="rId4" xr:uid="{00000000-0004-0000-0300-000003000000}"/>
    <hyperlink ref="F7" r:id="rId5" xr:uid="{00000000-0004-0000-0300-000004000000}"/>
    <hyperlink ref="F8" r:id="rId6" xr:uid="{00000000-0004-0000-0300-000005000000}"/>
    <hyperlink ref="F13" r:id="rId7" xr:uid="{00000000-0004-0000-0300-000006000000}"/>
    <hyperlink ref="F14" r:id="rId8" xr:uid="{00000000-0004-0000-0300-000007000000}"/>
    <hyperlink ref="F15" r:id="rId9" xr:uid="{00000000-0004-0000-0300-000008000000}"/>
    <hyperlink ref="F16" r:id="rId10" xr:uid="{00000000-0004-0000-0300-000009000000}"/>
    <hyperlink ref="F17" r:id="rId11" xr:uid="{00000000-0004-0000-0300-00000A000000}"/>
    <hyperlink ref="F18" r:id="rId12" xr:uid="{00000000-0004-0000-0300-00000B000000}"/>
    <hyperlink ref="F23" r:id="rId13" xr:uid="{00000000-0004-0000-0300-00000C000000}"/>
    <hyperlink ref="F24" r:id="rId14" xr:uid="{00000000-0004-0000-0300-00000D000000}"/>
    <hyperlink ref="F25" r:id="rId15" xr:uid="{00000000-0004-0000-0300-00000E000000}"/>
    <hyperlink ref="F26" r:id="rId16" xr:uid="{00000000-0004-0000-0300-00000F000000}"/>
    <hyperlink ref="F27" r:id="rId17" xr:uid="{00000000-0004-0000-0300-000010000000}"/>
    <hyperlink ref="F28" r:id="rId18" xr:uid="{00000000-0004-0000-0300-000011000000}"/>
    <hyperlink ref="F33" r:id="rId19" xr:uid="{00000000-0004-0000-0300-000012000000}"/>
    <hyperlink ref="F34" r:id="rId20" xr:uid="{00000000-0004-0000-0300-000013000000}"/>
    <hyperlink ref="F35" r:id="rId21" xr:uid="{00000000-0004-0000-0300-000014000000}"/>
    <hyperlink ref="F36" r:id="rId22" xr:uid="{00000000-0004-0000-0300-000015000000}"/>
    <hyperlink ref="F37" r:id="rId23" xr:uid="{00000000-0004-0000-0300-000016000000}"/>
    <hyperlink ref="F38" r:id="rId24" xr:uid="{00000000-0004-0000-0300-000017000000}"/>
    <hyperlink ref="E44" r:id="rId25" xr:uid="{00000000-0004-0000-0300-000018000000}"/>
    <hyperlink ref="E90" r:id="rId26" xr:uid="{00000000-0004-0000-0300-000019000000}"/>
    <hyperlink ref="E79" r:id="rId27" xr:uid="{00000000-0004-0000-0300-00001B000000}"/>
    <hyperlink ref="S93" r:id="rId28" xr:uid="{00000000-0004-0000-0300-00001C000000}"/>
    <hyperlink ref="AF51" r:id="rId29" tooltip="Persistent link using digital object identifier" xr:uid="{00000000-0004-0000-0300-00001A000000}"/>
    <hyperlink ref="O48" r:id="rId30" display="https://www.sciencedirect.com/science/article/pii/S0043135409001547" xr:uid="{60E51312-0762-4948-BF09-012FB931DABF}"/>
    <hyperlink ref="O71" r:id="rId31" display="https://www.sciencedirect.com/science/article/pii/S0263876220301209" xr:uid="{E3BF52F0-44CE-4365-A168-3263BFF4B531}"/>
  </hyperlinks>
  <pageMargins left="0.7" right="0.7" top="0.78740157500000008" bottom="0.78740157500000008" header="0.3" footer="0.3"/>
  <pageSetup paperSize="9" orientation="portrait" horizontalDpi="0" verticalDpi="0"/>
  <drawing r:id="rId32"/>
  <legacyDrawing r:id="rId3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U333"/>
  <sheetViews>
    <sheetView topLeftCell="T1" zoomScale="81" workbookViewId="0">
      <selection activeCell="AD18" sqref="AD18"/>
    </sheetView>
  </sheetViews>
  <sheetFormatPr baseColWidth="10" defaultRowHeight="14.4" x14ac:dyDescent="0.3"/>
  <cols>
    <col min="7" max="7" width="12.6640625" bestFit="1" customWidth="1"/>
    <col min="9" max="10" width="12.6640625" bestFit="1" customWidth="1"/>
    <col min="11" max="11" width="12.6640625" customWidth="1"/>
    <col min="12" max="12" width="11.6640625" bestFit="1" customWidth="1"/>
    <col min="13" max="13" width="12.6640625" customWidth="1"/>
    <col min="14" max="14" width="11.44140625" bestFit="1" customWidth="1"/>
    <col min="16" max="17" width="11.44140625" bestFit="1" customWidth="1"/>
    <col min="18" max="18" width="11.44140625" customWidth="1"/>
    <col min="19" max="19" width="11.44140625" bestFit="1" customWidth="1"/>
    <col min="20" max="20" width="11.44140625" customWidth="1"/>
    <col min="35" max="38" width="8.6640625" customWidth="1"/>
    <col min="39" max="39" width="11.44140625" customWidth="1"/>
    <col min="40" max="41" width="8.6640625" customWidth="1"/>
    <col min="42" max="42" width="14.6640625" customWidth="1"/>
    <col min="43" max="43" width="50.6640625" customWidth="1"/>
  </cols>
  <sheetData>
    <row r="1" spans="1:47" x14ac:dyDescent="0.3">
      <c r="A1" s="914" t="s">
        <v>245</v>
      </c>
      <c r="B1" s="947" t="s">
        <v>1</v>
      </c>
      <c r="C1" s="949" t="s">
        <v>246</v>
      </c>
      <c r="D1" s="950"/>
      <c r="E1" s="950"/>
      <c r="F1" s="951"/>
      <c r="G1" s="949" t="s">
        <v>247</v>
      </c>
      <c r="H1" s="950"/>
      <c r="I1" s="950"/>
      <c r="J1" s="950"/>
      <c r="K1" s="950"/>
      <c r="L1" s="950"/>
      <c r="M1" s="951"/>
      <c r="N1" s="914" t="s">
        <v>248</v>
      </c>
      <c r="O1" s="915"/>
      <c r="P1" s="915"/>
      <c r="Q1" s="915"/>
      <c r="R1" s="915"/>
      <c r="S1" s="915"/>
      <c r="T1" s="916"/>
      <c r="U1" s="914" t="s">
        <v>249</v>
      </c>
      <c r="V1" s="915"/>
      <c r="W1" s="915"/>
      <c r="X1" s="915"/>
      <c r="Y1" s="915"/>
      <c r="Z1" s="915"/>
      <c r="AA1" s="916"/>
      <c r="AB1" s="914" t="s">
        <v>528</v>
      </c>
      <c r="AC1" s="915"/>
      <c r="AD1" s="915"/>
      <c r="AE1" s="915"/>
      <c r="AF1" s="915"/>
      <c r="AG1" s="915"/>
      <c r="AH1" s="916"/>
      <c r="AI1" s="914" t="s">
        <v>251</v>
      </c>
      <c r="AJ1" s="915"/>
      <c r="AK1" s="915"/>
      <c r="AL1" s="915"/>
      <c r="AM1" s="915"/>
      <c r="AN1" s="915"/>
      <c r="AO1" s="916"/>
      <c r="AP1" s="916" t="s">
        <v>250</v>
      </c>
      <c r="AQ1" s="962" t="s">
        <v>253</v>
      </c>
    </row>
    <row r="2" spans="1:47" x14ac:dyDescent="0.3">
      <c r="A2" s="946"/>
      <c r="B2" s="948"/>
      <c r="C2" s="85" t="s">
        <v>254</v>
      </c>
      <c r="D2" s="85" t="s">
        <v>255</v>
      </c>
      <c r="E2" s="85" t="s">
        <v>256</v>
      </c>
      <c r="F2" s="85" t="s">
        <v>19</v>
      </c>
      <c r="G2" s="88">
        <v>2020</v>
      </c>
      <c r="H2" s="85">
        <v>2025</v>
      </c>
      <c r="I2" s="85">
        <v>2030</v>
      </c>
      <c r="J2" s="85">
        <v>2040</v>
      </c>
      <c r="K2" s="85">
        <v>2045</v>
      </c>
      <c r="L2" s="85">
        <v>2050</v>
      </c>
      <c r="M2" s="85">
        <v>2060</v>
      </c>
      <c r="N2" s="88">
        <v>2020</v>
      </c>
      <c r="O2" s="85">
        <v>2025</v>
      </c>
      <c r="P2" s="85">
        <v>2030</v>
      </c>
      <c r="Q2" s="85">
        <v>2040</v>
      </c>
      <c r="R2" s="85">
        <v>2045</v>
      </c>
      <c r="S2" s="85">
        <v>2050</v>
      </c>
      <c r="T2" s="85">
        <v>2060</v>
      </c>
      <c r="U2" s="88">
        <v>2020</v>
      </c>
      <c r="V2" s="85">
        <v>2025</v>
      </c>
      <c r="W2" s="85">
        <v>2030</v>
      </c>
      <c r="X2" s="85">
        <v>2040</v>
      </c>
      <c r="Y2" s="85">
        <v>2045</v>
      </c>
      <c r="Z2" s="85">
        <v>2050</v>
      </c>
      <c r="AA2" s="89">
        <v>2060</v>
      </c>
      <c r="AB2" s="88">
        <v>2020</v>
      </c>
      <c r="AC2" s="85">
        <v>2025</v>
      </c>
      <c r="AD2" s="85">
        <v>2030</v>
      </c>
      <c r="AE2" s="85">
        <v>2040</v>
      </c>
      <c r="AF2" s="85">
        <v>2045</v>
      </c>
      <c r="AG2" s="85">
        <v>2050</v>
      </c>
      <c r="AH2" s="89">
        <v>2060</v>
      </c>
      <c r="AI2" s="88">
        <v>2020</v>
      </c>
      <c r="AJ2" s="85">
        <v>2025</v>
      </c>
      <c r="AK2" s="85">
        <v>2030</v>
      </c>
      <c r="AL2" s="85">
        <v>2040</v>
      </c>
      <c r="AM2" s="85">
        <v>2045</v>
      </c>
      <c r="AN2" s="85">
        <v>2050</v>
      </c>
      <c r="AO2" s="89">
        <v>2060</v>
      </c>
      <c r="AP2" s="978"/>
      <c r="AQ2" s="979"/>
    </row>
    <row r="3" spans="1:47" x14ac:dyDescent="0.3">
      <c r="A3" s="980" t="s">
        <v>259</v>
      </c>
      <c r="B3" s="854" t="s">
        <v>37</v>
      </c>
      <c r="C3" s="90">
        <v>7</v>
      </c>
      <c r="D3" s="90" t="s">
        <v>42</v>
      </c>
      <c r="E3" s="90">
        <v>2020</v>
      </c>
      <c r="F3" s="91" t="s">
        <v>19</v>
      </c>
      <c r="G3" s="447">
        <v>1610</v>
      </c>
      <c r="H3" s="93">
        <f t="shared" ref="H3:H7" si="0">G3+((I3-G3)/(2030-2020))*(2025-2020)</f>
        <v>1413</v>
      </c>
      <c r="I3" s="94">
        <v>1216</v>
      </c>
      <c r="J3" s="94">
        <v>952</v>
      </c>
      <c r="K3" s="93">
        <f t="shared" ref="K3:K7" si="1">J3+((L3-J3)/(2050-2040))*(2045-2040)</f>
        <v>872.5</v>
      </c>
      <c r="L3" s="94">
        <v>793</v>
      </c>
      <c r="M3" s="95">
        <f>K3+((L3-K3)/(2050-2045))*(2060-2045)</f>
        <v>634</v>
      </c>
      <c r="N3" s="447">
        <f>G3*0.04</f>
        <v>64.400000000000006</v>
      </c>
      <c r="O3" s="93">
        <f t="shared" ref="O3:O4" si="2">N3+((P3-N3)/(2030-2020))*(2025-2020)</f>
        <v>56.52</v>
      </c>
      <c r="P3" s="94">
        <f>I3*0.04</f>
        <v>48.64</v>
      </c>
      <c r="Q3" s="94">
        <f>J3*0.04</f>
        <v>38.08</v>
      </c>
      <c r="R3" s="93">
        <f t="shared" ref="R3:R4" si="3">Q3+((S3-Q3)/(2050-2040))*(2045-2040)</f>
        <v>34.9</v>
      </c>
      <c r="S3" s="94">
        <f>L3*0.04</f>
        <v>31.720000000000002</v>
      </c>
      <c r="T3" s="95">
        <f>R3+((S3-R3)/(2050-2045))*(2060-2045)</f>
        <v>25.36000000000001</v>
      </c>
      <c r="U3" s="96"/>
      <c r="V3" s="97"/>
      <c r="W3" s="97"/>
      <c r="X3" s="97"/>
      <c r="Y3" s="97"/>
      <c r="Z3" s="97"/>
      <c r="AA3" s="43"/>
      <c r="AB3" s="97"/>
      <c r="AC3" s="97"/>
      <c r="AD3" s="97"/>
      <c r="AE3" s="97"/>
      <c r="AF3" s="97"/>
      <c r="AG3" s="97"/>
      <c r="AH3" s="97"/>
      <c r="AI3" s="636">
        <v>71</v>
      </c>
      <c r="AJ3" s="101">
        <f t="shared" ref="AJ3:AJ7" si="4">AI3+((AK3-AI3)/(2030-2020))*(2025-2020)</f>
        <v>71</v>
      </c>
      <c r="AK3" s="102">
        <v>71</v>
      </c>
      <c r="AL3" s="102">
        <v>72</v>
      </c>
      <c r="AM3" s="101">
        <f t="shared" ref="AM3:AM7" si="5">AL3+((AN3-AL3)/(2050-2040))*(2045-2040)</f>
        <v>72.5</v>
      </c>
      <c r="AN3" s="102">
        <v>73</v>
      </c>
      <c r="AO3" s="103">
        <v>73</v>
      </c>
      <c r="AP3" s="43">
        <v>25</v>
      </c>
      <c r="AQ3" s="104"/>
    </row>
    <row r="4" spans="1:47" x14ac:dyDescent="0.3">
      <c r="A4" s="981"/>
      <c r="B4" s="855"/>
      <c r="C4" s="105">
        <v>9</v>
      </c>
      <c r="D4" s="105" t="s">
        <v>50</v>
      </c>
      <c r="E4" s="105">
        <v>2021</v>
      </c>
      <c r="F4" s="91" t="s">
        <v>19</v>
      </c>
      <c r="G4" s="113">
        <f>1150</f>
        <v>1150</v>
      </c>
      <c r="H4" s="107">
        <f t="shared" si="0"/>
        <v>1025</v>
      </c>
      <c r="I4" s="107">
        <f>G4+((L4-G4)/(2050-2020))*(2030-2020)</f>
        <v>900</v>
      </c>
      <c r="J4" s="107">
        <f t="shared" ref="J4:J7" si="6">I4+((L4-I4)/(2050-2030))*(2040-2030)</f>
        <v>650</v>
      </c>
      <c r="K4" s="107">
        <f t="shared" si="1"/>
        <v>525</v>
      </c>
      <c r="L4" s="108">
        <f>400</f>
        <v>400</v>
      </c>
      <c r="M4" s="107">
        <v>400</v>
      </c>
      <c r="N4" s="113">
        <v>28.8</v>
      </c>
      <c r="O4" s="107">
        <f t="shared" si="2"/>
        <v>25.666666666666664</v>
      </c>
      <c r="P4" s="107">
        <f>N4+((S4-N4)/(2050-2020))*(2030-2020)</f>
        <v>22.533333333333331</v>
      </c>
      <c r="Q4" s="107">
        <f>P4+((S4-P4)/(2050-2030))*(2040-2030)</f>
        <v>16.266666666666666</v>
      </c>
      <c r="R4" s="107">
        <f t="shared" si="3"/>
        <v>13.133333333333333</v>
      </c>
      <c r="S4" s="108">
        <v>10</v>
      </c>
      <c r="T4" s="107">
        <v>10</v>
      </c>
      <c r="U4" s="110"/>
      <c r="V4" s="1020"/>
      <c r="W4" s="1020"/>
      <c r="X4" s="1020"/>
      <c r="Y4" s="1020"/>
      <c r="Z4" s="1020"/>
      <c r="AA4" s="46"/>
      <c r="AB4" s="111"/>
      <c r="AC4" s="111"/>
      <c r="AD4" s="111"/>
      <c r="AE4" s="111"/>
      <c r="AF4" s="111"/>
      <c r="AG4" s="111"/>
      <c r="AH4" s="111"/>
      <c r="AI4" s="637">
        <f>33.33/48.7*100</f>
        <v>68.439425051334695</v>
      </c>
      <c r="AJ4" s="378">
        <f t="shared" si="4"/>
        <v>71.501591720298222</v>
      </c>
      <c r="AK4" s="117">
        <f>33.33/44.7*100</f>
        <v>74.563758389261736</v>
      </c>
      <c r="AL4" s="378">
        <f t="shared" ref="AL4:AL7" si="7">AK4+((AN4-AK4)/(2050-2030))*(2040-2030)</f>
        <v>77.632968783008593</v>
      </c>
      <c r="AM4" s="378">
        <f t="shared" si="5"/>
        <v>79.167573979882022</v>
      </c>
      <c r="AN4" s="117">
        <f>33.33/41.3*100</f>
        <v>80.70217917675545</v>
      </c>
      <c r="AO4" s="118">
        <v>81</v>
      </c>
      <c r="AP4" s="46"/>
      <c r="AQ4" s="104" t="s">
        <v>351</v>
      </c>
    </row>
    <row r="5" spans="1:47" x14ac:dyDescent="0.3">
      <c r="A5" s="981"/>
      <c r="B5" s="855"/>
      <c r="C5" s="105">
        <v>10</v>
      </c>
      <c r="D5" s="105" t="s">
        <v>55</v>
      </c>
      <c r="E5" s="105">
        <v>2018</v>
      </c>
      <c r="F5" s="91" t="s">
        <v>19</v>
      </c>
      <c r="G5" s="113">
        <f>656</f>
        <v>656</v>
      </c>
      <c r="H5" s="107">
        <f t="shared" si="0"/>
        <v>549</v>
      </c>
      <c r="I5" s="108">
        <f>442</f>
        <v>442</v>
      </c>
      <c r="J5" s="107">
        <f t="shared" si="6"/>
        <v>321</v>
      </c>
      <c r="K5" s="107">
        <f t="shared" si="1"/>
        <v>260.5</v>
      </c>
      <c r="L5" s="108">
        <f>200</f>
        <v>200</v>
      </c>
      <c r="M5" s="107">
        <v>200</v>
      </c>
      <c r="N5" s="106">
        <f t="shared" ref="N5:N7" si="8">G5*0.02</f>
        <v>13.120000000000001</v>
      </c>
      <c r="O5" s="107">
        <f t="shared" ref="O5:T7" si="9">H5*0.02</f>
        <v>10.98</v>
      </c>
      <c r="P5" s="107">
        <f t="shared" si="9"/>
        <v>8.84</v>
      </c>
      <c r="Q5" s="107">
        <f t="shared" si="9"/>
        <v>6.42</v>
      </c>
      <c r="R5" s="107">
        <f t="shared" si="9"/>
        <v>5.21</v>
      </c>
      <c r="S5" s="107">
        <f t="shared" si="9"/>
        <v>4</v>
      </c>
      <c r="T5" s="107">
        <f t="shared" si="9"/>
        <v>4</v>
      </c>
      <c r="U5" s="110"/>
      <c r="V5" s="1020"/>
      <c r="W5" s="1020"/>
      <c r="X5" s="1020"/>
      <c r="Y5" s="1020"/>
      <c r="Z5" s="1020"/>
      <c r="AA5" s="46"/>
      <c r="AB5" s="111"/>
      <c r="AC5" s="111"/>
      <c r="AD5" s="111"/>
      <c r="AE5" s="111"/>
      <c r="AF5" s="111"/>
      <c r="AG5" s="111"/>
      <c r="AH5" s="111"/>
      <c r="AI5" s="637">
        <f>67</f>
        <v>67</v>
      </c>
      <c r="AJ5" s="378">
        <f t="shared" si="4"/>
        <v>69</v>
      </c>
      <c r="AK5" s="117">
        <v>71</v>
      </c>
      <c r="AL5" s="378">
        <f t="shared" si="7"/>
        <v>75.5</v>
      </c>
      <c r="AM5" s="378">
        <f t="shared" si="5"/>
        <v>77.75</v>
      </c>
      <c r="AN5" s="117">
        <v>80</v>
      </c>
      <c r="AO5" s="118">
        <v>80</v>
      </c>
      <c r="AP5" s="46"/>
      <c r="AQ5" s="104" t="s">
        <v>352</v>
      </c>
      <c r="AT5" t="s">
        <v>123</v>
      </c>
    </row>
    <row r="6" spans="1:47" x14ac:dyDescent="0.3">
      <c r="A6" s="981"/>
      <c r="B6" s="855"/>
      <c r="C6" s="105">
        <v>10</v>
      </c>
      <c r="D6" s="105" t="s">
        <v>55</v>
      </c>
      <c r="E6" s="105">
        <v>2018</v>
      </c>
      <c r="F6" s="91" t="s">
        <v>19</v>
      </c>
      <c r="G6" s="113">
        <f>737</f>
        <v>737</v>
      </c>
      <c r="H6" s="107">
        <f t="shared" si="0"/>
        <v>681</v>
      </c>
      <c r="I6" s="108">
        <f>625</f>
        <v>625</v>
      </c>
      <c r="J6" s="107">
        <f t="shared" si="6"/>
        <v>537.5</v>
      </c>
      <c r="K6" s="107">
        <f t="shared" si="1"/>
        <v>493.75</v>
      </c>
      <c r="L6" s="108">
        <f>450</f>
        <v>450</v>
      </c>
      <c r="M6" s="107">
        <f t="shared" ref="M6:M7" si="10">K6+((L6-K6)/(2050-2045))*(2060-2045)</f>
        <v>362.5</v>
      </c>
      <c r="N6" s="106">
        <f t="shared" si="8"/>
        <v>14.74</v>
      </c>
      <c r="O6" s="107">
        <f t="shared" si="9"/>
        <v>13.620000000000001</v>
      </c>
      <c r="P6" s="107">
        <f t="shared" ref="P6:P7" si="11">I6*0.02</f>
        <v>12.5</v>
      </c>
      <c r="Q6" s="107">
        <f t="shared" ref="Q6:Q7" si="12">J6*0.02</f>
        <v>10.75</v>
      </c>
      <c r="R6" s="107">
        <f t="shared" ref="R6:R7" si="13">K6*0.02</f>
        <v>9.875</v>
      </c>
      <c r="S6" s="107">
        <f t="shared" ref="S6:S7" si="14">L6*0.02</f>
        <v>9</v>
      </c>
      <c r="T6" s="107">
        <f t="shared" ref="T6:T7" si="15">M6*0.02</f>
        <v>7.25</v>
      </c>
      <c r="U6" s="110"/>
      <c r="V6" s="1020"/>
      <c r="W6" s="1020"/>
      <c r="X6" s="1020"/>
      <c r="Y6" s="1020"/>
      <c r="Z6" s="1020"/>
      <c r="AA6" s="46"/>
      <c r="AB6" s="111"/>
      <c r="AC6" s="111"/>
      <c r="AD6" s="111"/>
      <c r="AE6" s="111"/>
      <c r="AF6" s="111"/>
      <c r="AG6" s="111"/>
      <c r="AH6" s="111"/>
      <c r="AI6" s="637">
        <v>67</v>
      </c>
      <c r="AJ6" s="378">
        <f t="shared" si="4"/>
        <v>69</v>
      </c>
      <c r="AK6" s="117">
        <v>71</v>
      </c>
      <c r="AL6" s="378">
        <f t="shared" si="7"/>
        <v>75.5</v>
      </c>
      <c r="AM6" s="378">
        <f t="shared" si="5"/>
        <v>77.75</v>
      </c>
      <c r="AN6" s="117">
        <v>80</v>
      </c>
      <c r="AO6" s="118">
        <v>80</v>
      </c>
      <c r="AP6" s="46"/>
      <c r="AQ6" s="104" t="s">
        <v>353</v>
      </c>
      <c r="AT6" t="s">
        <v>128</v>
      </c>
      <c r="AU6" s="76">
        <v>1.3486719798104709</v>
      </c>
    </row>
    <row r="7" spans="1:47" x14ac:dyDescent="0.3">
      <c r="A7" s="981"/>
      <c r="B7" s="918"/>
      <c r="C7" s="120">
        <v>10</v>
      </c>
      <c r="D7" s="120" t="s">
        <v>55</v>
      </c>
      <c r="E7" s="120">
        <v>2018</v>
      </c>
      <c r="F7" s="91" t="s">
        <v>19</v>
      </c>
      <c r="G7" s="587">
        <f>768</f>
        <v>768</v>
      </c>
      <c r="H7" s="122">
        <f t="shared" si="0"/>
        <v>737.5</v>
      </c>
      <c r="I7" s="121">
        <f>707</f>
        <v>707</v>
      </c>
      <c r="J7" s="122">
        <f t="shared" si="6"/>
        <v>653.5</v>
      </c>
      <c r="K7" s="122">
        <f t="shared" si="1"/>
        <v>626.75</v>
      </c>
      <c r="L7" s="121">
        <f>600</f>
        <v>600</v>
      </c>
      <c r="M7" s="122">
        <f t="shared" si="10"/>
        <v>546.5</v>
      </c>
      <c r="N7" s="106">
        <f t="shared" si="8"/>
        <v>15.36</v>
      </c>
      <c r="O7" s="107">
        <f t="shared" si="9"/>
        <v>14.75</v>
      </c>
      <c r="P7" s="107">
        <f t="shared" si="11"/>
        <v>14.14</v>
      </c>
      <c r="Q7" s="107">
        <f t="shared" si="12"/>
        <v>13.07</v>
      </c>
      <c r="R7" s="107">
        <f t="shared" si="13"/>
        <v>12.535</v>
      </c>
      <c r="S7" s="107">
        <f t="shared" si="14"/>
        <v>12</v>
      </c>
      <c r="T7" s="107">
        <f t="shared" si="15"/>
        <v>10.93</v>
      </c>
      <c r="U7" s="123"/>
      <c r="V7" s="124"/>
      <c r="W7" s="124"/>
      <c r="X7" s="124"/>
      <c r="Y7" s="124"/>
      <c r="Z7" s="124"/>
      <c r="AA7" s="51"/>
      <c r="AB7" s="124"/>
      <c r="AC7" s="124"/>
      <c r="AD7" s="124"/>
      <c r="AE7" s="124"/>
      <c r="AF7" s="124"/>
      <c r="AG7" s="124"/>
      <c r="AH7" s="124"/>
      <c r="AI7" s="638">
        <v>67</v>
      </c>
      <c r="AJ7" s="386">
        <f t="shared" si="4"/>
        <v>69</v>
      </c>
      <c r="AK7" s="639">
        <v>71</v>
      </c>
      <c r="AL7" s="386">
        <f t="shared" si="7"/>
        <v>75.5</v>
      </c>
      <c r="AM7" s="386">
        <f t="shared" si="5"/>
        <v>77.75</v>
      </c>
      <c r="AN7" s="639">
        <v>80</v>
      </c>
      <c r="AO7" s="584">
        <v>80</v>
      </c>
      <c r="AP7" s="51"/>
      <c r="AQ7" s="104" t="s">
        <v>354</v>
      </c>
      <c r="AT7" t="s">
        <v>132</v>
      </c>
      <c r="AU7" s="76">
        <v>1.3374192380309164</v>
      </c>
    </row>
    <row r="8" spans="1:47" x14ac:dyDescent="0.3">
      <c r="A8" s="981"/>
      <c r="B8" s="125" t="s">
        <v>267</v>
      </c>
      <c r="C8" s="126"/>
      <c r="D8" s="126"/>
      <c r="E8" s="126"/>
      <c r="F8" s="126"/>
      <c r="G8" s="127">
        <f>MIN(G3:G7)</f>
        <v>656</v>
      </c>
      <c r="H8" s="128">
        <f t="shared" ref="H8:AP8" si="16">MIN(H3:H7)</f>
        <v>549</v>
      </c>
      <c r="I8" s="128">
        <f t="shared" si="16"/>
        <v>442</v>
      </c>
      <c r="J8" s="128">
        <f t="shared" si="16"/>
        <v>321</v>
      </c>
      <c r="K8" s="128">
        <f t="shared" si="16"/>
        <v>260.5</v>
      </c>
      <c r="L8" s="128">
        <f t="shared" si="16"/>
        <v>200</v>
      </c>
      <c r="M8" s="128">
        <f t="shared" si="16"/>
        <v>200</v>
      </c>
      <c r="N8" s="127">
        <f t="shared" si="16"/>
        <v>13.120000000000001</v>
      </c>
      <c r="O8" s="128">
        <f t="shared" si="16"/>
        <v>10.98</v>
      </c>
      <c r="P8" s="128">
        <f t="shared" si="16"/>
        <v>8.84</v>
      </c>
      <c r="Q8" s="128">
        <f t="shared" si="16"/>
        <v>6.42</v>
      </c>
      <c r="R8" s="128">
        <f t="shared" si="16"/>
        <v>5.21</v>
      </c>
      <c r="S8" s="128">
        <f t="shared" si="16"/>
        <v>4</v>
      </c>
      <c r="T8" s="456">
        <f t="shared" si="16"/>
        <v>4</v>
      </c>
      <c r="U8" s="131"/>
      <c r="V8" s="126"/>
      <c r="W8" s="126"/>
      <c r="X8" s="126"/>
      <c r="Y8" s="126"/>
      <c r="Z8" s="126"/>
      <c r="AA8" s="132"/>
      <c r="AB8" s="126"/>
      <c r="AC8" s="126"/>
      <c r="AD8" s="126"/>
      <c r="AE8" s="126"/>
      <c r="AF8" s="126"/>
      <c r="AG8" s="126"/>
      <c r="AH8" s="126"/>
      <c r="AI8" s="640">
        <f t="shared" si="16"/>
        <v>67</v>
      </c>
      <c r="AJ8" s="641">
        <f t="shared" si="16"/>
        <v>69</v>
      </c>
      <c r="AK8" s="641">
        <f t="shared" si="16"/>
        <v>71</v>
      </c>
      <c r="AL8" s="641">
        <f t="shared" si="16"/>
        <v>72</v>
      </c>
      <c r="AM8" s="641">
        <f t="shared" si="16"/>
        <v>72.5</v>
      </c>
      <c r="AN8" s="641">
        <f t="shared" si="16"/>
        <v>73</v>
      </c>
      <c r="AO8" s="642">
        <f t="shared" si="16"/>
        <v>73</v>
      </c>
      <c r="AP8" s="132">
        <f t="shared" si="16"/>
        <v>25</v>
      </c>
      <c r="AQ8" s="104"/>
      <c r="AT8" t="s">
        <v>130</v>
      </c>
      <c r="AU8" s="76">
        <v>0.58296565349252727</v>
      </c>
    </row>
    <row r="9" spans="1:47" x14ac:dyDescent="0.3">
      <c r="A9" s="981"/>
      <c r="B9" s="133" t="s">
        <v>268</v>
      </c>
      <c r="C9" s="134"/>
      <c r="D9" s="134"/>
      <c r="E9" s="134"/>
      <c r="F9" s="134"/>
      <c r="G9" s="135">
        <f>MEDIAN(G3:G7)</f>
        <v>768</v>
      </c>
      <c r="H9" s="136">
        <f t="shared" ref="H9:AP9" si="17">MEDIAN(H3:H7)</f>
        <v>737.5</v>
      </c>
      <c r="I9" s="136">
        <f t="shared" si="17"/>
        <v>707</v>
      </c>
      <c r="J9" s="136">
        <f t="shared" si="17"/>
        <v>650</v>
      </c>
      <c r="K9" s="136">
        <f t="shared" si="17"/>
        <v>525</v>
      </c>
      <c r="L9" s="136">
        <f t="shared" si="17"/>
        <v>450</v>
      </c>
      <c r="M9" s="136">
        <f t="shared" si="17"/>
        <v>400</v>
      </c>
      <c r="N9" s="135">
        <f t="shared" si="17"/>
        <v>15.36</v>
      </c>
      <c r="O9" s="136">
        <f t="shared" si="17"/>
        <v>14.75</v>
      </c>
      <c r="P9" s="136">
        <f t="shared" si="17"/>
        <v>14.14</v>
      </c>
      <c r="Q9" s="136">
        <f t="shared" si="17"/>
        <v>13.07</v>
      </c>
      <c r="R9" s="136">
        <f t="shared" si="17"/>
        <v>12.535</v>
      </c>
      <c r="S9" s="136">
        <f t="shared" si="17"/>
        <v>10</v>
      </c>
      <c r="T9" s="459">
        <f t="shared" si="17"/>
        <v>10</v>
      </c>
      <c r="U9" s="139"/>
      <c r="V9" s="1021"/>
      <c r="W9" s="1021"/>
      <c r="X9" s="1021"/>
      <c r="Y9" s="1021"/>
      <c r="Z9" s="1021"/>
      <c r="AA9" s="140"/>
      <c r="AB9" s="134"/>
      <c r="AC9" s="134"/>
      <c r="AD9" s="134"/>
      <c r="AE9" s="134"/>
      <c r="AF9" s="134"/>
      <c r="AG9" s="134"/>
      <c r="AH9" s="134"/>
      <c r="AI9" s="643">
        <f t="shared" si="17"/>
        <v>67</v>
      </c>
      <c r="AJ9" s="644">
        <f t="shared" si="17"/>
        <v>69</v>
      </c>
      <c r="AK9" s="644">
        <f t="shared" si="17"/>
        <v>71</v>
      </c>
      <c r="AL9" s="644">
        <f t="shared" si="17"/>
        <v>75.5</v>
      </c>
      <c r="AM9" s="644">
        <f t="shared" si="17"/>
        <v>77.75</v>
      </c>
      <c r="AN9" s="644">
        <f t="shared" si="17"/>
        <v>80</v>
      </c>
      <c r="AO9" s="645">
        <f t="shared" si="17"/>
        <v>80</v>
      </c>
      <c r="AP9" s="140">
        <f t="shared" si="17"/>
        <v>25</v>
      </c>
      <c r="AQ9" s="104"/>
    </row>
    <row r="10" spans="1:47" x14ac:dyDescent="0.3">
      <c r="A10" s="981"/>
      <c r="B10" s="141" t="s">
        <v>269</v>
      </c>
      <c r="C10" s="142"/>
      <c r="D10" s="142"/>
      <c r="E10" s="142"/>
      <c r="F10" s="142"/>
      <c r="G10" s="591">
        <f>MAX(G3:G7)</f>
        <v>1610</v>
      </c>
      <c r="H10" s="143">
        <f t="shared" ref="H10:AP10" si="18">MAX(H3:H7)</f>
        <v>1413</v>
      </c>
      <c r="I10" s="143">
        <f t="shared" si="18"/>
        <v>1216</v>
      </c>
      <c r="J10" s="143">
        <f t="shared" si="18"/>
        <v>952</v>
      </c>
      <c r="K10" s="143">
        <f t="shared" si="18"/>
        <v>872.5</v>
      </c>
      <c r="L10" s="143">
        <f t="shared" si="18"/>
        <v>793</v>
      </c>
      <c r="M10" s="143">
        <f t="shared" si="18"/>
        <v>634</v>
      </c>
      <c r="N10" s="591">
        <f t="shared" si="18"/>
        <v>64.400000000000006</v>
      </c>
      <c r="O10" s="143">
        <f t="shared" si="18"/>
        <v>56.52</v>
      </c>
      <c r="P10" s="143">
        <f t="shared" si="18"/>
        <v>48.64</v>
      </c>
      <c r="Q10" s="143">
        <f t="shared" si="18"/>
        <v>38.08</v>
      </c>
      <c r="R10" s="143">
        <f t="shared" si="18"/>
        <v>34.9</v>
      </c>
      <c r="S10" s="143">
        <f t="shared" si="18"/>
        <v>31.720000000000002</v>
      </c>
      <c r="T10" s="592">
        <f t="shared" si="18"/>
        <v>25.36000000000001</v>
      </c>
      <c r="U10" s="145"/>
      <c r="V10" s="142"/>
      <c r="W10" s="142"/>
      <c r="X10" s="142"/>
      <c r="Y10" s="142"/>
      <c r="Z10" s="142"/>
      <c r="AA10" s="146"/>
      <c r="AB10" s="142"/>
      <c r="AC10" s="142"/>
      <c r="AD10" s="142"/>
      <c r="AE10" s="142"/>
      <c r="AF10" s="142"/>
      <c r="AG10" s="142"/>
      <c r="AH10" s="142"/>
      <c r="AI10" s="646">
        <f t="shared" si="18"/>
        <v>71</v>
      </c>
      <c r="AJ10" s="647">
        <f t="shared" si="18"/>
        <v>71.501591720298222</v>
      </c>
      <c r="AK10" s="647">
        <f t="shared" si="18"/>
        <v>74.563758389261736</v>
      </c>
      <c r="AL10" s="647">
        <f t="shared" si="18"/>
        <v>77.632968783008593</v>
      </c>
      <c r="AM10" s="647">
        <f t="shared" si="18"/>
        <v>79.167573979882022</v>
      </c>
      <c r="AN10" s="647">
        <f t="shared" si="18"/>
        <v>80.70217917675545</v>
      </c>
      <c r="AO10" s="648">
        <f t="shared" si="18"/>
        <v>81</v>
      </c>
      <c r="AP10" s="146">
        <f t="shared" si="18"/>
        <v>25</v>
      </c>
      <c r="AQ10" s="104"/>
      <c r="AT10" s="76"/>
    </row>
    <row r="11" spans="1:47" x14ac:dyDescent="0.3">
      <c r="A11" s="981"/>
      <c r="B11" s="967" t="s">
        <v>41</v>
      </c>
      <c r="C11" s="279">
        <v>7</v>
      </c>
      <c r="D11" s="279" t="s">
        <v>42</v>
      </c>
      <c r="E11" s="279">
        <v>2020</v>
      </c>
      <c r="F11" s="507" t="s">
        <v>19</v>
      </c>
      <c r="G11" s="508">
        <v>878</v>
      </c>
      <c r="H11" s="93">
        <f>G11+((I11-G11)/(2030-2020))*(2025-2020)</f>
        <v>797.5</v>
      </c>
      <c r="I11" s="281">
        <v>717</v>
      </c>
      <c r="J11" s="281">
        <v>594</v>
      </c>
      <c r="K11" s="93">
        <f>J11+((L11-J11)/(2050-2040))*(2045-2040)</f>
        <v>553</v>
      </c>
      <c r="L11" s="281">
        <v>512</v>
      </c>
      <c r="M11" s="95">
        <f t="shared" ref="M11:M15" si="19">K11+((L11-K11)/(2050-2045))*(2060-2045)</f>
        <v>430</v>
      </c>
      <c r="N11" s="510">
        <f>G11*0.04</f>
        <v>35.119999999999997</v>
      </c>
      <c r="O11" s="107">
        <f>N11+((P11-N11)/(2030-2020))*(2025-2020)</f>
        <v>31.9</v>
      </c>
      <c r="P11" s="282">
        <f>I11*0.04</f>
        <v>28.68</v>
      </c>
      <c r="Q11" s="282">
        <f>J11*0.04</f>
        <v>23.76</v>
      </c>
      <c r="R11" s="93">
        <f>Q11+((S11-Q11)/(2050-2040))*(2045-2040)</f>
        <v>22.12</v>
      </c>
      <c r="S11" s="282">
        <f>L11*0.04</f>
        <v>20.48</v>
      </c>
      <c r="T11" s="95">
        <f t="shared" ref="T11:T12" si="20">R11+((S11-R11)/(2050-2045))*(2060-2045)</f>
        <v>17.2</v>
      </c>
      <c r="U11" s="278"/>
      <c r="V11" s="279"/>
      <c r="W11" s="279"/>
      <c r="X11" s="279"/>
      <c r="Y11" s="279"/>
      <c r="Z11" s="279"/>
      <c r="AA11" s="7"/>
      <c r="AB11" s="279"/>
      <c r="AC11" s="279"/>
      <c r="AD11" s="279"/>
      <c r="AE11" s="279"/>
      <c r="AF11" s="279"/>
      <c r="AG11" s="279"/>
      <c r="AH11" s="279"/>
      <c r="AI11" s="649">
        <v>68</v>
      </c>
      <c r="AJ11" s="101">
        <f>AI11+((AK11-AI11)/(2030-2020))*(2025-2020)</f>
        <v>68</v>
      </c>
      <c r="AK11" s="625">
        <v>68</v>
      </c>
      <c r="AL11" s="625">
        <v>69</v>
      </c>
      <c r="AM11" s="101">
        <f t="shared" ref="AM11:AM15" si="21">AL11+((AN11-AL11)/(2050-2040))*(2045-2040)</f>
        <v>69.5</v>
      </c>
      <c r="AN11" s="625">
        <v>70</v>
      </c>
      <c r="AO11" s="103">
        <v>70</v>
      </c>
      <c r="AP11" s="7">
        <v>25</v>
      </c>
      <c r="AQ11" s="104"/>
    </row>
    <row r="12" spans="1:47" x14ac:dyDescent="0.3">
      <c r="A12" s="981"/>
      <c r="B12" s="955"/>
      <c r="C12" s="290">
        <v>4</v>
      </c>
      <c r="D12" s="290" t="s">
        <v>31</v>
      </c>
      <c r="E12" s="290">
        <v>2022</v>
      </c>
      <c r="F12" s="507" t="s">
        <v>19</v>
      </c>
      <c r="G12" s="510">
        <v>650</v>
      </c>
      <c r="H12" s="282">
        <f>550</f>
        <v>550</v>
      </c>
      <c r="I12" s="282">
        <f>450</f>
        <v>450</v>
      </c>
      <c r="J12" s="282">
        <f>300</f>
        <v>300</v>
      </c>
      <c r="K12" s="282">
        <v>275</v>
      </c>
      <c r="L12" s="282">
        <f>250</f>
        <v>250</v>
      </c>
      <c r="M12" s="107">
        <f t="shared" si="19"/>
        <v>200</v>
      </c>
      <c r="N12" s="510">
        <f t="shared" ref="N12:S15" si="22">G12*0.02</f>
        <v>13</v>
      </c>
      <c r="O12" s="282">
        <f t="shared" si="22"/>
        <v>11</v>
      </c>
      <c r="P12" s="282">
        <f t="shared" si="22"/>
        <v>9</v>
      </c>
      <c r="Q12" s="282">
        <f t="shared" si="22"/>
        <v>6</v>
      </c>
      <c r="R12" s="282">
        <f t="shared" si="22"/>
        <v>5.5</v>
      </c>
      <c r="S12" s="282">
        <f t="shared" si="22"/>
        <v>5</v>
      </c>
      <c r="T12" s="109">
        <f t="shared" si="20"/>
        <v>4</v>
      </c>
      <c r="U12" s="289"/>
      <c r="V12" s="1022"/>
      <c r="W12" s="1022"/>
      <c r="X12" s="1022"/>
      <c r="Y12" s="1022"/>
      <c r="Z12" s="1022"/>
      <c r="AA12" s="11"/>
      <c r="AB12" s="290"/>
      <c r="AC12" s="290"/>
      <c r="AD12" s="290"/>
      <c r="AE12" s="290"/>
      <c r="AF12" s="290"/>
      <c r="AG12" s="290"/>
      <c r="AH12" s="290"/>
      <c r="AI12" s="650">
        <v>66</v>
      </c>
      <c r="AJ12" s="288">
        <v>67</v>
      </c>
      <c r="AK12" s="288">
        <v>68</v>
      </c>
      <c r="AL12" s="288">
        <v>72</v>
      </c>
      <c r="AM12" s="288">
        <f t="shared" si="21"/>
        <v>73.5</v>
      </c>
      <c r="AN12" s="288">
        <v>75</v>
      </c>
      <c r="AO12" s="118">
        <v>75</v>
      </c>
      <c r="AP12" s="511">
        <v>25</v>
      </c>
      <c r="AQ12" s="104" t="s">
        <v>355</v>
      </c>
    </row>
    <row r="13" spans="1:47" x14ac:dyDescent="0.3">
      <c r="A13" s="981"/>
      <c r="B13" s="955"/>
      <c r="C13" s="626">
        <v>10</v>
      </c>
      <c r="D13" s="626" t="s">
        <v>55</v>
      </c>
      <c r="E13" s="626">
        <v>2018</v>
      </c>
      <c r="F13" s="507" t="s">
        <v>19</v>
      </c>
      <c r="G13" s="510">
        <f>656</f>
        <v>656</v>
      </c>
      <c r="H13" s="107">
        <f t="shared" ref="H13:H15" si="23">G13+((I13-G13)/(2030-2020))*(2025-2020)</f>
        <v>549</v>
      </c>
      <c r="I13" s="282">
        <f>442</f>
        <v>442</v>
      </c>
      <c r="J13" s="107">
        <f t="shared" ref="J13:J15" si="24">I13+((L13-I13)/(2050-2030))*(2040-2030)</f>
        <v>321</v>
      </c>
      <c r="K13" s="107">
        <f t="shared" ref="K13:K15" si="25">J13+((L13-J13)/(2050-2040))*(2045-2040)</f>
        <v>260.5</v>
      </c>
      <c r="L13" s="282">
        <f>200</f>
        <v>200</v>
      </c>
      <c r="M13" s="107">
        <v>200</v>
      </c>
      <c r="N13" s="106">
        <f t="shared" si="22"/>
        <v>13.120000000000001</v>
      </c>
      <c r="O13" s="107">
        <f t="shared" ref="O13:O15" si="26">H13*0.02</f>
        <v>10.98</v>
      </c>
      <c r="P13" s="107">
        <f t="shared" ref="P13:P15" si="27">I13*0.02</f>
        <v>8.84</v>
      </c>
      <c r="Q13" s="107">
        <f t="shared" ref="Q13:Q15" si="28">J13*0.02</f>
        <v>6.42</v>
      </c>
      <c r="R13" s="107">
        <f t="shared" ref="R13:R15" si="29">K13*0.02</f>
        <v>5.21</v>
      </c>
      <c r="S13" s="107">
        <f t="shared" ref="S13:S15" si="30">L13*0.02</f>
        <v>4</v>
      </c>
      <c r="T13" s="107">
        <f t="shared" ref="T13:T15" si="31">M13*0.02</f>
        <v>4</v>
      </c>
      <c r="U13" s="289"/>
      <c r="V13" s="1022"/>
      <c r="W13" s="1022"/>
      <c r="X13" s="1022"/>
      <c r="Y13" s="1022"/>
      <c r="Z13" s="1022"/>
      <c r="AA13" s="11"/>
      <c r="AB13" s="290"/>
      <c r="AC13" s="290"/>
      <c r="AD13" s="290"/>
      <c r="AE13" s="290"/>
      <c r="AF13" s="290"/>
      <c r="AG13" s="290"/>
      <c r="AH13" s="290"/>
      <c r="AI13" s="650">
        <f>67</f>
        <v>67</v>
      </c>
      <c r="AJ13" s="378">
        <f t="shared" ref="AJ13:AJ15" si="32">AI13+((AK13-AI13)/(2030-2020))*(2025-2020)</f>
        <v>69</v>
      </c>
      <c r="AK13" s="288">
        <v>71</v>
      </c>
      <c r="AL13" s="378">
        <f t="shared" ref="AL13:AL15" si="33">AK13+((AN13-AK13)/(2050-2030))*(2040-2030)</f>
        <v>75.5</v>
      </c>
      <c r="AM13" s="378">
        <f t="shared" si="21"/>
        <v>77.75</v>
      </c>
      <c r="AN13" s="288">
        <v>80</v>
      </c>
      <c r="AO13" s="118">
        <v>80</v>
      </c>
      <c r="AP13" s="11"/>
      <c r="AQ13" s="104" t="s">
        <v>352</v>
      </c>
    </row>
    <row r="14" spans="1:47" x14ac:dyDescent="0.3">
      <c r="A14" s="981"/>
      <c r="B14" s="955"/>
      <c r="C14" s="626">
        <v>10</v>
      </c>
      <c r="D14" s="626" t="s">
        <v>55</v>
      </c>
      <c r="E14" s="626">
        <v>2018</v>
      </c>
      <c r="F14" s="507" t="s">
        <v>19</v>
      </c>
      <c r="G14" s="510">
        <f>737</f>
        <v>737</v>
      </c>
      <c r="H14" s="107">
        <f t="shared" si="23"/>
        <v>681</v>
      </c>
      <c r="I14" s="282">
        <f>625</f>
        <v>625</v>
      </c>
      <c r="J14" s="107">
        <f t="shared" si="24"/>
        <v>537.5</v>
      </c>
      <c r="K14" s="107">
        <f t="shared" si="25"/>
        <v>493.75</v>
      </c>
      <c r="L14" s="282">
        <f>450</f>
        <v>450</v>
      </c>
      <c r="M14" s="107">
        <f t="shared" si="19"/>
        <v>362.5</v>
      </c>
      <c r="N14" s="106">
        <f t="shared" si="22"/>
        <v>14.74</v>
      </c>
      <c r="O14" s="107">
        <f t="shared" si="26"/>
        <v>13.620000000000001</v>
      </c>
      <c r="P14" s="107">
        <f t="shared" si="27"/>
        <v>12.5</v>
      </c>
      <c r="Q14" s="107">
        <f t="shared" si="28"/>
        <v>10.75</v>
      </c>
      <c r="R14" s="107">
        <f t="shared" si="29"/>
        <v>9.875</v>
      </c>
      <c r="S14" s="107">
        <f t="shared" si="30"/>
        <v>9</v>
      </c>
      <c r="T14" s="107">
        <f t="shared" si="31"/>
        <v>7.25</v>
      </c>
      <c r="U14" s="289"/>
      <c r="V14" s="1022"/>
      <c r="W14" s="1022"/>
      <c r="X14" s="1022"/>
      <c r="Y14" s="1022"/>
      <c r="Z14" s="1022"/>
      <c r="AA14" s="11"/>
      <c r="AB14" s="290"/>
      <c r="AC14" s="290"/>
      <c r="AD14" s="290"/>
      <c r="AE14" s="290"/>
      <c r="AF14" s="290"/>
      <c r="AG14" s="290"/>
      <c r="AH14" s="290"/>
      <c r="AI14" s="650">
        <v>67</v>
      </c>
      <c r="AJ14" s="378">
        <f t="shared" si="32"/>
        <v>69</v>
      </c>
      <c r="AK14" s="288">
        <v>71</v>
      </c>
      <c r="AL14" s="378">
        <f t="shared" si="33"/>
        <v>75.5</v>
      </c>
      <c r="AM14" s="378">
        <f t="shared" si="21"/>
        <v>77.75</v>
      </c>
      <c r="AN14" s="288">
        <v>80</v>
      </c>
      <c r="AO14" s="118">
        <v>80</v>
      </c>
      <c r="AP14" s="11"/>
      <c r="AQ14" s="104" t="s">
        <v>353</v>
      </c>
    </row>
    <row r="15" spans="1:47" x14ac:dyDescent="0.3">
      <c r="A15" s="981"/>
      <c r="B15" s="968"/>
      <c r="C15" s="651">
        <v>10</v>
      </c>
      <c r="D15" s="651" t="s">
        <v>55</v>
      </c>
      <c r="E15" s="651">
        <v>2018</v>
      </c>
      <c r="F15" s="507" t="s">
        <v>19</v>
      </c>
      <c r="G15" s="512">
        <f>768</f>
        <v>768</v>
      </c>
      <c r="H15" s="122">
        <f t="shared" si="23"/>
        <v>737.5</v>
      </c>
      <c r="I15" s="302">
        <f>707</f>
        <v>707</v>
      </c>
      <c r="J15" s="122">
        <f t="shared" si="24"/>
        <v>653.5</v>
      </c>
      <c r="K15" s="122">
        <f t="shared" si="25"/>
        <v>626.75</v>
      </c>
      <c r="L15" s="302">
        <f>600</f>
        <v>600</v>
      </c>
      <c r="M15" s="122">
        <f t="shared" si="19"/>
        <v>546.5</v>
      </c>
      <c r="N15" s="106">
        <f t="shared" si="22"/>
        <v>15.36</v>
      </c>
      <c r="O15" s="107">
        <f t="shared" si="26"/>
        <v>14.75</v>
      </c>
      <c r="P15" s="107">
        <f t="shared" si="27"/>
        <v>14.14</v>
      </c>
      <c r="Q15" s="107">
        <f t="shared" si="28"/>
        <v>13.07</v>
      </c>
      <c r="R15" s="107">
        <f t="shared" si="29"/>
        <v>12.535</v>
      </c>
      <c r="S15" s="107">
        <f t="shared" si="30"/>
        <v>12</v>
      </c>
      <c r="T15" s="107">
        <f t="shared" si="31"/>
        <v>10.93</v>
      </c>
      <c r="U15" s="299"/>
      <c r="V15" s="300"/>
      <c r="W15" s="300"/>
      <c r="X15" s="300"/>
      <c r="Y15" s="300"/>
      <c r="Z15" s="300"/>
      <c r="AA15" s="18"/>
      <c r="AB15" s="300"/>
      <c r="AC15" s="300"/>
      <c r="AD15" s="300"/>
      <c r="AE15" s="300"/>
      <c r="AF15" s="300"/>
      <c r="AG15" s="300"/>
      <c r="AH15" s="300"/>
      <c r="AI15" s="652">
        <v>67</v>
      </c>
      <c r="AJ15" s="386">
        <f t="shared" si="32"/>
        <v>69</v>
      </c>
      <c r="AK15" s="308">
        <v>71</v>
      </c>
      <c r="AL15" s="386">
        <f t="shared" si="33"/>
        <v>75.5</v>
      </c>
      <c r="AM15" s="386">
        <f t="shared" si="21"/>
        <v>77.75</v>
      </c>
      <c r="AN15" s="308">
        <v>80</v>
      </c>
      <c r="AO15" s="584">
        <v>80</v>
      </c>
      <c r="AP15" s="18"/>
      <c r="AQ15" s="104" t="s">
        <v>354</v>
      </c>
      <c r="AT15" s="76"/>
      <c r="AU15" s="76"/>
    </row>
    <row r="16" spans="1:47" x14ac:dyDescent="0.3">
      <c r="A16" s="981"/>
      <c r="B16" s="310" t="s">
        <v>267</v>
      </c>
      <c r="C16" s="318"/>
      <c r="D16" s="318"/>
      <c r="E16" s="318"/>
      <c r="F16" s="318"/>
      <c r="G16" s="312">
        <f>MIN(G11:G15)</f>
        <v>650</v>
      </c>
      <c r="H16" s="313">
        <f t="shared" ref="H16:T16" si="34">MIN(H11:H15)</f>
        <v>549</v>
      </c>
      <c r="I16" s="313">
        <f t="shared" si="34"/>
        <v>442</v>
      </c>
      <c r="J16" s="313">
        <f t="shared" si="34"/>
        <v>300</v>
      </c>
      <c r="K16" s="313">
        <f t="shared" si="34"/>
        <v>260.5</v>
      </c>
      <c r="L16" s="313">
        <f t="shared" si="34"/>
        <v>200</v>
      </c>
      <c r="M16" s="313">
        <f t="shared" si="34"/>
        <v>200</v>
      </c>
      <c r="N16" s="312">
        <f t="shared" si="34"/>
        <v>13</v>
      </c>
      <c r="O16" s="313">
        <f t="shared" si="34"/>
        <v>10.98</v>
      </c>
      <c r="P16" s="313">
        <f t="shared" si="34"/>
        <v>8.84</v>
      </c>
      <c r="Q16" s="313">
        <f t="shared" si="34"/>
        <v>6</v>
      </c>
      <c r="R16" s="313">
        <f t="shared" si="34"/>
        <v>5.21</v>
      </c>
      <c r="S16" s="313">
        <f t="shared" si="34"/>
        <v>4</v>
      </c>
      <c r="T16" s="313">
        <f t="shared" si="34"/>
        <v>4</v>
      </c>
      <c r="U16" s="317"/>
      <c r="V16" s="318"/>
      <c r="W16" s="318"/>
      <c r="X16" s="318"/>
      <c r="Y16" s="318"/>
      <c r="Z16" s="318"/>
      <c r="AA16" s="321"/>
      <c r="AB16" s="318"/>
      <c r="AC16" s="318"/>
      <c r="AD16" s="318"/>
      <c r="AE16" s="318"/>
      <c r="AF16" s="318"/>
      <c r="AG16" s="318"/>
      <c r="AH16" s="318"/>
      <c r="AI16" s="653">
        <f t="shared" ref="AI16:AP16" si="35">MIN(AI11:AI15)</f>
        <v>66</v>
      </c>
      <c r="AJ16" s="319">
        <f t="shared" si="35"/>
        <v>67</v>
      </c>
      <c r="AK16" s="319">
        <f t="shared" si="35"/>
        <v>68</v>
      </c>
      <c r="AL16" s="319">
        <f t="shared" si="35"/>
        <v>69</v>
      </c>
      <c r="AM16" s="319">
        <f t="shared" si="35"/>
        <v>69.5</v>
      </c>
      <c r="AN16" s="319">
        <f t="shared" si="35"/>
        <v>70</v>
      </c>
      <c r="AO16" s="320">
        <f t="shared" si="35"/>
        <v>70</v>
      </c>
      <c r="AP16" s="321">
        <f t="shared" si="35"/>
        <v>25</v>
      </c>
      <c r="AQ16" s="104"/>
      <c r="AT16" s="76"/>
      <c r="AU16" s="76"/>
    </row>
    <row r="17" spans="1:43" x14ac:dyDescent="0.3">
      <c r="A17" s="981"/>
      <c r="B17" s="322" t="s">
        <v>268</v>
      </c>
      <c r="C17" s="311"/>
      <c r="D17" s="311"/>
      <c r="E17" s="311"/>
      <c r="F17" s="311"/>
      <c r="G17" s="323">
        <f>MEDIAN(G11:G15)</f>
        <v>737</v>
      </c>
      <c r="H17" s="324">
        <f t="shared" ref="H17:AP17" si="36">MEDIAN(H11:H15)</f>
        <v>681</v>
      </c>
      <c r="I17" s="324">
        <f t="shared" si="36"/>
        <v>625</v>
      </c>
      <c r="J17" s="324">
        <f t="shared" si="36"/>
        <v>537.5</v>
      </c>
      <c r="K17" s="324">
        <f t="shared" si="36"/>
        <v>493.75</v>
      </c>
      <c r="L17" s="324">
        <f t="shared" si="36"/>
        <v>450</v>
      </c>
      <c r="M17" s="324">
        <f t="shared" si="36"/>
        <v>362.5</v>
      </c>
      <c r="N17" s="323">
        <f t="shared" si="36"/>
        <v>14.74</v>
      </c>
      <c r="O17" s="324">
        <f t="shared" si="36"/>
        <v>13.620000000000001</v>
      </c>
      <c r="P17" s="324">
        <f t="shared" si="36"/>
        <v>12.5</v>
      </c>
      <c r="Q17" s="324">
        <f t="shared" si="36"/>
        <v>10.75</v>
      </c>
      <c r="R17" s="324">
        <f t="shared" si="36"/>
        <v>9.875</v>
      </c>
      <c r="S17" s="324">
        <f t="shared" si="36"/>
        <v>9</v>
      </c>
      <c r="T17" s="324">
        <f t="shared" si="36"/>
        <v>7.25</v>
      </c>
      <c r="U17" s="328"/>
      <c r="V17" s="1023"/>
      <c r="W17" s="1023"/>
      <c r="X17" s="1023"/>
      <c r="Y17" s="1023"/>
      <c r="Z17" s="1023"/>
      <c r="AA17" s="331"/>
      <c r="AB17" s="311"/>
      <c r="AC17" s="311"/>
      <c r="AD17" s="311"/>
      <c r="AE17" s="311"/>
      <c r="AF17" s="311"/>
      <c r="AG17" s="311"/>
      <c r="AH17" s="311"/>
      <c r="AI17" s="654">
        <f t="shared" si="36"/>
        <v>67</v>
      </c>
      <c r="AJ17" s="329">
        <f t="shared" si="36"/>
        <v>69</v>
      </c>
      <c r="AK17" s="329">
        <f t="shared" si="36"/>
        <v>71</v>
      </c>
      <c r="AL17" s="329">
        <f t="shared" si="36"/>
        <v>75.5</v>
      </c>
      <c r="AM17" s="329">
        <f t="shared" si="36"/>
        <v>77.75</v>
      </c>
      <c r="AN17" s="329">
        <f t="shared" si="36"/>
        <v>80</v>
      </c>
      <c r="AO17" s="330">
        <f t="shared" si="36"/>
        <v>80</v>
      </c>
      <c r="AP17" s="331">
        <f t="shared" si="36"/>
        <v>25</v>
      </c>
      <c r="AQ17" s="104"/>
    </row>
    <row r="18" spans="1:43" x14ac:dyDescent="0.3">
      <c r="A18" s="981"/>
      <c r="B18" s="332" t="s">
        <v>269</v>
      </c>
      <c r="C18" s="333"/>
      <c r="D18" s="333"/>
      <c r="E18" s="333"/>
      <c r="F18" s="333"/>
      <c r="G18" s="334">
        <f t="shared" ref="G18:T18" si="37">MAX(G11:G15)</f>
        <v>878</v>
      </c>
      <c r="H18" s="335">
        <f t="shared" si="37"/>
        <v>797.5</v>
      </c>
      <c r="I18" s="335">
        <f t="shared" si="37"/>
        <v>717</v>
      </c>
      <c r="J18" s="335">
        <f t="shared" si="37"/>
        <v>653.5</v>
      </c>
      <c r="K18" s="335">
        <f t="shared" si="37"/>
        <v>626.75</v>
      </c>
      <c r="L18" s="335">
        <f t="shared" si="37"/>
        <v>600</v>
      </c>
      <c r="M18" s="335">
        <f t="shared" si="37"/>
        <v>546.5</v>
      </c>
      <c r="N18" s="334">
        <f t="shared" si="37"/>
        <v>35.119999999999997</v>
      </c>
      <c r="O18" s="335">
        <f t="shared" si="37"/>
        <v>31.9</v>
      </c>
      <c r="P18" s="335">
        <f t="shared" si="37"/>
        <v>28.68</v>
      </c>
      <c r="Q18" s="335">
        <f t="shared" si="37"/>
        <v>23.76</v>
      </c>
      <c r="R18" s="335">
        <f t="shared" si="37"/>
        <v>22.12</v>
      </c>
      <c r="S18" s="335">
        <f t="shared" si="37"/>
        <v>20.48</v>
      </c>
      <c r="T18" s="335">
        <f t="shared" si="37"/>
        <v>17.2</v>
      </c>
      <c r="U18" s="339"/>
      <c r="V18" s="333"/>
      <c r="W18" s="333"/>
      <c r="X18" s="333"/>
      <c r="Y18" s="333"/>
      <c r="Z18" s="333"/>
      <c r="AA18" s="342"/>
      <c r="AB18" s="333"/>
      <c r="AC18" s="333"/>
      <c r="AD18" s="333"/>
      <c r="AE18" s="333"/>
      <c r="AF18" s="333"/>
      <c r="AG18" s="333"/>
      <c r="AH18" s="333"/>
      <c r="AI18" s="655">
        <f t="shared" ref="AI18:AP18" si="38">MAX(AI11:AI15)</f>
        <v>68</v>
      </c>
      <c r="AJ18" s="340">
        <f t="shared" si="38"/>
        <v>69</v>
      </c>
      <c r="AK18" s="340">
        <f t="shared" si="38"/>
        <v>71</v>
      </c>
      <c r="AL18" s="340">
        <f t="shared" si="38"/>
        <v>75.5</v>
      </c>
      <c r="AM18" s="340">
        <f t="shared" si="38"/>
        <v>77.75</v>
      </c>
      <c r="AN18" s="340">
        <f t="shared" si="38"/>
        <v>80</v>
      </c>
      <c r="AO18" s="341">
        <f t="shared" si="38"/>
        <v>80</v>
      </c>
      <c r="AP18" s="342">
        <f t="shared" si="38"/>
        <v>25</v>
      </c>
      <c r="AQ18" s="104"/>
    </row>
    <row r="19" spans="1:43" x14ac:dyDescent="0.3">
      <c r="A19" s="981"/>
      <c r="B19" s="969" t="s">
        <v>43</v>
      </c>
      <c r="C19" s="202">
        <v>7</v>
      </c>
      <c r="D19" s="202" t="s">
        <v>42</v>
      </c>
      <c r="E19" s="202">
        <v>2020</v>
      </c>
      <c r="F19" s="203" t="s">
        <v>19</v>
      </c>
      <c r="G19" s="480">
        <v>1999</v>
      </c>
      <c r="H19" s="93">
        <f t="shared" ref="H19:H24" si="39">G19+((I19-G19)/(2030-2020))*(2025-2020)</f>
        <v>1738</v>
      </c>
      <c r="I19" s="204">
        <v>1477</v>
      </c>
      <c r="J19" s="204">
        <v>1123</v>
      </c>
      <c r="K19" s="93">
        <f t="shared" ref="K19:K35" si="40">J19+((L19-J19)/(2050-2040))*(2045-2040)</f>
        <v>1014</v>
      </c>
      <c r="L19" s="204">
        <v>905</v>
      </c>
      <c r="M19" s="95">
        <f>K19+((L19-K19)/(2050-2045))*(2060-2045)</f>
        <v>687</v>
      </c>
      <c r="N19" s="480">
        <f>G19*0.04</f>
        <v>79.960000000000008</v>
      </c>
      <c r="O19" s="93">
        <f t="shared" ref="O19:O21" si="41">N19+((P19-N19)/(2030-2020))*(2025-2020)</f>
        <v>69.52000000000001</v>
      </c>
      <c r="P19" s="204">
        <f>I19*0.04</f>
        <v>59.08</v>
      </c>
      <c r="Q19" s="204">
        <f>J19*0.04</f>
        <v>44.92</v>
      </c>
      <c r="R19" s="93">
        <f t="shared" ref="R19:R21" si="42">Q19+((S19-Q19)/(2050-2040))*(2045-2040)</f>
        <v>40.56</v>
      </c>
      <c r="S19" s="204">
        <f>L19*0.04</f>
        <v>36.200000000000003</v>
      </c>
      <c r="T19" s="95">
        <f>R19+((S19-R19)/(2050-2045))*(2060-2045)</f>
        <v>27.480000000000004</v>
      </c>
      <c r="U19" s="205"/>
      <c r="V19" s="202"/>
      <c r="W19" s="202"/>
      <c r="X19" s="202"/>
      <c r="Y19" s="202"/>
      <c r="Z19" s="202"/>
      <c r="AA19" s="21"/>
      <c r="AB19" s="202"/>
      <c r="AC19" s="202"/>
      <c r="AD19" s="202"/>
      <c r="AE19" s="202"/>
      <c r="AF19" s="202"/>
      <c r="AG19" s="202"/>
      <c r="AH19" s="202"/>
      <c r="AI19" s="656">
        <v>73</v>
      </c>
      <c r="AJ19" s="101">
        <f t="shared" ref="AJ19:AJ20" si="43">AI19+((AK19-AI19)/(2030-2020))*(2025-2020)</f>
        <v>73</v>
      </c>
      <c r="AK19" s="207">
        <v>73</v>
      </c>
      <c r="AL19" s="207">
        <v>75</v>
      </c>
      <c r="AM19" s="101">
        <f t="shared" ref="AM19:AM24" si="44">AL19+((AN19-AL19)/(2050-2040))*(2045-2040)</f>
        <v>76</v>
      </c>
      <c r="AN19" s="207">
        <v>77</v>
      </c>
      <c r="AO19" s="103">
        <v>77</v>
      </c>
      <c r="AP19" s="657">
        <v>25</v>
      </c>
      <c r="AQ19" s="104"/>
    </row>
    <row r="20" spans="1:43" x14ac:dyDescent="0.3">
      <c r="A20" s="981"/>
      <c r="B20" s="937"/>
      <c r="C20" s="208">
        <v>1</v>
      </c>
      <c r="D20" s="208" t="s">
        <v>18</v>
      </c>
      <c r="E20" s="208">
        <v>2020</v>
      </c>
      <c r="F20" s="203" t="s">
        <v>19</v>
      </c>
      <c r="G20" s="212">
        <f>4000/1.1422</f>
        <v>3502.0136578532652</v>
      </c>
      <c r="H20" s="107">
        <f t="shared" si="39"/>
        <v>2538.9599019436173</v>
      </c>
      <c r="I20" s="209">
        <f>1800/1.1422</f>
        <v>1575.9061460339694</v>
      </c>
      <c r="J20" s="209">
        <f>1275/1.1422</f>
        <v>1116.2668534407283</v>
      </c>
      <c r="K20" s="107">
        <f t="shared" si="40"/>
        <v>886.44720714410778</v>
      </c>
      <c r="L20" s="209">
        <f>750/1.1422</f>
        <v>656.62756084748719</v>
      </c>
      <c r="M20" s="107">
        <v>656.62756084748719</v>
      </c>
      <c r="N20" s="212">
        <f t="shared" ref="N20:N24" si="45">G20*0.02</f>
        <v>70.0402731570653</v>
      </c>
      <c r="O20" s="107">
        <f t="shared" si="41"/>
        <v>50.779198038872345</v>
      </c>
      <c r="P20" s="209">
        <f t="shared" ref="P20:P24" si="46">I20*0.02</f>
        <v>31.518122920679389</v>
      </c>
      <c r="Q20" s="209">
        <f t="shared" ref="Q20:Q24" si="47">J20*0.02</f>
        <v>22.325337068814566</v>
      </c>
      <c r="R20" s="107">
        <f t="shared" si="42"/>
        <v>17.728944142882156</v>
      </c>
      <c r="S20" s="209">
        <f t="shared" ref="S20:S24" si="48">L20*0.02</f>
        <v>13.132551216949745</v>
      </c>
      <c r="T20" s="107">
        <v>13.13</v>
      </c>
      <c r="U20" s="210"/>
      <c r="V20" s="1024"/>
      <c r="W20" s="1024"/>
      <c r="X20" s="1024"/>
      <c r="Y20" s="1024"/>
      <c r="Z20" s="1024"/>
      <c r="AA20" s="24"/>
      <c r="AB20" s="208"/>
      <c r="AC20" s="1031"/>
      <c r="AD20" s="208"/>
      <c r="AE20" s="208"/>
      <c r="AF20" s="208"/>
      <c r="AG20" s="208"/>
      <c r="AH20" s="208"/>
      <c r="AI20" s="658">
        <v>77.5</v>
      </c>
      <c r="AJ20" s="378">
        <f t="shared" si="43"/>
        <v>79</v>
      </c>
      <c r="AK20" s="213">
        <v>80.5</v>
      </c>
      <c r="AL20" s="213">
        <v>82</v>
      </c>
      <c r="AM20" s="378">
        <f t="shared" si="44"/>
        <v>82.75</v>
      </c>
      <c r="AN20" s="213">
        <v>83.5</v>
      </c>
      <c r="AO20" s="118">
        <v>84</v>
      </c>
      <c r="AP20" s="485">
        <v>25</v>
      </c>
      <c r="AQ20" s="104" t="s">
        <v>356</v>
      </c>
    </row>
    <row r="21" spans="1:43" x14ac:dyDescent="0.3">
      <c r="A21" s="981"/>
      <c r="B21" s="937"/>
      <c r="C21" s="208">
        <v>1</v>
      </c>
      <c r="D21" s="208" t="s">
        <v>18</v>
      </c>
      <c r="E21" s="208">
        <v>2020</v>
      </c>
      <c r="F21" s="203" t="s">
        <v>19</v>
      </c>
      <c r="G21" s="212">
        <f>2400/1.1422</f>
        <v>2101.2081947119591</v>
      </c>
      <c r="H21" s="107">
        <f t="shared" si="39"/>
        <v>1400.8054631413061</v>
      </c>
      <c r="I21" s="209">
        <f>800/1.1422</f>
        <v>700.40273157065303</v>
      </c>
      <c r="J21" s="209">
        <f>650/1.1422</f>
        <v>569.07721940115562</v>
      </c>
      <c r="K21" s="107">
        <f t="shared" si="40"/>
        <v>503.41446331640691</v>
      </c>
      <c r="L21" s="209">
        <f>500/1.1422</f>
        <v>437.75170723165814</v>
      </c>
      <c r="M21" s="107">
        <v>437.75170723165814</v>
      </c>
      <c r="N21" s="212">
        <f t="shared" si="45"/>
        <v>42.02416389423918</v>
      </c>
      <c r="O21" s="107">
        <f t="shared" si="41"/>
        <v>28.01610926282612</v>
      </c>
      <c r="P21" s="209">
        <f t="shared" si="46"/>
        <v>14.00805463141306</v>
      </c>
      <c r="Q21" s="209">
        <f t="shared" si="47"/>
        <v>11.381544388023112</v>
      </c>
      <c r="R21" s="107">
        <f t="shared" si="42"/>
        <v>10.068289266328136</v>
      </c>
      <c r="S21" s="209">
        <f t="shared" si="48"/>
        <v>8.7550341446331625</v>
      </c>
      <c r="T21" s="107">
        <v>8.76</v>
      </c>
      <c r="U21" s="210"/>
      <c r="V21" s="1024"/>
      <c r="W21" s="1024"/>
      <c r="X21" s="1024"/>
      <c r="Y21" s="1024"/>
      <c r="Z21" s="1024"/>
      <c r="AA21" s="24"/>
      <c r="AB21" s="208"/>
      <c r="AC21" s="208"/>
      <c r="AD21" s="208"/>
      <c r="AE21" s="208"/>
      <c r="AF21" s="208"/>
      <c r="AG21" s="208"/>
      <c r="AH21" s="208"/>
      <c r="AI21" s="658" t="s">
        <v>357</v>
      </c>
      <c r="AJ21" s="378">
        <f>77.5</f>
        <v>77.5</v>
      </c>
      <c r="AK21" s="213">
        <v>80.5</v>
      </c>
      <c r="AL21" s="213">
        <v>82</v>
      </c>
      <c r="AM21" s="378">
        <f t="shared" si="44"/>
        <v>82.75</v>
      </c>
      <c r="AN21" s="213">
        <v>83.5</v>
      </c>
      <c r="AO21" s="118">
        <v>84</v>
      </c>
      <c r="AP21" s="485">
        <v>25</v>
      </c>
      <c r="AQ21" s="104" t="s">
        <v>358</v>
      </c>
    </row>
    <row r="22" spans="1:43" x14ac:dyDescent="0.3">
      <c r="A22" s="981"/>
      <c r="B22" s="937"/>
      <c r="C22" s="208">
        <v>10</v>
      </c>
      <c r="D22" s="208" t="s">
        <v>55</v>
      </c>
      <c r="E22" s="208">
        <v>2018</v>
      </c>
      <c r="F22" s="203" t="s">
        <v>19</v>
      </c>
      <c r="G22" s="212">
        <f>877</f>
        <v>877</v>
      </c>
      <c r="H22" s="107">
        <f t="shared" si="39"/>
        <v>776</v>
      </c>
      <c r="I22" s="209">
        <f>675</f>
        <v>675</v>
      </c>
      <c r="J22" s="107">
        <f t="shared" ref="J22:J24" si="49">I22+((L22-I22)/(2050-2030))*(2040-2030)</f>
        <v>537.5</v>
      </c>
      <c r="K22" s="107">
        <f t="shared" si="40"/>
        <v>468.75</v>
      </c>
      <c r="L22" s="209">
        <f>400</f>
        <v>400</v>
      </c>
      <c r="M22" s="107">
        <v>400</v>
      </c>
      <c r="N22" s="106">
        <f t="shared" si="45"/>
        <v>17.54</v>
      </c>
      <c r="O22" s="107">
        <f t="shared" ref="O22:O24" si="50">H22*0.02</f>
        <v>15.52</v>
      </c>
      <c r="P22" s="107">
        <f t="shared" si="46"/>
        <v>13.5</v>
      </c>
      <c r="Q22" s="107">
        <f t="shared" si="47"/>
        <v>10.75</v>
      </c>
      <c r="R22" s="107">
        <f t="shared" ref="R22:R24" si="51">K22*0.02</f>
        <v>9.375</v>
      </c>
      <c r="S22" s="107">
        <f t="shared" si="48"/>
        <v>8</v>
      </c>
      <c r="T22" s="107">
        <f t="shared" ref="T22:T24" si="52">M22*0.02</f>
        <v>8</v>
      </c>
      <c r="U22" s="210"/>
      <c r="V22" s="1024"/>
      <c r="W22" s="1024"/>
      <c r="X22" s="1024"/>
      <c r="Y22" s="1024"/>
      <c r="Z22" s="1024"/>
      <c r="AA22" s="24"/>
      <c r="AB22" s="208"/>
      <c r="AC22" s="208"/>
      <c r="AD22" s="208"/>
      <c r="AE22" s="208"/>
      <c r="AF22" s="208"/>
      <c r="AG22" s="208"/>
      <c r="AH22" s="208"/>
      <c r="AI22" s="658">
        <v>81</v>
      </c>
      <c r="AJ22" s="378">
        <f t="shared" ref="AJ22:AJ24" si="53">AI22+((AK22-AI22)/(2030-2020))*(2025-2020)</f>
        <v>82.5</v>
      </c>
      <c r="AK22" s="213">
        <v>84</v>
      </c>
      <c r="AL22" s="378">
        <f t="shared" ref="AL22:AL24" si="54">AK22+((AN22-AK22)/(2050-2030))*(2040-2030)</f>
        <v>87</v>
      </c>
      <c r="AM22" s="378">
        <f t="shared" si="44"/>
        <v>88.5</v>
      </c>
      <c r="AN22" s="213">
        <v>90</v>
      </c>
      <c r="AO22" s="118">
        <v>90</v>
      </c>
      <c r="AP22" s="485"/>
      <c r="AQ22" s="104" t="s">
        <v>359</v>
      </c>
    </row>
    <row r="23" spans="1:43" x14ac:dyDescent="0.3">
      <c r="A23" s="981"/>
      <c r="B23" s="937"/>
      <c r="C23" s="208">
        <v>10</v>
      </c>
      <c r="D23" s="208" t="s">
        <v>55</v>
      </c>
      <c r="E23" s="208">
        <v>2018</v>
      </c>
      <c r="F23" s="203" t="s">
        <v>19</v>
      </c>
      <c r="G23" s="212">
        <f>930</f>
        <v>930</v>
      </c>
      <c r="H23" s="107">
        <f t="shared" si="39"/>
        <v>867</v>
      </c>
      <c r="I23" s="209">
        <f>804</f>
        <v>804</v>
      </c>
      <c r="J23" s="107">
        <f t="shared" si="49"/>
        <v>702</v>
      </c>
      <c r="K23" s="107">
        <f t="shared" si="40"/>
        <v>651</v>
      </c>
      <c r="L23" s="209">
        <f>600</f>
        <v>600</v>
      </c>
      <c r="M23" s="107">
        <f t="shared" ref="M23:M35" si="55">K23+((L23-K23)/(2050-2045))*(2060-2045)</f>
        <v>498</v>
      </c>
      <c r="N23" s="106">
        <f t="shared" si="45"/>
        <v>18.600000000000001</v>
      </c>
      <c r="O23" s="107">
        <f t="shared" si="50"/>
        <v>17.34</v>
      </c>
      <c r="P23" s="107">
        <f t="shared" si="46"/>
        <v>16.080000000000002</v>
      </c>
      <c r="Q23" s="107">
        <f t="shared" si="47"/>
        <v>14.040000000000001</v>
      </c>
      <c r="R23" s="107">
        <f t="shared" si="51"/>
        <v>13.02</v>
      </c>
      <c r="S23" s="107">
        <f t="shared" si="48"/>
        <v>12</v>
      </c>
      <c r="T23" s="107">
        <f t="shared" si="52"/>
        <v>9.9600000000000009</v>
      </c>
      <c r="U23" s="210"/>
      <c r="V23" s="1024"/>
      <c r="W23" s="1024"/>
      <c r="X23" s="1024"/>
      <c r="Y23" s="1024"/>
      <c r="Z23" s="1024"/>
      <c r="AA23" s="24"/>
      <c r="AB23" s="208"/>
      <c r="AC23" s="208"/>
      <c r="AD23" s="208"/>
      <c r="AE23" s="208"/>
      <c r="AF23" s="208"/>
      <c r="AG23" s="208"/>
      <c r="AH23" s="208"/>
      <c r="AI23" s="658">
        <v>81</v>
      </c>
      <c r="AJ23" s="378">
        <f t="shared" si="53"/>
        <v>82.5</v>
      </c>
      <c r="AK23" s="213">
        <v>84</v>
      </c>
      <c r="AL23" s="378">
        <f t="shared" si="54"/>
        <v>87</v>
      </c>
      <c r="AM23" s="378">
        <f t="shared" si="44"/>
        <v>88.5</v>
      </c>
      <c r="AN23" s="213">
        <v>90</v>
      </c>
      <c r="AO23" s="118">
        <v>90</v>
      </c>
      <c r="AP23" s="485"/>
      <c r="AQ23" s="104" t="s">
        <v>360</v>
      </c>
    </row>
    <row r="24" spans="1:43" x14ac:dyDescent="0.3">
      <c r="A24" s="981"/>
      <c r="B24" s="938"/>
      <c r="C24" s="214">
        <v>10</v>
      </c>
      <c r="D24" s="214" t="s">
        <v>55</v>
      </c>
      <c r="E24" s="214">
        <v>2018</v>
      </c>
      <c r="F24" s="203" t="s">
        <v>19</v>
      </c>
      <c r="G24" s="597">
        <f>969</f>
        <v>969</v>
      </c>
      <c r="H24" s="122">
        <f t="shared" si="39"/>
        <v>939</v>
      </c>
      <c r="I24" s="215">
        <f>909</f>
        <v>909</v>
      </c>
      <c r="J24" s="122">
        <f t="shared" si="49"/>
        <v>854.5</v>
      </c>
      <c r="K24" s="122">
        <f t="shared" si="40"/>
        <v>827.25</v>
      </c>
      <c r="L24" s="215">
        <f>800</f>
        <v>800</v>
      </c>
      <c r="M24" s="122">
        <f t="shared" si="55"/>
        <v>745.5</v>
      </c>
      <c r="N24" s="106">
        <f t="shared" si="45"/>
        <v>19.38</v>
      </c>
      <c r="O24" s="107">
        <f t="shared" si="50"/>
        <v>18.78</v>
      </c>
      <c r="P24" s="107">
        <f t="shared" si="46"/>
        <v>18.18</v>
      </c>
      <c r="Q24" s="107">
        <f t="shared" si="47"/>
        <v>17.09</v>
      </c>
      <c r="R24" s="107">
        <f t="shared" si="51"/>
        <v>16.545000000000002</v>
      </c>
      <c r="S24" s="107">
        <f t="shared" si="48"/>
        <v>16</v>
      </c>
      <c r="T24" s="107">
        <f t="shared" si="52"/>
        <v>14.91</v>
      </c>
      <c r="U24" s="216"/>
      <c r="V24" s="214"/>
      <c r="W24" s="214"/>
      <c r="X24" s="214"/>
      <c r="Y24" s="214"/>
      <c r="Z24" s="214"/>
      <c r="AA24" s="27"/>
      <c r="AB24" s="214"/>
      <c r="AC24" s="214"/>
      <c r="AD24" s="214"/>
      <c r="AE24" s="214"/>
      <c r="AF24" s="214"/>
      <c r="AG24" s="214"/>
      <c r="AH24" s="214"/>
      <c r="AI24" s="659">
        <v>81</v>
      </c>
      <c r="AJ24" s="386">
        <f t="shared" si="53"/>
        <v>82.5</v>
      </c>
      <c r="AK24" s="660">
        <v>84</v>
      </c>
      <c r="AL24" s="386">
        <f t="shared" si="54"/>
        <v>87</v>
      </c>
      <c r="AM24" s="386">
        <f t="shared" si="44"/>
        <v>88.5</v>
      </c>
      <c r="AN24" s="660">
        <v>90</v>
      </c>
      <c r="AO24" s="584">
        <v>90</v>
      </c>
      <c r="AP24" s="661"/>
      <c r="AQ24" s="104" t="s">
        <v>361</v>
      </c>
    </row>
    <row r="25" spans="1:43" x14ac:dyDescent="0.3">
      <c r="A25" s="981"/>
      <c r="B25" s="217" t="s">
        <v>267</v>
      </c>
      <c r="C25" s="218"/>
      <c r="D25" s="218"/>
      <c r="E25" s="218"/>
      <c r="F25" s="218"/>
      <c r="G25" s="219">
        <f>MIN(G19:G24)</f>
        <v>877</v>
      </c>
      <c r="H25" s="220">
        <f t="shared" ref="H25:AP25" si="56">MIN(H19:H24)</f>
        <v>776</v>
      </c>
      <c r="I25" s="220">
        <f t="shared" si="56"/>
        <v>675</v>
      </c>
      <c r="J25" s="220">
        <f t="shared" si="56"/>
        <v>537.5</v>
      </c>
      <c r="K25" s="220"/>
      <c r="L25" s="220">
        <f t="shared" si="56"/>
        <v>400</v>
      </c>
      <c r="M25" s="220"/>
      <c r="N25" s="219">
        <f t="shared" si="56"/>
        <v>17.54</v>
      </c>
      <c r="O25" s="220">
        <f t="shared" si="56"/>
        <v>15.52</v>
      </c>
      <c r="P25" s="220">
        <f t="shared" si="56"/>
        <v>13.5</v>
      </c>
      <c r="Q25" s="220">
        <f t="shared" si="56"/>
        <v>10.75</v>
      </c>
      <c r="R25" s="220">
        <f t="shared" si="56"/>
        <v>9.375</v>
      </c>
      <c r="S25" s="220">
        <f t="shared" si="56"/>
        <v>8</v>
      </c>
      <c r="T25" s="220">
        <f t="shared" si="56"/>
        <v>8</v>
      </c>
      <c r="U25" s="222"/>
      <c r="V25" s="218"/>
      <c r="W25" s="218"/>
      <c r="X25" s="218"/>
      <c r="Y25" s="218"/>
      <c r="Z25" s="218"/>
      <c r="AA25" s="223"/>
      <c r="AB25" s="218"/>
      <c r="AC25" s="218"/>
      <c r="AD25" s="218"/>
      <c r="AE25" s="218"/>
      <c r="AF25" s="218"/>
      <c r="AG25" s="218"/>
      <c r="AH25" s="218"/>
      <c r="AI25" s="662">
        <f t="shared" si="56"/>
        <v>73</v>
      </c>
      <c r="AJ25" s="490">
        <f t="shared" si="56"/>
        <v>73</v>
      </c>
      <c r="AK25" s="490">
        <f t="shared" si="56"/>
        <v>73</v>
      </c>
      <c r="AL25" s="490">
        <f t="shared" si="56"/>
        <v>75</v>
      </c>
      <c r="AM25" s="490">
        <f t="shared" si="56"/>
        <v>76</v>
      </c>
      <c r="AN25" s="490">
        <f t="shared" si="56"/>
        <v>77</v>
      </c>
      <c r="AO25" s="491">
        <f t="shared" si="56"/>
        <v>77</v>
      </c>
      <c r="AP25" s="491">
        <f t="shared" si="56"/>
        <v>25</v>
      </c>
      <c r="AQ25" s="104"/>
    </row>
    <row r="26" spans="1:43" x14ac:dyDescent="0.3">
      <c r="A26" s="981"/>
      <c r="B26" s="224" t="s">
        <v>268</v>
      </c>
      <c r="C26" s="225"/>
      <c r="D26" s="225"/>
      <c r="E26" s="225"/>
      <c r="F26" s="225"/>
      <c r="G26" s="226">
        <f>MEDIAN(G19:G24)</f>
        <v>1484</v>
      </c>
      <c r="H26" s="227">
        <f t="shared" ref="H26:AP26" si="57">MEDIAN(H19:H24)</f>
        <v>1169.902731570653</v>
      </c>
      <c r="I26" s="227">
        <f t="shared" si="57"/>
        <v>856.5</v>
      </c>
      <c r="J26" s="227">
        <f t="shared" si="57"/>
        <v>778.25</v>
      </c>
      <c r="K26" s="227"/>
      <c r="L26" s="227">
        <f t="shared" si="57"/>
        <v>628.31378042374354</v>
      </c>
      <c r="M26" s="227"/>
      <c r="N26" s="226">
        <f t="shared" si="57"/>
        <v>30.702081947119588</v>
      </c>
      <c r="O26" s="227">
        <f t="shared" si="57"/>
        <v>23.398054631413061</v>
      </c>
      <c r="P26" s="227">
        <f t="shared" si="57"/>
        <v>17.130000000000003</v>
      </c>
      <c r="Q26" s="227">
        <f t="shared" si="57"/>
        <v>15.565000000000001</v>
      </c>
      <c r="R26" s="227">
        <f t="shared" si="57"/>
        <v>14.782500000000001</v>
      </c>
      <c r="S26" s="227">
        <f t="shared" si="57"/>
        <v>12.566275608474871</v>
      </c>
      <c r="T26" s="227">
        <f t="shared" si="57"/>
        <v>11.545000000000002</v>
      </c>
      <c r="U26" s="229"/>
      <c r="V26" s="1025"/>
      <c r="W26" s="1025"/>
      <c r="X26" s="1025"/>
      <c r="Y26" s="1025"/>
      <c r="Z26" s="1025"/>
      <c r="AA26" s="230"/>
      <c r="AB26" s="225"/>
      <c r="AC26" s="225"/>
      <c r="AD26" s="225"/>
      <c r="AE26" s="225"/>
      <c r="AF26" s="225"/>
      <c r="AG26" s="225"/>
      <c r="AH26" s="225"/>
      <c r="AI26" s="663">
        <f t="shared" si="57"/>
        <v>81</v>
      </c>
      <c r="AJ26" s="494">
        <f t="shared" si="57"/>
        <v>80.75</v>
      </c>
      <c r="AK26" s="494">
        <f t="shared" si="57"/>
        <v>82.25</v>
      </c>
      <c r="AL26" s="494">
        <f t="shared" si="57"/>
        <v>84.5</v>
      </c>
      <c r="AM26" s="494">
        <f t="shared" si="57"/>
        <v>85.625</v>
      </c>
      <c r="AN26" s="494">
        <f t="shared" si="57"/>
        <v>86.75</v>
      </c>
      <c r="AO26" s="495">
        <f t="shared" si="57"/>
        <v>87</v>
      </c>
      <c r="AP26" s="495">
        <f t="shared" si="57"/>
        <v>25</v>
      </c>
      <c r="AQ26" s="104"/>
    </row>
    <row r="27" spans="1:43" x14ac:dyDescent="0.3">
      <c r="A27" s="981"/>
      <c r="B27" s="231" t="s">
        <v>269</v>
      </c>
      <c r="C27" s="232"/>
      <c r="D27" s="232"/>
      <c r="E27" s="232"/>
      <c r="F27" s="232"/>
      <c r="G27" s="599">
        <f>MAX(G19:G24)</f>
        <v>3502.0136578532652</v>
      </c>
      <c r="H27" s="233">
        <f t="shared" ref="H27:AP27" si="58">MAX(H19:H24)</f>
        <v>2538.9599019436173</v>
      </c>
      <c r="I27" s="233">
        <f t="shared" si="58"/>
        <v>1575.9061460339694</v>
      </c>
      <c r="J27" s="233">
        <f t="shared" si="58"/>
        <v>1123</v>
      </c>
      <c r="K27" s="233"/>
      <c r="L27" s="233">
        <f t="shared" si="58"/>
        <v>905</v>
      </c>
      <c r="M27" s="233"/>
      <c r="N27" s="226">
        <f t="shared" si="58"/>
        <v>79.960000000000008</v>
      </c>
      <c r="O27" s="227">
        <f t="shared" si="58"/>
        <v>69.52000000000001</v>
      </c>
      <c r="P27" s="227">
        <f t="shared" si="58"/>
        <v>59.08</v>
      </c>
      <c r="Q27" s="227">
        <f t="shared" si="58"/>
        <v>44.92</v>
      </c>
      <c r="R27" s="227">
        <f t="shared" si="58"/>
        <v>40.56</v>
      </c>
      <c r="S27" s="227">
        <f t="shared" si="58"/>
        <v>36.200000000000003</v>
      </c>
      <c r="T27" s="227">
        <f t="shared" si="58"/>
        <v>27.480000000000004</v>
      </c>
      <c r="U27" s="234"/>
      <c r="V27" s="232"/>
      <c r="W27" s="232"/>
      <c r="X27" s="232"/>
      <c r="Y27" s="232"/>
      <c r="Z27" s="232"/>
      <c r="AA27" s="235"/>
      <c r="AB27" s="232"/>
      <c r="AC27" s="232"/>
      <c r="AD27" s="232"/>
      <c r="AE27" s="232"/>
      <c r="AF27" s="232"/>
      <c r="AG27" s="232"/>
      <c r="AH27" s="232"/>
      <c r="AI27" s="664">
        <f t="shared" si="58"/>
        <v>81</v>
      </c>
      <c r="AJ27" s="498">
        <f t="shared" si="58"/>
        <v>82.5</v>
      </c>
      <c r="AK27" s="498">
        <f t="shared" si="58"/>
        <v>84</v>
      </c>
      <c r="AL27" s="498">
        <f t="shared" si="58"/>
        <v>87</v>
      </c>
      <c r="AM27" s="498">
        <f t="shared" si="58"/>
        <v>88.5</v>
      </c>
      <c r="AN27" s="498">
        <f t="shared" si="58"/>
        <v>90</v>
      </c>
      <c r="AO27" s="665">
        <f t="shared" si="58"/>
        <v>90</v>
      </c>
      <c r="AP27" s="665">
        <f t="shared" si="58"/>
        <v>25</v>
      </c>
      <c r="AQ27" s="104"/>
    </row>
    <row r="28" spans="1:43" x14ac:dyDescent="0.3">
      <c r="A28" s="981"/>
      <c r="B28" s="919" t="s">
        <v>362</v>
      </c>
      <c r="C28" s="236">
        <v>1</v>
      </c>
      <c r="D28" s="236" t="s">
        <v>18</v>
      </c>
      <c r="E28" s="236">
        <v>2020</v>
      </c>
      <c r="F28" s="237" t="s">
        <v>19</v>
      </c>
      <c r="G28" s="238">
        <f>950/1.1422</f>
        <v>831.72824374015056</v>
      </c>
      <c r="H28" s="93">
        <f t="shared" ref="H28:H35" si="59">G28+((I28-G28)/(2030-2020))*(2025-2020)</f>
        <v>689.45893888986166</v>
      </c>
      <c r="I28" s="239">
        <f>625/1.1422</f>
        <v>547.18963403957275</v>
      </c>
      <c r="J28" s="239">
        <f>537.5/1.1422</f>
        <v>470.5830852740325</v>
      </c>
      <c r="K28" s="93">
        <f t="shared" si="40"/>
        <v>432.2798108912624</v>
      </c>
      <c r="L28" s="239">
        <f>450/1.1422</f>
        <v>393.97653650849236</v>
      </c>
      <c r="M28" s="95">
        <f t="shared" si="55"/>
        <v>317.36998774295228</v>
      </c>
      <c r="N28" s="238">
        <f t="shared" ref="N28:N29" si="60">G28*0.02</f>
        <v>16.634564874803011</v>
      </c>
      <c r="O28" s="93">
        <f t="shared" ref="O28:O30" si="61">N28+((P28-N28)/(2030-2020))*(2025-2020)</f>
        <v>13.789178777797233</v>
      </c>
      <c r="P28" s="239">
        <f t="shared" ref="P28:P29" si="62">I28*0.02</f>
        <v>10.943792680791455</v>
      </c>
      <c r="Q28" s="239">
        <f t="shared" ref="Q28:Q29" si="63">J28*0.02</f>
        <v>9.4116617054806504</v>
      </c>
      <c r="R28" s="93">
        <f t="shared" ref="R28:R30" si="64">Q28+((S28-Q28)/(2050-2040))*(2045-2040)</f>
        <v>8.6455962178252488</v>
      </c>
      <c r="S28" s="239">
        <f t="shared" ref="S28:S29" si="65">L28*0.02</f>
        <v>7.8795307301698472</v>
      </c>
      <c r="T28" s="95">
        <f>R28+((S28-R28)/(2050-2045))*(2060-2045)</f>
        <v>6.347399754859044</v>
      </c>
      <c r="U28" s="240"/>
      <c r="V28" s="236"/>
      <c r="W28" s="236"/>
      <c r="X28" s="236"/>
      <c r="Y28" s="236"/>
      <c r="Z28" s="236"/>
      <c r="AA28" s="30"/>
      <c r="AB28" s="236"/>
      <c r="AC28" s="236"/>
      <c r="AD28" s="236"/>
      <c r="AE28" s="236"/>
      <c r="AF28" s="236"/>
      <c r="AG28" s="236"/>
      <c r="AH28" s="236"/>
      <c r="AI28" s="666">
        <v>66.5</v>
      </c>
      <c r="AJ28" s="101">
        <f t="shared" ref="AJ28:AJ30" si="66">AI28+((AK28-AI28)/(2030-2020))*(2025-2020)</f>
        <v>67.25</v>
      </c>
      <c r="AK28" s="242">
        <v>68</v>
      </c>
      <c r="AL28" s="242">
        <v>71.5</v>
      </c>
      <c r="AM28" s="101">
        <f t="shared" ref="AM28:AM30" si="67">AL28+((AN28-AL28)/(2050-2040))*(2045-2040)</f>
        <v>73.25</v>
      </c>
      <c r="AN28" s="242">
        <v>75</v>
      </c>
      <c r="AO28" s="103">
        <v>75</v>
      </c>
      <c r="AP28" s="667">
        <v>25</v>
      </c>
      <c r="AQ28" s="104" t="s">
        <v>363</v>
      </c>
    </row>
    <row r="29" spans="1:43" x14ac:dyDescent="0.3">
      <c r="A29" s="981"/>
      <c r="B29" s="970"/>
      <c r="C29" s="243">
        <v>1</v>
      </c>
      <c r="D29" s="243" t="s">
        <v>18</v>
      </c>
      <c r="E29" s="243">
        <v>2020</v>
      </c>
      <c r="F29" s="237" t="s">
        <v>19</v>
      </c>
      <c r="G29" s="244">
        <f>500/1.1422</f>
        <v>437.75170723165814</v>
      </c>
      <c r="H29" s="107">
        <f t="shared" si="59"/>
        <v>393.97653650849236</v>
      </c>
      <c r="I29" s="245">
        <f>400/1.1422</f>
        <v>350.20136578532652</v>
      </c>
      <c r="J29" s="245">
        <f>300/1.1422</f>
        <v>262.65102433899489</v>
      </c>
      <c r="K29" s="107">
        <f t="shared" si="40"/>
        <v>218.87585361582907</v>
      </c>
      <c r="L29" s="245">
        <f>200/1.1422</f>
        <v>175.10068289266326</v>
      </c>
      <c r="M29" s="107">
        <v>175.1</v>
      </c>
      <c r="N29" s="244">
        <f t="shared" si="60"/>
        <v>8.7550341446331625</v>
      </c>
      <c r="O29" s="107">
        <f t="shared" si="61"/>
        <v>7.8795307301698463</v>
      </c>
      <c r="P29" s="245">
        <f t="shared" si="62"/>
        <v>7.00402731570653</v>
      </c>
      <c r="Q29" s="245">
        <f t="shared" si="63"/>
        <v>5.2530204867798975</v>
      </c>
      <c r="R29" s="107">
        <f t="shared" si="64"/>
        <v>4.3775170723165813</v>
      </c>
      <c r="S29" s="245">
        <f t="shared" si="65"/>
        <v>3.502013657853265</v>
      </c>
      <c r="T29" s="109">
        <v>3.5</v>
      </c>
      <c r="U29" s="247"/>
      <c r="V29" s="1026"/>
      <c r="W29" s="1026"/>
      <c r="X29" s="1026"/>
      <c r="Y29" s="1026"/>
      <c r="Z29" s="1026"/>
      <c r="AA29" s="33"/>
      <c r="AB29" s="243"/>
      <c r="AC29" s="243"/>
      <c r="AD29" s="243"/>
      <c r="AE29" s="243"/>
      <c r="AF29" s="243"/>
      <c r="AG29" s="243"/>
      <c r="AH29" s="243"/>
      <c r="AI29" s="668">
        <v>66.5</v>
      </c>
      <c r="AJ29" s="378">
        <f t="shared" si="66"/>
        <v>67.25</v>
      </c>
      <c r="AK29" s="669">
        <v>68</v>
      </c>
      <c r="AL29" s="669">
        <v>71.5</v>
      </c>
      <c r="AM29" s="378">
        <f t="shared" si="67"/>
        <v>73.25</v>
      </c>
      <c r="AN29" s="669">
        <v>75</v>
      </c>
      <c r="AO29" s="118">
        <v>75</v>
      </c>
      <c r="AP29" s="670">
        <v>25</v>
      </c>
      <c r="AQ29" s="104" t="s">
        <v>364</v>
      </c>
    </row>
    <row r="30" spans="1:43" x14ac:dyDescent="0.3">
      <c r="A30" s="981"/>
      <c r="B30" s="970"/>
      <c r="C30" s="243">
        <v>2</v>
      </c>
      <c r="D30" s="243" t="s">
        <v>23</v>
      </c>
      <c r="E30" s="243">
        <v>2019</v>
      </c>
      <c r="F30" s="237" t="s">
        <v>19</v>
      </c>
      <c r="G30" s="244">
        <f>900/1.1297</f>
        <v>796.67168274763219</v>
      </c>
      <c r="H30" s="107">
        <f t="shared" si="59"/>
        <v>708.15260688678416</v>
      </c>
      <c r="I30" s="245">
        <f>700/1.1297</f>
        <v>619.63353102593612</v>
      </c>
      <c r="J30" s="107">
        <f>I30+((L30-I30)/(2050-2030))*(2040-2030)</f>
        <v>508.98468619987614</v>
      </c>
      <c r="K30" s="107">
        <f t="shared" si="40"/>
        <v>453.66026378684614</v>
      </c>
      <c r="L30" s="245">
        <f>450/1.1297</f>
        <v>398.33584137381609</v>
      </c>
      <c r="M30" s="107">
        <f t="shared" si="55"/>
        <v>287.686996547756</v>
      </c>
      <c r="N30" s="244">
        <f>G30*0.015</f>
        <v>11.950075241214483</v>
      </c>
      <c r="O30" s="107">
        <f t="shared" si="61"/>
        <v>10.622289103301762</v>
      </c>
      <c r="P30" s="245">
        <f>I30*0.015</f>
        <v>9.2945029653890412</v>
      </c>
      <c r="Q30" s="107">
        <f>P30+((S30-P30)/(2050-2030))*(2040-2030)</f>
        <v>7.6347702929981409</v>
      </c>
      <c r="R30" s="107">
        <f t="shared" si="64"/>
        <v>6.8049039568026917</v>
      </c>
      <c r="S30" s="245">
        <f>L30*0.015</f>
        <v>5.9750376206072415</v>
      </c>
      <c r="T30" s="109">
        <f>R30+((S30-R30)/(2050-2045))*(2060-2045)</f>
        <v>4.3153049482163413</v>
      </c>
      <c r="U30" s="244"/>
      <c r="V30" s="1027"/>
      <c r="W30" s="1027"/>
      <c r="X30" s="1027"/>
      <c r="Y30" s="1027"/>
      <c r="Z30" s="1027"/>
      <c r="AA30" s="246"/>
      <c r="AB30" s="245"/>
      <c r="AC30" s="245"/>
      <c r="AD30" s="245"/>
      <c r="AE30" s="245"/>
      <c r="AF30" s="245"/>
      <c r="AG30" s="245"/>
      <c r="AH30" s="245"/>
      <c r="AI30" s="668">
        <v>64</v>
      </c>
      <c r="AJ30" s="378">
        <f t="shared" si="66"/>
        <v>66.5</v>
      </c>
      <c r="AK30" s="669">
        <v>69</v>
      </c>
      <c r="AL30" s="378">
        <f>AK30+((AN30-AK30)/(2050-2030))*(2040-2030)</f>
        <v>71.5</v>
      </c>
      <c r="AM30" s="378">
        <f t="shared" si="67"/>
        <v>72.75</v>
      </c>
      <c r="AN30" s="669">
        <v>74</v>
      </c>
      <c r="AO30" s="118">
        <v>74</v>
      </c>
      <c r="AP30" s="670"/>
      <c r="AQ30" s="104" t="s">
        <v>365</v>
      </c>
    </row>
    <row r="31" spans="1:43" x14ac:dyDescent="0.3">
      <c r="A31" s="981"/>
      <c r="B31" s="970"/>
      <c r="C31" s="243">
        <v>3</v>
      </c>
      <c r="D31" s="243" t="s">
        <v>28</v>
      </c>
      <c r="E31" s="243">
        <v>2021</v>
      </c>
      <c r="F31" s="237" t="s">
        <v>19</v>
      </c>
      <c r="G31" s="244">
        <f>660/1.1827</f>
        <v>558.04515092584757</v>
      </c>
      <c r="H31" s="107">
        <f t="shared" si="59"/>
        <v>376.25771539697297</v>
      </c>
      <c r="I31" s="245">
        <f>230/1.1827</f>
        <v>194.4702798680984</v>
      </c>
      <c r="J31" s="107">
        <v>194.47</v>
      </c>
      <c r="K31" s="107">
        <v>194.47</v>
      </c>
      <c r="L31" s="107">
        <v>194.47</v>
      </c>
      <c r="M31" s="107">
        <v>194.47</v>
      </c>
      <c r="N31" s="106">
        <f t="shared" ref="N31:N32" si="68">G31*0.02</f>
        <v>11.160903018516951</v>
      </c>
      <c r="O31" s="107">
        <f t="shared" ref="O31:T32" si="69">H31*0.02</f>
        <v>7.5251543079394594</v>
      </c>
      <c r="P31" s="107">
        <f t="shared" si="69"/>
        <v>3.8894055973619683</v>
      </c>
      <c r="Q31" s="107">
        <f t="shared" si="69"/>
        <v>3.8894000000000002</v>
      </c>
      <c r="R31" s="107">
        <f t="shared" si="69"/>
        <v>3.8894000000000002</v>
      </c>
      <c r="S31" s="107">
        <f t="shared" si="69"/>
        <v>3.8894000000000002</v>
      </c>
      <c r="T31" s="109">
        <f t="shared" si="69"/>
        <v>3.8894000000000002</v>
      </c>
      <c r="U31" s="244"/>
      <c r="V31" s="1027"/>
      <c r="W31" s="1027"/>
      <c r="X31" s="1027"/>
      <c r="Y31" s="1027"/>
      <c r="Z31" s="1027"/>
      <c r="AA31" s="246"/>
      <c r="AB31" s="245"/>
      <c r="AC31" s="245"/>
      <c r="AD31" s="245"/>
      <c r="AE31" s="245"/>
      <c r="AF31" s="245"/>
      <c r="AG31" s="245"/>
      <c r="AH31" s="245"/>
      <c r="AI31" s="668"/>
      <c r="AJ31" s="669"/>
      <c r="AK31" s="669"/>
      <c r="AL31" s="669"/>
      <c r="AM31" s="669"/>
      <c r="AN31" s="669"/>
      <c r="AO31" s="670"/>
      <c r="AP31" s="670"/>
      <c r="AQ31" s="104" t="s">
        <v>366</v>
      </c>
    </row>
    <row r="32" spans="1:43" x14ac:dyDescent="0.3">
      <c r="A32" s="981"/>
      <c r="B32" s="970"/>
      <c r="C32" s="243">
        <v>3</v>
      </c>
      <c r="D32" s="243" t="s">
        <v>28</v>
      </c>
      <c r="E32" s="243">
        <v>2021</v>
      </c>
      <c r="F32" s="237" t="s">
        <v>19</v>
      </c>
      <c r="G32" s="244">
        <f>1050/1.1827</f>
        <v>887.79910374566668</v>
      </c>
      <c r="H32" s="107">
        <f t="shared" si="59"/>
        <v>604.54891350300159</v>
      </c>
      <c r="I32" s="245">
        <f>380/1.1827</f>
        <v>321.29872326033649</v>
      </c>
      <c r="J32" s="107">
        <v>175.1</v>
      </c>
      <c r="K32" s="107">
        <v>175.1</v>
      </c>
      <c r="L32" s="107">
        <v>175.1</v>
      </c>
      <c r="M32" s="107">
        <v>175.1</v>
      </c>
      <c r="N32" s="106">
        <f t="shared" si="68"/>
        <v>17.755982074913334</v>
      </c>
      <c r="O32" s="107">
        <f t="shared" si="69"/>
        <v>12.090978270060033</v>
      </c>
      <c r="P32" s="107">
        <f>I32*0.02</f>
        <v>6.4259744652067301</v>
      </c>
      <c r="Q32" s="107">
        <f>J32*0.02</f>
        <v>3.5019999999999998</v>
      </c>
      <c r="R32" s="107">
        <f>K32*0.02</f>
        <v>3.5019999999999998</v>
      </c>
      <c r="S32" s="107">
        <f>L32*0.02</f>
        <v>3.5019999999999998</v>
      </c>
      <c r="T32" s="109">
        <f>M32*0.02</f>
        <v>3.5019999999999998</v>
      </c>
      <c r="U32" s="247"/>
      <c r="V32" s="1026"/>
      <c r="W32" s="1026"/>
      <c r="X32" s="1026"/>
      <c r="Y32" s="1026"/>
      <c r="Z32" s="1030"/>
      <c r="AA32" s="33"/>
      <c r="AB32" s="243"/>
      <c r="AC32" s="243"/>
      <c r="AD32" s="243"/>
      <c r="AE32" s="243"/>
      <c r="AF32" s="243"/>
      <c r="AG32" s="243"/>
      <c r="AH32" s="243"/>
      <c r="AI32" s="668"/>
      <c r="AJ32" s="669"/>
      <c r="AK32" s="669"/>
      <c r="AL32" s="669"/>
      <c r="AM32" s="669"/>
      <c r="AN32" s="669"/>
      <c r="AO32" s="670"/>
      <c r="AP32" s="670"/>
      <c r="AQ32" s="104" t="s">
        <v>367</v>
      </c>
    </row>
    <row r="33" spans="1:47" x14ac:dyDescent="0.3">
      <c r="A33" s="981"/>
      <c r="B33" s="970"/>
      <c r="C33" s="243">
        <v>5</v>
      </c>
      <c r="D33" s="243" t="s">
        <v>35</v>
      </c>
      <c r="E33" s="243">
        <v>2021</v>
      </c>
      <c r="F33" s="237" t="s">
        <v>19</v>
      </c>
      <c r="G33" s="244">
        <v>800</v>
      </c>
      <c r="H33" s="107">
        <f t="shared" si="59"/>
        <v>650</v>
      </c>
      <c r="I33" s="245">
        <v>500</v>
      </c>
      <c r="J33" s="245">
        <v>440</v>
      </c>
      <c r="K33" s="107">
        <f t="shared" si="40"/>
        <v>420</v>
      </c>
      <c r="L33" s="245">
        <v>400</v>
      </c>
      <c r="M33" s="107">
        <f t="shared" si="55"/>
        <v>360</v>
      </c>
      <c r="N33" s="244">
        <f>G33*0.04</f>
        <v>32</v>
      </c>
      <c r="O33" s="107">
        <f>N33+((P33-N33)/(2030-2020))*(2025-2020)</f>
        <v>26</v>
      </c>
      <c r="P33" s="245">
        <f>I33*0.04</f>
        <v>20</v>
      </c>
      <c r="Q33" s="245">
        <f>J33*0.04</f>
        <v>17.600000000000001</v>
      </c>
      <c r="R33" s="107">
        <f>Q33+((S33-Q33)/(2050-2040))*(2045-2040)</f>
        <v>16.8</v>
      </c>
      <c r="S33" s="245">
        <f>L33*0.04</f>
        <v>16</v>
      </c>
      <c r="T33" s="109">
        <f>R33+((S33-R33)/(2050-2045))*(2060-2045)</f>
        <v>14.399999999999999</v>
      </c>
      <c r="U33" s="247"/>
      <c r="V33" s="1026"/>
      <c r="W33" s="1026"/>
      <c r="X33" s="1026"/>
      <c r="Y33" s="1026"/>
      <c r="Z33" s="1026"/>
      <c r="AA33" s="33"/>
      <c r="AB33" s="243"/>
      <c r="AC33" s="243"/>
      <c r="AD33" s="243"/>
      <c r="AE33" s="243"/>
      <c r="AF33" s="243"/>
      <c r="AG33" s="243"/>
      <c r="AH33" s="243"/>
      <c r="AI33" s="668"/>
      <c r="AJ33" s="669"/>
      <c r="AK33" s="669"/>
      <c r="AL33" s="669"/>
      <c r="AM33" s="245"/>
      <c r="AN33" s="669"/>
      <c r="AO33" s="670"/>
      <c r="AP33" s="670">
        <v>25</v>
      </c>
      <c r="AQ33" s="104" t="s">
        <v>368</v>
      </c>
    </row>
    <row r="34" spans="1:47" x14ac:dyDescent="0.3">
      <c r="A34" s="981"/>
      <c r="B34" s="970"/>
      <c r="C34" s="243">
        <v>6</v>
      </c>
      <c r="D34" s="243" t="s">
        <v>39</v>
      </c>
      <c r="E34" s="243">
        <v>2020</v>
      </c>
      <c r="F34" s="237" t="s">
        <v>19</v>
      </c>
      <c r="G34" s="244">
        <f t="shared" ref="G34:G35" si="70">1480/1.1422</f>
        <v>1295.7450534057082</v>
      </c>
      <c r="H34" s="107">
        <f t="shared" si="59"/>
        <v>1019.9614778497635</v>
      </c>
      <c r="I34" s="245">
        <f>850/1.1422</f>
        <v>744.17790229381887</v>
      </c>
      <c r="J34" s="245">
        <f>630/1.1422</f>
        <v>551.5671511118893</v>
      </c>
      <c r="K34" s="107">
        <f t="shared" si="40"/>
        <v>455.26177552092452</v>
      </c>
      <c r="L34" s="107">
        <f t="shared" ref="L34:L35" si="71">I34+((J34-I34)/(2040-2030))*(2050-2030)</f>
        <v>358.95639992995973</v>
      </c>
      <c r="M34" s="107">
        <f t="shared" si="55"/>
        <v>166.34564874803016</v>
      </c>
      <c r="N34" s="106">
        <f t="shared" ref="N34:N35" si="72">G34*0.02</f>
        <v>25.914901068114165</v>
      </c>
      <c r="O34" s="107">
        <f t="shared" ref="O34:T35" si="73">H34*0.02</f>
        <v>20.39922955699527</v>
      </c>
      <c r="P34" s="107">
        <f t="shared" si="73"/>
        <v>14.883558045876377</v>
      </c>
      <c r="Q34" s="107">
        <f t="shared" si="73"/>
        <v>11.031343022237786</v>
      </c>
      <c r="R34" s="107">
        <f t="shared" si="73"/>
        <v>9.1052355104184901</v>
      </c>
      <c r="S34" s="107">
        <f t="shared" si="73"/>
        <v>7.1791279985991947</v>
      </c>
      <c r="T34" s="109">
        <f t="shared" si="73"/>
        <v>3.326912974960603</v>
      </c>
      <c r="U34" s="247"/>
      <c r="V34" s="1026"/>
      <c r="W34" s="1026"/>
      <c r="X34" s="1026"/>
      <c r="Y34" s="1026"/>
      <c r="Z34" s="1026"/>
      <c r="AA34" s="33"/>
      <c r="AB34" s="243"/>
      <c r="AC34" s="243"/>
      <c r="AD34" s="243"/>
      <c r="AE34" s="243"/>
      <c r="AF34" s="243"/>
      <c r="AG34" s="243"/>
      <c r="AH34" s="243"/>
      <c r="AI34" s="668"/>
      <c r="AJ34" s="669"/>
      <c r="AK34" s="669"/>
      <c r="AL34" s="669"/>
      <c r="AM34" s="245"/>
      <c r="AN34" s="669"/>
      <c r="AO34" s="670"/>
      <c r="AP34" s="670"/>
      <c r="AQ34" s="104" t="s">
        <v>369</v>
      </c>
    </row>
    <row r="35" spans="1:47" x14ac:dyDescent="0.3">
      <c r="A35" s="981"/>
      <c r="B35" s="971"/>
      <c r="C35" s="248">
        <v>6</v>
      </c>
      <c r="D35" s="248" t="s">
        <v>39</v>
      </c>
      <c r="E35" s="248">
        <v>2020</v>
      </c>
      <c r="F35" s="237" t="s">
        <v>19</v>
      </c>
      <c r="G35" s="671">
        <f t="shared" si="70"/>
        <v>1295.7450534057082</v>
      </c>
      <c r="H35" s="122">
        <f t="shared" si="59"/>
        <v>849.23831202941687</v>
      </c>
      <c r="I35" s="249">
        <f>460/1.1422</f>
        <v>402.73157065312552</v>
      </c>
      <c r="J35" s="249">
        <f>360/1.1422</f>
        <v>315.18122920679389</v>
      </c>
      <c r="K35" s="122">
        <f t="shared" si="40"/>
        <v>271.40605848362804</v>
      </c>
      <c r="L35" s="122">
        <f t="shared" si="71"/>
        <v>227.63088776046226</v>
      </c>
      <c r="M35" s="122">
        <f t="shared" si="55"/>
        <v>140.08054631413069</v>
      </c>
      <c r="N35" s="106">
        <f t="shared" si="72"/>
        <v>25.914901068114165</v>
      </c>
      <c r="O35" s="107">
        <f t="shared" si="73"/>
        <v>16.984766240588339</v>
      </c>
      <c r="P35" s="107">
        <f>I35*0.02</f>
        <v>8.054631413062511</v>
      </c>
      <c r="Q35" s="107">
        <f>J35*0.02</f>
        <v>6.3036245841358776</v>
      </c>
      <c r="R35" s="107">
        <f>K35*0.02</f>
        <v>5.4281211696725613</v>
      </c>
      <c r="S35" s="107">
        <f>L35*0.02</f>
        <v>4.5526177552092451</v>
      </c>
      <c r="T35" s="109">
        <f>M35*0.02</f>
        <v>2.8016109262826139</v>
      </c>
      <c r="U35" s="250"/>
      <c r="V35" s="248"/>
      <c r="W35" s="248"/>
      <c r="X35" s="248"/>
      <c r="Y35" s="248"/>
      <c r="Z35" s="248"/>
      <c r="AA35" s="36"/>
      <c r="AB35" s="248"/>
      <c r="AC35" s="248"/>
      <c r="AD35" s="248"/>
      <c r="AE35" s="248"/>
      <c r="AF35" s="248"/>
      <c r="AG35" s="248"/>
      <c r="AH35" s="248"/>
      <c r="AI35" s="672"/>
      <c r="AJ35" s="673"/>
      <c r="AK35" s="673"/>
      <c r="AL35" s="673"/>
      <c r="AM35" s="249"/>
      <c r="AN35" s="673"/>
      <c r="AO35" s="674"/>
      <c r="AP35" s="674"/>
      <c r="AQ35" s="104" t="s">
        <v>370</v>
      </c>
    </row>
    <row r="36" spans="1:47" x14ac:dyDescent="0.3">
      <c r="A36" s="981"/>
      <c r="B36" s="251" t="s">
        <v>267</v>
      </c>
      <c r="C36" s="252"/>
      <c r="D36" s="252"/>
      <c r="E36" s="252"/>
      <c r="F36" s="252"/>
      <c r="G36" s="253">
        <f t="shared" ref="G36:T36" si="74">MIN(G28:G35)</f>
        <v>437.75170723165814</v>
      </c>
      <c r="H36" s="254">
        <f t="shared" si="74"/>
        <v>376.25771539697297</v>
      </c>
      <c r="I36" s="254">
        <f t="shared" si="74"/>
        <v>194.4702798680984</v>
      </c>
      <c r="J36" s="254">
        <f t="shared" si="74"/>
        <v>175.1</v>
      </c>
      <c r="K36" s="254">
        <f t="shared" si="74"/>
        <v>175.1</v>
      </c>
      <c r="L36" s="254">
        <f t="shared" si="74"/>
        <v>175.1</v>
      </c>
      <c r="M36" s="254">
        <f t="shared" si="74"/>
        <v>140.08054631413069</v>
      </c>
      <c r="N36" s="253">
        <f t="shared" si="74"/>
        <v>8.7550341446331625</v>
      </c>
      <c r="O36" s="254">
        <f t="shared" si="74"/>
        <v>7.5251543079394594</v>
      </c>
      <c r="P36" s="254">
        <f t="shared" si="74"/>
        <v>3.8894055973619683</v>
      </c>
      <c r="Q36" s="254">
        <f t="shared" si="74"/>
        <v>3.5019999999999998</v>
      </c>
      <c r="R36" s="254">
        <f t="shared" si="74"/>
        <v>3.5019999999999998</v>
      </c>
      <c r="S36" s="254">
        <f t="shared" si="74"/>
        <v>3.5019999999999998</v>
      </c>
      <c r="T36" s="254">
        <f t="shared" si="74"/>
        <v>2.8016109262826139</v>
      </c>
      <c r="U36" s="256"/>
      <c r="V36" s="252"/>
      <c r="W36" s="252"/>
      <c r="X36" s="252"/>
      <c r="Y36" s="252"/>
      <c r="Z36" s="252"/>
      <c r="AA36" s="259"/>
      <c r="AB36" s="252"/>
      <c r="AC36" s="252"/>
      <c r="AD36" s="252"/>
      <c r="AE36" s="252"/>
      <c r="AF36" s="252"/>
      <c r="AG36" s="252"/>
      <c r="AH36" s="252"/>
      <c r="AI36" s="675">
        <f t="shared" ref="AI36:AP36" si="75">MIN(AI28:AI35)</f>
        <v>64</v>
      </c>
      <c r="AJ36" s="257">
        <f t="shared" si="75"/>
        <v>66.5</v>
      </c>
      <c r="AK36" s="257">
        <f t="shared" si="75"/>
        <v>68</v>
      </c>
      <c r="AL36" s="257">
        <f t="shared" si="75"/>
        <v>71.5</v>
      </c>
      <c r="AM36" s="257">
        <f t="shared" si="75"/>
        <v>72.75</v>
      </c>
      <c r="AN36" s="257">
        <f t="shared" si="75"/>
        <v>74</v>
      </c>
      <c r="AO36" s="258">
        <f t="shared" si="75"/>
        <v>74</v>
      </c>
      <c r="AP36" s="258">
        <f t="shared" si="75"/>
        <v>25</v>
      </c>
      <c r="AQ36" s="104"/>
    </row>
    <row r="37" spans="1:47" x14ac:dyDescent="0.3">
      <c r="A37" s="981"/>
      <c r="B37" s="260" t="s">
        <v>268</v>
      </c>
      <c r="C37" s="261"/>
      <c r="D37" s="261"/>
      <c r="E37" s="261"/>
      <c r="F37" s="261"/>
      <c r="G37" s="262">
        <f t="shared" ref="G37:T37" si="76">MEDIAN(G28:G35)</f>
        <v>815.86412187007522</v>
      </c>
      <c r="H37" s="263">
        <f t="shared" si="76"/>
        <v>669.72946944493083</v>
      </c>
      <c r="I37" s="263">
        <f t="shared" si="76"/>
        <v>451.36578532656279</v>
      </c>
      <c r="J37" s="263">
        <f t="shared" si="76"/>
        <v>377.59061460339694</v>
      </c>
      <c r="K37" s="263">
        <f t="shared" si="76"/>
        <v>345.70302924181402</v>
      </c>
      <c r="L37" s="263">
        <f t="shared" si="76"/>
        <v>293.29364384521102</v>
      </c>
      <c r="M37" s="263">
        <f t="shared" si="76"/>
        <v>184.785</v>
      </c>
      <c r="N37" s="262">
        <f t="shared" si="76"/>
        <v>17.195273474858173</v>
      </c>
      <c r="O37" s="263">
        <f t="shared" si="76"/>
        <v>12.940078523928634</v>
      </c>
      <c r="P37" s="263">
        <f t="shared" si="76"/>
        <v>8.6745671892257761</v>
      </c>
      <c r="Q37" s="263">
        <f t="shared" si="76"/>
        <v>6.9691974385670097</v>
      </c>
      <c r="R37" s="263">
        <f t="shared" si="76"/>
        <v>6.1165125632376265</v>
      </c>
      <c r="S37" s="263">
        <f t="shared" si="76"/>
        <v>5.2638276879082433</v>
      </c>
      <c r="T37" s="263">
        <f t="shared" si="76"/>
        <v>3.6957</v>
      </c>
      <c r="U37" s="265"/>
      <c r="V37" s="1028"/>
      <c r="W37" s="1028"/>
      <c r="X37" s="1028"/>
      <c r="Y37" s="1028"/>
      <c r="Z37" s="1028"/>
      <c r="AA37" s="268"/>
      <c r="AB37" s="261"/>
      <c r="AC37" s="261"/>
      <c r="AD37" s="261"/>
      <c r="AE37" s="261"/>
      <c r="AF37" s="261"/>
      <c r="AG37" s="261"/>
      <c r="AH37" s="261"/>
      <c r="AI37" s="676">
        <f t="shared" ref="AI37:AP37" si="77">MEDIAN(AI28:AI35)</f>
        <v>66.5</v>
      </c>
      <c r="AJ37" s="266">
        <f t="shared" si="77"/>
        <v>67.25</v>
      </c>
      <c r="AK37" s="266">
        <f t="shared" si="77"/>
        <v>68</v>
      </c>
      <c r="AL37" s="266">
        <f t="shared" si="77"/>
        <v>71.5</v>
      </c>
      <c r="AM37" s="266">
        <f t="shared" si="77"/>
        <v>73.25</v>
      </c>
      <c r="AN37" s="266">
        <f t="shared" si="77"/>
        <v>75</v>
      </c>
      <c r="AO37" s="267">
        <f t="shared" si="77"/>
        <v>75</v>
      </c>
      <c r="AP37" s="267">
        <f t="shared" si="77"/>
        <v>25</v>
      </c>
      <c r="AQ37" s="104"/>
    </row>
    <row r="38" spans="1:47" x14ac:dyDescent="0.3">
      <c r="A38" s="982"/>
      <c r="B38" s="269" t="s">
        <v>269</v>
      </c>
      <c r="C38" s="274"/>
      <c r="D38" s="274"/>
      <c r="E38" s="274"/>
      <c r="F38" s="274"/>
      <c r="G38" s="270">
        <f t="shared" ref="G38:T38" si="78">MAX(G28:G35)</f>
        <v>1295.7450534057082</v>
      </c>
      <c r="H38" s="271">
        <f t="shared" si="78"/>
        <v>1019.9614778497635</v>
      </c>
      <c r="I38" s="271">
        <f t="shared" si="78"/>
        <v>744.17790229381887</v>
      </c>
      <c r="J38" s="271">
        <f t="shared" si="78"/>
        <v>551.5671511118893</v>
      </c>
      <c r="K38" s="271">
        <f t="shared" si="78"/>
        <v>455.26177552092452</v>
      </c>
      <c r="L38" s="271">
        <f t="shared" si="78"/>
        <v>400</v>
      </c>
      <c r="M38" s="271">
        <f t="shared" si="78"/>
        <v>360</v>
      </c>
      <c r="N38" s="270">
        <f t="shared" si="78"/>
        <v>32</v>
      </c>
      <c r="O38" s="271">
        <f t="shared" si="78"/>
        <v>26</v>
      </c>
      <c r="P38" s="271">
        <f t="shared" si="78"/>
        <v>20</v>
      </c>
      <c r="Q38" s="271">
        <f t="shared" si="78"/>
        <v>17.600000000000001</v>
      </c>
      <c r="R38" s="271">
        <f t="shared" si="78"/>
        <v>16.8</v>
      </c>
      <c r="S38" s="271">
        <f t="shared" si="78"/>
        <v>16</v>
      </c>
      <c r="T38" s="271">
        <f t="shared" si="78"/>
        <v>14.399999999999999</v>
      </c>
      <c r="U38" s="273"/>
      <c r="V38" s="274"/>
      <c r="W38" s="274"/>
      <c r="X38" s="274"/>
      <c r="Y38" s="274"/>
      <c r="Z38" s="274"/>
      <c r="AA38" s="277"/>
      <c r="AB38" s="274"/>
      <c r="AC38" s="274"/>
      <c r="AD38" s="274"/>
      <c r="AE38" s="274"/>
      <c r="AF38" s="274"/>
      <c r="AG38" s="274"/>
      <c r="AH38" s="274"/>
      <c r="AI38" s="677">
        <f t="shared" ref="AI38:AP38" si="79">MAX(AI28:AI35)</f>
        <v>66.5</v>
      </c>
      <c r="AJ38" s="275">
        <f t="shared" si="79"/>
        <v>67.25</v>
      </c>
      <c r="AK38" s="275">
        <f t="shared" si="79"/>
        <v>69</v>
      </c>
      <c r="AL38" s="275">
        <f t="shared" si="79"/>
        <v>71.5</v>
      </c>
      <c r="AM38" s="275">
        <f t="shared" si="79"/>
        <v>73.25</v>
      </c>
      <c r="AN38" s="275">
        <f t="shared" si="79"/>
        <v>75</v>
      </c>
      <c r="AO38" s="276">
        <f t="shared" si="79"/>
        <v>75</v>
      </c>
      <c r="AP38" s="276">
        <f t="shared" si="79"/>
        <v>25</v>
      </c>
      <c r="AQ38" s="104"/>
    </row>
    <row r="39" spans="1:47" x14ac:dyDescent="0.3">
      <c r="A39" s="678"/>
      <c r="B39" s="632"/>
      <c r="C39" s="439"/>
      <c r="D39" s="439"/>
      <c r="E39" s="439"/>
      <c r="F39" s="439"/>
      <c r="G39" s="440"/>
      <c r="H39" s="441"/>
      <c r="I39" s="441"/>
      <c r="J39" s="441"/>
      <c r="K39" s="441"/>
      <c r="L39" s="441"/>
      <c r="M39" s="441"/>
      <c r="N39" s="440"/>
      <c r="O39" s="441"/>
      <c r="P39" s="441"/>
      <c r="Q39" s="441"/>
      <c r="R39" s="441"/>
      <c r="S39" s="441"/>
      <c r="T39" s="441"/>
      <c r="U39" s="445"/>
      <c r="V39" s="1029"/>
      <c r="W39" s="1029"/>
      <c r="X39" s="1029"/>
      <c r="Y39" s="1029"/>
      <c r="Z39" s="1029"/>
      <c r="AA39" s="446"/>
      <c r="AB39" s="439"/>
      <c r="AC39" s="439"/>
      <c r="AD39" s="439"/>
      <c r="AE39" s="439"/>
      <c r="AF39" s="439"/>
      <c r="AG39" s="439"/>
      <c r="AH39" s="439"/>
      <c r="AI39" s="679"/>
      <c r="AJ39" s="680"/>
      <c r="AK39" s="680"/>
      <c r="AL39" s="680"/>
      <c r="AM39" s="680"/>
      <c r="AN39" s="680"/>
      <c r="AO39" s="681"/>
      <c r="AP39" s="681"/>
      <c r="AQ39" s="635"/>
    </row>
    <row r="40" spans="1:47" x14ac:dyDescent="0.3">
      <c r="A40" s="975" t="s">
        <v>128</v>
      </c>
      <c r="B40" s="854" t="s">
        <v>37</v>
      </c>
      <c r="C40" s="90">
        <v>7</v>
      </c>
      <c r="D40" s="90" t="s">
        <v>42</v>
      </c>
      <c r="E40" s="90">
        <v>2020</v>
      </c>
      <c r="F40" s="91" t="s">
        <v>19</v>
      </c>
      <c r="G40" s="447">
        <v>1610</v>
      </c>
      <c r="H40" s="93">
        <f t="shared" ref="H40:H44" si="80">G40+((I40-G40)/(2030-2020))*(2025-2020)</f>
        <v>1413</v>
      </c>
      <c r="I40" s="94">
        <v>1216</v>
      </c>
      <c r="J40" s="94">
        <v>952</v>
      </c>
      <c r="K40" s="93">
        <f t="shared" ref="K40:K44" si="81">J40+((L40-J40)/(2050-2040))*(2045-2040)</f>
        <v>872.5</v>
      </c>
      <c r="L40" s="94">
        <v>793</v>
      </c>
      <c r="M40" s="95">
        <f>K40+((L40-K40)/(2050-2045))*(2060-2045)</f>
        <v>634</v>
      </c>
      <c r="N40" s="447">
        <f>G40*0.04*$AU$6</f>
        <v>86.854475499794333</v>
      </c>
      <c r="O40" s="93">
        <f t="shared" ref="O40:O41" si="82">N40+((P40-N40)/(2030-2020))*(2025-2020)</f>
        <v>76.226940298887826</v>
      </c>
      <c r="P40" s="94">
        <f>I40*0.04*$AU$6</f>
        <v>65.599405097981304</v>
      </c>
      <c r="Q40" s="94">
        <f>J40*0.04*$AU$6</f>
        <v>51.357428991182729</v>
      </c>
      <c r="R40" s="93">
        <f t="shared" ref="R40:R41" si="83">Q40+((S40-Q40)/(2050-2040))*(2045-2040)</f>
        <v>47.068652095385431</v>
      </c>
      <c r="S40" s="94">
        <f>L40*0.04*$AU$6</f>
        <v>42.77987519958814</v>
      </c>
      <c r="T40" s="95">
        <f>R40+((S40-R40)/(2050-2045))*(2060-2045)</f>
        <v>34.202321407993558</v>
      </c>
      <c r="U40" s="96"/>
      <c r="V40" s="97"/>
      <c r="W40" s="97"/>
      <c r="X40" s="97"/>
      <c r="Y40" s="97"/>
      <c r="Z40" s="97"/>
      <c r="AA40" s="43"/>
      <c r="AB40" s="97"/>
      <c r="AC40" s="97"/>
      <c r="AD40" s="97"/>
      <c r="AE40" s="97"/>
      <c r="AF40" s="97"/>
      <c r="AG40" s="97"/>
      <c r="AH40" s="97"/>
      <c r="AI40" s="636">
        <v>71</v>
      </c>
      <c r="AJ40" s="101">
        <f t="shared" ref="AJ40:AJ44" si="84">AI40+((AK40-AI40)/(2030-2020))*(2025-2020)</f>
        <v>71</v>
      </c>
      <c r="AK40" s="102">
        <v>71</v>
      </c>
      <c r="AL40" s="102">
        <v>72</v>
      </c>
      <c r="AM40" s="101">
        <f t="shared" ref="AM40:AM44" si="85">AL40+((AN40-AL40)/(2050-2040))*(2045-2040)</f>
        <v>72.5</v>
      </c>
      <c r="AN40" s="102">
        <v>73</v>
      </c>
      <c r="AO40" s="103">
        <v>73</v>
      </c>
      <c r="AP40" s="43">
        <v>25</v>
      </c>
      <c r="AQ40" s="104"/>
    </row>
    <row r="41" spans="1:47" x14ac:dyDescent="0.3">
      <c r="A41" s="976"/>
      <c r="B41" s="855"/>
      <c r="C41" s="105">
        <v>9</v>
      </c>
      <c r="D41" s="105" t="s">
        <v>50</v>
      </c>
      <c r="E41" s="105">
        <v>2021</v>
      </c>
      <c r="F41" s="91" t="s">
        <v>19</v>
      </c>
      <c r="G41" s="113">
        <f>1150</f>
        <v>1150</v>
      </c>
      <c r="H41" s="107">
        <f t="shared" si="80"/>
        <v>1025</v>
      </c>
      <c r="I41" s="107">
        <f>G41+((L41-G41)/(2050-2020))*(2030-2020)</f>
        <v>900</v>
      </c>
      <c r="J41" s="107">
        <f t="shared" ref="J41:J44" si="86">I41+((L41-I41)/(2050-2030))*(2040-2030)</f>
        <v>650</v>
      </c>
      <c r="K41" s="107">
        <f t="shared" si="81"/>
        <v>525</v>
      </c>
      <c r="L41" s="108">
        <f>400</f>
        <v>400</v>
      </c>
      <c r="M41" s="107">
        <v>400</v>
      </c>
      <c r="N41" s="113">
        <f>28.8*$AU$6</f>
        <v>38.841753018541567</v>
      </c>
      <c r="O41" s="107">
        <f t="shared" si="82"/>
        <v>34.615914148468761</v>
      </c>
      <c r="P41" s="107">
        <f>N41+((S41-N41)/(2050-2020))*(2030-2020)</f>
        <v>30.390075278395948</v>
      </c>
      <c r="Q41" s="107">
        <f>P41+((S41-P41)/(2050-2030))*(2040-2030)</f>
        <v>21.938397538250328</v>
      </c>
      <c r="R41" s="107">
        <f t="shared" si="83"/>
        <v>17.712558668177518</v>
      </c>
      <c r="S41" s="108">
        <f>10*$AU$6</f>
        <v>13.486719798104708</v>
      </c>
      <c r="T41" s="107">
        <v>10</v>
      </c>
      <c r="U41" s="110"/>
      <c r="V41" s="1020"/>
      <c r="W41" s="1020"/>
      <c r="X41" s="1020"/>
      <c r="Y41" s="1020"/>
      <c r="Z41" s="1020"/>
      <c r="AA41" s="46"/>
      <c r="AB41" s="111"/>
      <c r="AC41" s="111"/>
      <c r="AD41" s="111"/>
      <c r="AE41" s="111"/>
      <c r="AF41" s="111"/>
      <c r="AG41" s="111"/>
      <c r="AH41" s="111"/>
      <c r="AI41" s="637">
        <f>33.33/48.7*100</f>
        <v>68.439425051334695</v>
      </c>
      <c r="AJ41" s="378">
        <f t="shared" si="84"/>
        <v>71.501591720298222</v>
      </c>
      <c r="AK41" s="117">
        <f>33.33/44.7*100</f>
        <v>74.563758389261736</v>
      </c>
      <c r="AL41" s="378">
        <f t="shared" ref="AL41:AL44" si="87">AK41+((AN41-AK41)/(2050-2030))*(2040-2030)</f>
        <v>77.632968783008593</v>
      </c>
      <c r="AM41" s="378">
        <f t="shared" si="85"/>
        <v>79.167573979882022</v>
      </c>
      <c r="AN41" s="117">
        <f>33.33/41.3*100</f>
        <v>80.70217917675545</v>
      </c>
      <c r="AO41" s="118">
        <v>81</v>
      </c>
      <c r="AP41" s="46"/>
      <c r="AQ41" s="104" t="s">
        <v>351</v>
      </c>
    </row>
    <row r="42" spans="1:47" x14ac:dyDescent="0.3">
      <c r="A42" s="976"/>
      <c r="B42" s="855"/>
      <c r="C42" s="105">
        <v>10</v>
      </c>
      <c r="D42" s="105" t="s">
        <v>55</v>
      </c>
      <c r="E42" s="105">
        <v>2018</v>
      </c>
      <c r="F42" s="91" t="s">
        <v>19</v>
      </c>
      <c r="G42" s="113">
        <f>656</f>
        <v>656</v>
      </c>
      <c r="H42" s="107">
        <f t="shared" si="80"/>
        <v>549</v>
      </c>
      <c r="I42" s="108">
        <f>442</f>
        <v>442</v>
      </c>
      <c r="J42" s="107">
        <f t="shared" si="86"/>
        <v>321</v>
      </c>
      <c r="K42" s="107">
        <f t="shared" si="81"/>
        <v>260.5</v>
      </c>
      <c r="L42" s="108">
        <f>200</f>
        <v>200</v>
      </c>
      <c r="M42" s="107">
        <v>200</v>
      </c>
      <c r="N42" s="106">
        <f t="shared" ref="N42:N44" si="88">G42*0.02*$AU$6</f>
        <v>17.694576375113378</v>
      </c>
      <c r="O42" s="107">
        <f>H42*0.02*$AU$6</f>
        <v>14.808418338318971</v>
      </c>
      <c r="P42" s="107">
        <f>I42*0.02*$AU$6</f>
        <v>11.922260301524563</v>
      </c>
      <c r="Q42" s="107">
        <f>J42*0.02*$AU$6</f>
        <v>8.6584741103832226</v>
      </c>
      <c r="R42" s="107">
        <f>K42*0.02*$AU$6</f>
        <v>7.0265810148125531</v>
      </c>
      <c r="S42" s="107">
        <f>L42*0.02*$AU$6</f>
        <v>5.3946879192418837</v>
      </c>
      <c r="T42" s="107">
        <f>M42*0.02*$AU$6</f>
        <v>5.3946879192418837</v>
      </c>
      <c r="U42" s="110"/>
      <c r="V42" s="1020"/>
      <c r="W42" s="1020"/>
      <c r="X42" s="1020"/>
      <c r="Y42" s="1020"/>
      <c r="Z42" s="1020"/>
      <c r="AA42" s="46"/>
      <c r="AB42" s="111"/>
      <c r="AC42" s="111"/>
      <c r="AD42" s="111"/>
      <c r="AE42" s="111"/>
      <c r="AF42" s="111"/>
      <c r="AG42" s="111"/>
      <c r="AH42" s="111"/>
      <c r="AI42" s="637">
        <f>67</f>
        <v>67</v>
      </c>
      <c r="AJ42" s="378">
        <f t="shared" si="84"/>
        <v>69</v>
      </c>
      <c r="AK42" s="117">
        <v>71</v>
      </c>
      <c r="AL42" s="378">
        <f t="shared" si="87"/>
        <v>75.5</v>
      </c>
      <c r="AM42" s="378">
        <f t="shared" si="85"/>
        <v>77.75</v>
      </c>
      <c r="AN42" s="117">
        <v>80</v>
      </c>
      <c r="AO42" s="118">
        <v>80</v>
      </c>
      <c r="AP42" s="46"/>
      <c r="AQ42" s="104" t="s">
        <v>352</v>
      </c>
    </row>
    <row r="43" spans="1:47" x14ac:dyDescent="0.3">
      <c r="A43" s="976"/>
      <c r="B43" s="855"/>
      <c r="C43" s="105">
        <v>10</v>
      </c>
      <c r="D43" s="105" t="s">
        <v>55</v>
      </c>
      <c r="E43" s="105">
        <v>2018</v>
      </c>
      <c r="F43" s="91" t="s">
        <v>19</v>
      </c>
      <c r="G43" s="113">
        <f>737</f>
        <v>737</v>
      </c>
      <c r="H43" s="107">
        <f t="shared" si="80"/>
        <v>681</v>
      </c>
      <c r="I43" s="108">
        <f>625</f>
        <v>625</v>
      </c>
      <c r="J43" s="107">
        <f t="shared" si="86"/>
        <v>537.5</v>
      </c>
      <c r="K43" s="107">
        <f t="shared" si="81"/>
        <v>493.75</v>
      </c>
      <c r="L43" s="108">
        <f>450</f>
        <v>450</v>
      </c>
      <c r="M43" s="107">
        <f t="shared" ref="M43:M44" si="89">K43+((L43-K43)/(2050-2045))*(2060-2045)</f>
        <v>362.5</v>
      </c>
      <c r="N43" s="106">
        <f t="shared" si="88"/>
        <v>19.879424982406341</v>
      </c>
      <c r="O43" s="107">
        <f>H43*0.02*$AU$6</f>
        <v>18.368912365018616</v>
      </c>
      <c r="P43" s="107">
        <f t="shared" ref="P43:P44" si="90">I43*0.02*$AU$6</f>
        <v>16.858399747630887</v>
      </c>
      <c r="Q43" s="107">
        <f t="shared" ref="Q43:Q44" si="91">J43*0.02*$AU$6</f>
        <v>14.498223782962562</v>
      </c>
      <c r="R43" s="107">
        <f t="shared" ref="R43:R44" si="92">K43*0.02*$AU$6</f>
        <v>13.318135800628401</v>
      </c>
      <c r="S43" s="107">
        <f t="shared" ref="S43:S44" si="93">L43*0.02*$AU$6</f>
        <v>12.138047818294238</v>
      </c>
      <c r="T43" s="107">
        <f t="shared" ref="T43:T44" si="94">M43*0.02*$AU$6</f>
        <v>9.7778718536259142</v>
      </c>
      <c r="U43" s="110"/>
      <c r="V43" s="1020"/>
      <c r="W43" s="1020"/>
      <c r="X43" s="1020"/>
      <c r="Y43" s="1020"/>
      <c r="Z43" s="1020"/>
      <c r="AA43" s="46"/>
      <c r="AB43" s="111"/>
      <c r="AC43" s="111"/>
      <c r="AD43" s="111"/>
      <c r="AE43" s="111"/>
      <c r="AF43" s="111"/>
      <c r="AG43" s="111"/>
      <c r="AH43" s="111"/>
      <c r="AI43" s="637">
        <v>67</v>
      </c>
      <c r="AJ43" s="378">
        <f t="shared" si="84"/>
        <v>69</v>
      </c>
      <c r="AK43" s="117">
        <v>71</v>
      </c>
      <c r="AL43" s="378">
        <f t="shared" si="87"/>
        <v>75.5</v>
      </c>
      <c r="AM43" s="378">
        <f t="shared" si="85"/>
        <v>77.75</v>
      </c>
      <c r="AN43" s="117">
        <v>80</v>
      </c>
      <c r="AO43" s="118">
        <v>80</v>
      </c>
      <c r="AP43" s="46"/>
      <c r="AQ43" s="104" t="s">
        <v>353</v>
      </c>
      <c r="AU43" s="76"/>
    </row>
    <row r="44" spans="1:47" x14ac:dyDescent="0.3">
      <c r="A44" s="976"/>
      <c r="B44" s="918"/>
      <c r="C44" s="120">
        <v>10</v>
      </c>
      <c r="D44" s="120" t="s">
        <v>55</v>
      </c>
      <c r="E44" s="120">
        <v>2018</v>
      </c>
      <c r="F44" s="91" t="s">
        <v>19</v>
      </c>
      <c r="G44" s="587">
        <f>768</f>
        <v>768</v>
      </c>
      <c r="H44" s="122">
        <f t="shared" si="80"/>
        <v>737.5</v>
      </c>
      <c r="I44" s="121">
        <f>707</f>
        <v>707</v>
      </c>
      <c r="J44" s="122">
        <f t="shared" si="86"/>
        <v>653.5</v>
      </c>
      <c r="K44" s="122">
        <f t="shared" si="81"/>
        <v>626.75</v>
      </c>
      <c r="L44" s="121">
        <f>600</f>
        <v>600</v>
      </c>
      <c r="M44" s="122">
        <f t="shared" si="89"/>
        <v>546.5</v>
      </c>
      <c r="N44" s="106">
        <f t="shared" si="88"/>
        <v>20.715601609888832</v>
      </c>
      <c r="O44" s="107">
        <f>H44*0.02*$AU$6</f>
        <v>19.892911702204447</v>
      </c>
      <c r="P44" s="107">
        <f t="shared" si="90"/>
        <v>19.070221794520059</v>
      </c>
      <c r="Q44" s="107">
        <f t="shared" si="91"/>
        <v>17.627142776122856</v>
      </c>
      <c r="R44" s="107">
        <f t="shared" si="92"/>
        <v>16.905603266924253</v>
      </c>
      <c r="S44" s="107">
        <f t="shared" si="93"/>
        <v>16.184063757725653</v>
      </c>
      <c r="T44" s="107">
        <f t="shared" si="94"/>
        <v>14.740984739328447</v>
      </c>
      <c r="U44" s="123"/>
      <c r="V44" s="124"/>
      <c r="W44" s="124"/>
      <c r="X44" s="124"/>
      <c r="Y44" s="124"/>
      <c r="Z44" s="124"/>
      <c r="AA44" s="51"/>
      <c r="AB44" s="124"/>
      <c r="AC44" s="124"/>
      <c r="AD44" s="124"/>
      <c r="AE44" s="124"/>
      <c r="AF44" s="124"/>
      <c r="AG44" s="124"/>
      <c r="AH44" s="124"/>
      <c r="AI44" s="638">
        <v>67</v>
      </c>
      <c r="AJ44" s="386">
        <f t="shared" si="84"/>
        <v>69</v>
      </c>
      <c r="AK44" s="639">
        <v>71</v>
      </c>
      <c r="AL44" s="386">
        <f t="shared" si="87"/>
        <v>75.5</v>
      </c>
      <c r="AM44" s="386">
        <f t="shared" si="85"/>
        <v>77.75</v>
      </c>
      <c r="AN44" s="639">
        <v>80</v>
      </c>
      <c r="AO44" s="584">
        <v>80</v>
      </c>
      <c r="AP44" s="51"/>
      <c r="AQ44" s="104" t="s">
        <v>354</v>
      </c>
      <c r="AU44" s="76"/>
    </row>
    <row r="45" spans="1:47" x14ac:dyDescent="0.3">
      <c r="A45" s="976"/>
      <c r="B45" s="125" t="s">
        <v>267</v>
      </c>
      <c r="C45" s="126"/>
      <c r="D45" s="126"/>
      <c r="E45" s="126"/>
      <c r="F45" s="126"/>
      <c r="G45" s="127">
        <f>MIN(G40:G44)</f>
        <v>656</v>
      </c>
      <c r="H45" s="128">
        <f t="shared" ref="H45:T45" si="95">MIN(H40:H44)</f>
        <v>549</v>
      </c>
      <c r="I45" s="128">
        <f t="shared" si="95"/>
        <v>442</v>
      </c>
      <c r="J45" s="128">
        <f t="shared" si="95"/>
        <v>321</v>
      </c>
      <c r="K45" s="128">
        <f t="shared" si="95"/>
        <v>260.5</v>
      </c>
      <c r="L45" s="128">
        <f t="shared" si="95"/>
        <v>200</v>
      </c>
      <c r="M45" s="128">
        <f t="shared" si="95"/>
        <v>200</v>
      </c>
      <c r="N45" s="127">
        <f t="shared" si="95"/>
        <v>17.694576375113378</v>
      </c>
      <c r="O45" s="128">
        <f t="shared" si="95"/>
        <v>14.808418338318971</v>
      </c>
      <c r="P45" s="128">
        <f t="shared" si="95"/>
        <v>11.922260301524563</v>
      </c>
      <c r="Q45" s="128">
        <f t="shared" si="95"/>
        <v>8.6584741103832226</v>
      </c>
      <c r="R45" s="128">
        <f t="shared" si="95"/>
        <v>7.0265810148125531</v>
      </c>
      <c r="S45" s="128">
        <f t="shared" si="95"/>
        <v>5.3946879192418837</v>
      </c>
      <c r="T45" s="456">
        <f t="shared" si="95"/>
        <v>5.3946879192418837</v>
      </c>
      <c r="U45" s="131"/>
      <c r="V45" s="126"/>
      <c r="W45" s="126"/>
      <c r="X45" s="126"/>
      <c r="Y45" s="126"/>
      <c r="Z45" s="126"/>
      <c r="AA45" s="132"/>
      <c r="AB45" s="126"/>
      <c r="AC45" s="126"/>
      <c r="AD45" s="126"/>
      <c r="AE45" s="126"/>
      <c r="AF45" s="126"/>
      <c r="AG45" s="126"/>
      <c r="AH45" s="126"/>
      <c r="AI45" s="640">
        <f t="shared" ref="AI45:AP45" si="96">MIN(AI40:AI44)</f>
        <v>67</v>
      </c>
      <c r="AJ45" s="641">
        <f t="shared" si="96"/>
        <v>69</v>
      </c>
      <c r="AK45" s="641">
        <f t="shared" si="96"/>
        <v>71</v>
      </c>
      <c r="AL45" s="641">
        <f t="shared" si="96"/>
        <v>72</v>
      </c>
      <c r="AM45" s="641">
        <f t="shared" si="96"/>
        <v>72.5</v>
      </c>
      <c r="AN45" s="641">
        <f t="shared" si="96"/>
        <v>73</v>
      </c>
      <c r="AO45" s="642">
        <f t="shared" si="96"/>
        <v>73</v>
      </c>
      <c r="AP45" s="132">
        <f t="shared" si="96"/>
        <v>25</v>
      </c>
      <c r="AQ45" s="104"/>
      <c r="AU45" s="76"/>
    </row>
    <row r="46" spans="1:47" x14ac:dyDescent="0.3">
      <c r="A46" s="976"/>
      <c r="B46" s="133" t="s">
        <v>268</v>
      </c>
      <c r="C46" s="134"/>
      <c r="D46" s="134"/>
      <c r="E46" s="134"/>
      <c r="F46" s="134"/>
      <c r="G46" s="135">
        <f>MEDIAN(G40:G44)</f>
        <v>768</v>
      </c>
      <c r="H46" s="136">
        <f t="shared" ref="H46:T46" si="97">MEDIAN(H40:H44)</f>
        <v>737.5</v>
      </c>
      <c r="I46" s="136">
        <f t="shared" si="97"/>
        <v>707</v>
      </c>
      <c r="J46" s="136">
        <f t="shared" si="97"/>
        <v>650</v>
      </c>
      <c r="K46" s="136">
        <f t="shared" si="97"/>
        <v>525</v>
      </c>
      <c r="L46" s="136">
        <f t="shared" si="97"/>
        <v>450</v>
      </c>
      <c r="M46" s="136">
        <f t="shared" si="97"/>
        <v>400</v>
      </c>
      <c r="N46" s="135">
        <f t="shared" si="97"/>
        <v>20.715601609888832</v>
      </c>
      <c r="O46" s="136">
        <f t="shared" si="97"/>
        <v>19.892911702204447</v>
      </c>
      <c r="P46" s="136">
        <f t="shared" si="97"/>
        <v>19.070221794520059</v>
      </c>
      <c r="Q46" s="136">
        <f t="shared" si="97"/>
        <v>17.627142776122856</v>
      </c>
      <c r="R46" s="136">
        <f t="shared" si="97"/>
        <v>16.905603266924253</v>
      </c>
      <c r="S46" s="136">
        <f t="shared" si="97"/>
        <v>13.486719798104708</v>
      </c>
      <c r="T46" s="459">
        <f t="shared" si="97"/>
        <v>10</v>
      </c>
      <c r="U46" s="139"/>
      <c r="V46" s="1021"/>
      <c r="W46" s="1021"/>
      <c r="X46" s="1021"/>
      <c r="Y46" s="1021"/>
      <c r="Z46" s="1021"/>
      <c r="AA46" s="140"/>
      <c r="AB46" s="134"/>
      <c r="AC46" s="134"/>
      <c r="AD46" s="134"/>
      <c r="AE46" s="134"/>
      <c r="AF46" s="134"/>
      <c r="AG46" s="134"/>
      <c r="AH46" s="134"/>
      <c r="AI46" s="643">
        <f t="shared" ref="AI46:AP46" si="98">MEDIAN(AI40:AI44)</f>
        <v>67</v>
      </c>
      <c r="AJ46" s="644">
        <f t="shared" si="98"/>
        <v>69</v>
      </c>
      <c r="AK46" s="644">
        <f t="shared" si="98"/>
        <v>71</v>
      </c>
      <c r="AL46" s="644">
        <f t="shared" si="98"/>
        <v>75.5</v>
      </c>
      <c r="AM46" s="644">
        <f t="shared" si="98"/>
        <v>77.75</v>
      </c>
      <c r="AN46" s="644">
        <f t="shared" si="98"/>
        <v>80</v>
      </c>
      <c r="AO46" s="645">
        <f t="shared" si="98"/>
        <v>80</v>
      </c>
      <c r="AP46" s="140">
        <f t="shared" si="98"/>
        <v>25</v>
      </c>
      <c r="AQ46" s="104"/>
    </row>
    <row r="47" spans="1:47" x14ac:dyDescent="0.3">
      <c r="A47" s="976"/>
      <c r="B47" s="141" t="s">
        <v>269</v>
      </c>
      <c r="C47" s="142"/>
      <c r="D47" s="142"/>
      <c r="E47" s="142"/>
      <c r="F47" s="142"/>
      <c r="G47" s="591">
        <f>MAX(G40:G44)</f>
        <v>1610</v>
      </c>
      <c r="H47" s="143">
        <f t="shared" ref="H47:T47" si="99">MAX(H40:H44)</f>
        <v>1413</v>
      </c>
      <c r="I47" s="143">
        <f t="shared" si="99"/>
        <v>1216</v>
      </c>
      <c r="J47" s="143">
        <f t="shared" si="99"/>
        <v>952</v>
      </c>
      <c r="K47" s="143">
        <f t="shared" si="99"/>
        <v>872.5</v>
      </c>
      <c r="L47" s="143">
        <f t="shared" si="99"/>
        <v>793</v>
      </c>
      <c r="M47" s="143">
        <f t="shared" si="99"/>
        <v>634</v>
      </c>
      <c r="N47" s="591">
        <f t="shared" si="99"/>
        <v>86.854475499794333</v>
      </c>
      <c r="O47" s="143">
        <f t="shared" si="99"/>
        <v>76.226940298887826</v>
      </c>
      <c r="P47" s="143">
        <f t="shared" si="99"/>
        <v>65.599405097981304</v>
      </c>
      <c r="Q47" s="143">
        <f t="shared" si="99"/>
        <v>51.357428991182729</v>
      </c>
      <c r="R47" s="143">
        <f t="shared" si="99"/>
        <v>47.068652095385431</v>
      </c>
      <c r="S47" s="143">
        <f t="shared" si="99"/>
        <v>42.77987519958814</v>
      </c>
      <c r="T47" s="592">
        <f t="shared" si="99"/>
        <v>34.202321407993558</v>
      </c>
      <c r="U47" s="145"/>
      <c r="V47" s="142"/>
      <c r="W47" s="142"/>
      <c r="X47" s="142"/>
      <c r="Y47" s="142"/>
      <c r="Z47" s="142"/>
      <c r="AA47" s="146"/>
      <c r="AB47" s="142"/>
      <c r="AC47" s="142"/>
      <c r="AD47" s="142"/>
      <c r="AE47" s="142"/>
      <c r="AF47" s="142"/>
      <c r="AG47" s="142"/>
      <c r="AH47" s="142"/>
      <c r="AI47" s="646">
        <f t="shared" ref="AI47:AP47" si="100">MAX(AI40:AI44)</f>
        <v>71</v>
      </c>
      <c r="AJ47" s="647">
        <f t="shared" si="100"/>
        <v>71.501591720298222</v>
      </c>
      <c r="AK47" s="647">
        <f t="shared" si="100"/>
        <v>74.563758389261736</v>
      </c>
      <c r="AL47" s="647">
        <f t="shared" si="100"/>
        <v>77.632968783008593</v>
      </c>
      <c r="AM47" s="647">
        <f t="shared" si="100"/>
        <v>79.167573979882022</v>
      </c>
      <c r="AN47" s="647">
        <f t="shared" si="100"/>
        <v>80.70217917675545</v>
      </c>
      <c r="AO47" s="648">
        <f t="shared" si="100"/>
        <v>81</v>
      </c>
      <c r="AP47" s="146">
        <f t="shared" si="100"/>
        <v>25</v>
      </c>
      <c r="AQ47" s="104"/>
    </row>
    <row r="48" spans="1:47" x14ac:dyDescent="0.3">
      <c r="A48" s="976"/>
      <c r="B48" s="967" t="s">
        <v>41</v>
      </c>
      <c r="C48" s="279">
        <v>7</v>
      </c>
      <c r="D48" s="279" t="s">
        <v>42</v>
      </c>
      <c r="E48" s="279">
        <v>2020</v>
      </c>
      <c r="F48" s="507" t="s">
        <v>19</v>
      </c>
      <c r="G48" s="508">
        <v>878</v>
      </c>
      <c r="H48" s="93">
        <f>G48+((I48-G48)/(2030-2020))*(2025-2020)</f>
        <v>797.5</v>
      </c>
      <c r="I48" s="281">
        <v>717</v>
      </c>
      <c r="J48" s="281">
        <v>594</v>
      </c>
      <c r="K48" s="93">
        <f>J48+((L48-J48)/(2050-2040))*(2045-2040)</f>
        <v>553</v>
      </c>
      <c r="L48" s="281">
        <v>512</v>
      </c>
      <c r="M48" s="95">
        <f t="shared" ref="M48:M52" si="101">K48+((L48-K48)/(2050-2045))*(2060-2045)</f>
        <v>430</v>
      </c>
      <c r="N48" s="510">
        <f>G48*0.04*$AU$6</f>
        <v>47.365359930943733</v>
      </c>
      <c r="O48" s="107">
        <f>N48+((P48-N48)/(2030-2020))*(2025-2020)</f>
        <v>43.022636155954018</v>
      </c>
      <c r="P48" s="282">
        <f>I48*0.04*$AU$6</f>
        <v>38.679912380964304</v>
      </c>
      <c r="Q48" s="282">
        <f>J48*0.04*$AU$6</f>
        <v>32.044446240296793</v>
      </c>
      <c r="R48" s="93">
        <f>Q48+((S48-Q48)/(2050-2040))*(2045-2040)</f>
        <v>29.832624193407618</v>
      </c>
      <c r="S48" s="282">
        <f>L48*0.04*$AU$6</f>
        <v>27.620802146518447</v>
      </c>
      <c r="T48" s="95">
        <f t="shared" ref="T48:T49" si="102">R48+((S48-R48)/(2050-2045))*(2060-2045)</f>
        <v>23.197158052740104</v>
      </c>
      <c r="U48" s="278"/>
      <c r="V48" s="279"/>
      <c r="W48" s="279"/>
      <c r="X48" s="279"/>
      <c r="Y48" s="279"/>
      <c r="Z48" s="279"/>
      <c r="AA48" s="7"/>
      <c r="AB48" s="279"/>
      <c r="AC48" s="279"/>
      <c r="AD48" s="279"/>
      <c r="AE48" s="279"/>
      <c r="AF48" s="279"/>
      <c r="AG48" s="279"/>
      <c r="AH48" s="279"/>
      <c r="AI48" s="649">
        <v>68</v>
      </c>
      <c r="AJ48" s="101">
        <f>AI48+((AK48-AI48)/(2030-2020))*(2025-2020)</f>
        <v>68</v>
      </c>
      <c r="AK48" s="625">
        <v>68</v>
      </c>
      <c r="AL48" s="625">
        <v>69</v>
      </c>
      <c r="AM48" s="101">
        <f t="shared" ref="AM48:AM52" si="103">AL48+((AN48-AL48)/(2050-2040))*(2045-2040)</f>
        <v>69.5</v>
      </c>
      <c r="AN48" s="625">
        <v>70</v>
      </c>
      <c r="AO48" s="103">
        <v>70</v>
      </c>
      <c r="AP48" s="7">
        <v>25</v>
      </c>
      <c r="AQ48" s="104"/>
    </row>
    <row r="49" spans="1:43" x14ac:dyDescent="0.3">
      <c r="A49" s="976"/>
      <c r="B49" s="955"/>
      <c r="C49" s="290">
        <v>4</v>
      </c>
      <c r="D49" s="290" t="s">
        <v>31</v>
      </c>
      <c r="E49" s="290">
        <v>2022</v>
      </c>
      <c r="F49" s="507" t="s">
        <v>19</v>
      </c>
      <c r="G49" s="510">
        <v>650</v>
      </c>
      <c r="H49" s="282">
        <f>550</f>
        <v>550</v>
      </c>
      <c r="I49" s="282">
        <f>450</f>
        <v>450</v>
      </c>
      <c r="J49" s="282">
        <f>300</f>
        <v>300</v>
      </c>
      <c r="K49" s="282">
        <v>275</v>
      </c>
      <c r="L49" s="282">
        <f>250</f>
        <v>250</v>
      </c>
      <c r="M49" s="682">
        <f t="shared" si="101"/>
        <v>200</v>
      </c>
      <c r="N49" s="510">
        <f>G49*0.02*$AU$6</f>
        <v>17.532735737536122</v>
      </c>
      <c r="O49" s="282">
        <f>H49*0.02*$AU$6</f>
        <v>14.835391777915181</v>
      </c>
      <c r="P49" s="282">
        <f>I49*0.02*$AU$6</f>
        <v>12.138047818294238</v>
      </c>
      <c r="Q49" s="282">
        <f>J49*0.02*$AU$6</f>
        <v>8.0920318788628265</v>
      </c>
      <c r="R49" s="282">
        <f>K49*0.02*$AU$6</f>
        <v>7.4176958889575904</v>
      </c>
      <c r="S49" s="282">
        <f>L49*0.02*$AU$6</f>
        <v>6.7433598990523542</v>
      </c>
      <c r="T49" s="683">
        <f t="shared" si="102"/>
        <v>5.394687919241882</v>
      </c>
      <c r="U49" s="289"/>
      <c r="V49" s="1022"/>
      <c r="W49" s="1022"/>
      <c r="X49" s="1022"/>
      <c r="Y49" s="1022"/>
      <c r="Z49" s="1022"/>
      <c r="AA49" s="11"/>
      <c r="AB49" s="290"/>
      <c r="AC49" s="290"/>
      <c r="AD49" s="290"/>
      <c r="AE49" s="290"/>
      <c r="AF49" s="290"/>
      <c r="AG49" s="290"/>
      <c r="AH49" s="290"/>
      <c r="AI49" s="650">
        <v>66</v>
      </c>
      <c r="AJ49" s="288">
        <v>67</v>
      </c>
      <c r="AK49" s="288">
        <v>68</v>
      </c>
      <c r="AL49" s="288">
        <v>72</v>
      </c>
      <c r="AM49" s="288">
        <f t="shared" si="103"/>
        <v>73.5</v>
      </c>
      <c r="AN49" s="288">
        <v>75</v>
      </c>
      <c r="AO49" s="684">
        <v>75</v>
      </c>
      <c r="AP49" s="511">
        <v>25</v>
      </c>
      <c r="AQ49" t="s">
        <v>355</v>
      </c>
    </row>
    <row r="50" spans="1:43" x14ac:dyDescent="0.3">
      <c r="A50" s="976"/>
      <c r="B50" s="955"/>
      <c r="C50" s="626">
        <v>10</v>
      </c>
      <c r="D50" s="626" t="s">
        <v>55</v>
      </c>
      <c r="E50" s="626">
        <v>2018</v>
      </c>
      <c r="F50" s="507" t="s">
        <v>19</v>
      </c>
      <c r="G50" s="510">
        <f>656</f>
        <v>656</v>
      </c>
      <c r="H50" s="107">
        <f t="shared" ref="H50:H52" si="104">G50+((I50-G50)/(2030-2020))*(2025-2020)</f>
        <v>549</v>
      </c>
      <c r="I50" s="282">
        <f>442</f>
        <v>442</v>
      </c>
      <c r="J50" s="107">
        <f t="shared" ref="J50:J52" si="105">I50+((L50-I50)/(2050-2030))*(2040-2030)</f>
        <v>321</v>
      </c>
      <c r="K50" s="107">
        <f t="shared" ref="K50:K52" si="106">J50+((L50-J50)/(2050-2040))*(2045-2040)</f>
        <v>260.5</v>
      </c>
      <c r="L50" s="282">
        <f>200</f>
        <v>200</v>
      </c>
      <c r="M50" s="107">
        <v>200</v>
      </c>
      <c r="N50" s="106">
        <f>G50*0.02*$AU$6</f>
        <v>17.694576375113378</v>
      </c>
      <c r="O50" s="107">
        <f t="shared" ref="O50:O52" si="107">H50*0.02*$AU$6</f>
        <v>14.808418338318971</v>
      </c>
      <c r="P50" s="107">
        <f t="shared" ref="P50:P52" si="108">I50*0.02*$AU$6</f>
        <v>11.922260301524563</v>
      </c>
      <c r="Q50" s="107">
        <f t="shared" ref="Q50:Q52" si="109">J50*0.02*$AU$6</f>
        <v>8.6584741103832226</v>
      </c>
      <c r="R50" s="107">
        <f t="shared" ref="R50:R52" si="110">K50*0.02*$AU$6</f>
        <v>7.0265810148125531</v>
      </c>
      <c r="S50" s="107">
        <f t="shared" ref="S50:S52" si="111">L50*0.02*$AU$6</f>
        <v>5.3946879192418837</v>
      </c>
      <c r="T50" s="107">
        <f t="shared" ref="T50:T52" si="112">M50*0.02*$AU$6</f>
        <v>5.3946879192418837</v>
      </c>
      <c r="U50" s="289"/>
      <c r="V50" s="1022"/>
      <c r="W50" s="1022"/>
      <c r="X50" s="1022"/>
      <c r="Y50" s="1022"/>
      <c r="Z50" s="1022"/>
      <c r="AA50" s="11"/>
      <c r="AB50" s="290"/>
      <c r="AC50" s="290"/>
      <c r="AD50" s="290"/>
      <c r="AE50" s="290"/>
      <c r="AF50" s="290"/>
      <c r="AG50" s="290"/>
      <c r="AH50" s="290"/>
      <c r="AI50" s="650">
        <f>67</f>
        <v>67</v>
      </c>
      <c r="AJ50" s="378">
        <f t="shared" ref="AJ50:AJ52" si="113">AI50+((AK50-AI50)/(2030-2020))*(2025-2020)</f>
        <v>69</v>
      </c>
      <c r="AK50" s="288">
        <v>71</v>
      </c>
      <c r="AL50" s="378">
        <f t="shared" ref="AL50:AL52" si="114">AK50+((AN50-AK50)/(2050-2030))*(2040-2030)</f>
        <v>75.5</v>
      </c>
      <c r="AM50" s="378">
        <f t="shared" si="103"/>
        <v>77.75</v>
      </c>
      <c r="AN50" s="288">
        <v>80</v>
      </c>
      <c r="AO50" s="118">
        <v>80</v>
      </c>
      <c r="AP50" s="11"/>
      <c r="AQ50" s="104" t="s">
        <v>352</v>
      </c>
    </row>
    <row r="51" spans="1:43" x14ac:dyDescent="0.3">
      <c r="A51" s="976"/>
      <c r="B51" s="955"/>
      <c r="C51" s="626">
        <v>10</v>
      </c>
      <c r="D51" s="626" t="s">
        <v>55</v>
      </c>
      <c r="E51" s="626">
        <v>2018</v>
      </c>
      <c r="F51" s="507" t="s">
        <v>19</v>
      </c>
      <c r="G51" s="510">
        <f>737</f>
        <v>737</v>
      </c>
      <c r="H51" s="107">
        <f t="shared" si="104"/>
        <v>681</v>
      </c>
      <c r="I51" s="282">
        <f>625</f>
        <v>625</v>
      </c>
      <c r="J51" s="107">
        <f t="shared" si="105"/>
        <v>537.5</v>
      </c>
      <c r="K51" s="107">
        <f t="shared" si="106"/>
        <v>493.75</v>
      </c>
      <c r="L51" s="282">
        <f>450</f>
        <v>450</v>
      </c>
      <c r="M51" s="107">
        <f t="shared" si="101"/>
        <v>362.5</v>
      </c>
      <c r="N51" s="106">
        <f>G51*0.02*$AU$6</f>
        <v>19.879424982406341</v>
      </c>
      <c r="O51" s="107">
        <f t="shared" si="107"/>
        <v>18.368912365018616</v>
      </c>
      <c r="P51" s="107">
        <f t="shared" si="108"/>
        <v>16.858399747630887</v>
      </c>
      <c r="Q51" s="107">
        <f t="shared" si="109"/>
        <v>14.498223782962562</v>
      </c>
      <c r="R51" s="107">
        <f t="shared" si="110"/>
        <v>13.318135800628401</v>
      </c>
      <c r="S51" s="107">
        <f t="shared" si="111"/>
        <v>12.138047818294238</v>
      </c>
      <c r="T51" s="107">
        <f t="shared" si="112"/>
        <v>9.7778718536259142</v>
      </c>
      <c r="U51" s="289"/>
      <c r="V51" s="1022"/>
      <c r="W51" s="1022"/>
      <c r="X51" s="1022"/>
      <c r="Y51" s="1022"/>
      <c r="Z51" s="1022"/>
      <c r="AA51" s="11"/>
      <c r="AB51" s="290"/>
      <c r="AC51" s="290"/>
      <c r="AD51" s="290"/>
      <c r="AE51" s="290"/>
      <c r="AF51" s="290"/>
      <c r="AG51" s="290"/>
      <c r="AH51" s="290"/>
      <c r="AI51" s="650">
        <v>67</v>
      </c>
      <c r="AJ51" s="378">
        <f t="shared" si="113"/>
        <v>69</v>
      </c>
      <c r="AK51" s="288">
        <v>71</v>
      </c>
      <c r="AL51" s="378">
        <f t="shared" si="114"/>
        <v>75.5</v>
      </c>
      <c r="AM51" s="378">
        <f t="shared" si="103"/>
        <v>77.75</v>
      </c>
      <c r="AN51" s="288">
        <v>80</v>
      </c>
      <c r="AO51" s="118">
        <v>80</v>
      </c>
      <c r="AP51" s="11"/>
      <c r="AQ51" s="104" t="s">
        <v>353</v>
      </c>
    </row>
    <row r="52" spans="1:43" x14ac:dyDescent="0.3">
      <c r="A52" s="976"/>
      <c r="B52" s="968"/>
      <c r="C52" s="651">
        <v>10</v>
      </c>
      <c r="D52" s="651" t="s">
        <v>55</v>
      </c>
      <c r="E52" s="651">
        <v>2018</v>
      </c>
      <c r="F52" s="507" t="s">
        <v>19</v>
      </c>
      <c r="G52" s="512">
        <f>768</f>
        <v>768</v>
      </c>
      <c r="H52" s="122">
        <f t="shared" si="104"/>
        <v>737.5</v>
      </c>
      <c r="I52" s="302">
        <f>707</f>
        <v>707</v>
      </c>
      <c r="J52" s="122">
        <f t="shared" si="105"/>
        <v>653.5</v>
      </c>
      <c r="K52" s="122">
        <f t="shared" si="106"/>
        <v>626.75</v>
      </c>
      <c r="L52" s="302">
        <f>600</f>
        <v>600</v>
      </c>
      <c r="M52" s="122">
        <f t="shared" si="101"/>
        <v>546.5</v>
      </c>
      <c r="N52" s="106">
        <f>G52*0.02*$AU$6</f>
        <v>20.715601609888832</v>
      </c>
      <c r="O52" s="107">
        <f t="shared" si="107"/>
        <v>19.892911702204447</v>
      </c>
      <c r="P52" s="107">
        <f t="shared" si="108"/>
        <v>19.070221794520059</v>
      </c>
      <c r="Q52" s="107">
        <f t="shared" si="109"/>
        <v>17.627142776122856</v>
      </c>
      <c r="R52" s="107">
        <f t="shared" si="110"/>
        <v>16.905603266924253</v>
      </c>
      <c r="S52" s="107">
        <f t="shared" si="111"/>
        <v>16.184063757725653</v>
      </c>
      <c r="T52" s="107">
        <f t="shared" si="112"/>
        <v>14.740984739328447</v>
      </c>
      <c r="U52" s="299"/>
      <c r="V52" s="300"/>
      <c r="W52" s="300"/>
      <c r="X52" s="300"/>
      <c r="Y52" s="300"/>
      <c r="Z52" s="300"/>
      <c r="AA52" s="18"/>
      <c r="AB52" s="300"/>
      <c r="AC52" s="300"/>
      <c r="AD52" s="300"/>
      <c r="AE52" s="300"/>
      <c r="AF52" s="300"/>
      <c r="AG52" s="300"/>
      <c r="AH52" s="300"/>
      <c r="AI52" s="652">
        <v>67</v>
      </c>
      <c r="AJ52" s="386">
        <f t="shared" si="113"/>
        <v>69</v>
      </c>
      <c r="AK52" s="308">
        <v>71</v>
      </c>
      <c r="AL52" s="386">
        <f t="shared" si="114"/>
        <v>75.5</v>
      </c>
      <c r="AM52" s="386">
        <f t="shared" si="103"/>
        <v>77.75</v>
      </c>
      <c r="AN52" s="308">
        <v>80</v>
      </c>
      <c r="AO52" s="584">
        <v>80</v>
      </c>
      <c r="AP52" s="18"/>
      <c r="AQ52" s="104" t="s">
        <v>354</v>
      </c>
    </row>
    <row r="53" spans="1:43" x14ac:dyDescent="0.3">
      <c r="A53" s="976"/>
      <c r="B53" s="310" t="s">
        <v>267</v>
      </c>
      <c r="C53" s="318"/>
      <c r="D53" s="318"/>
      <c r="E53" s="318"/>
      <c r="F53" s="318"/>
      <c r="G53" s="312">
        <f t="shared" ref="G53:T53" si="115">MIN(G48:G52)</f>
        <v>650</v>
      </c>
      <c r="H53" s="313">
        <f t="shared" si="115"/>
        <v>549</v>
      </c>
      <c r="I53" s="313">
        <f t="shared" si="115"/>
        <v>442</v>
      </c>
      <c r="J53" s="313">
        <f t="shared" si="115"/>
        <v>300</v>
      </c>
      <c r="K53" s="313">
        <f t="shared" si="115"/>
        <v>260.5</v>
      </c>
      <c r="L53" s="313">
        <f t="shared" si="115"/>
        <v>200</v>
      </c>
      <c r="M53" s="313">
        <f t="shared" si="115"/>
        <v>200</v>
      </c>
      <c r="N53" s="312">
        <f t="shared" si="115"/>
        <v>17.532735737536122</v>
      </c>
      <c r="O53" s="313">
        <f t="shared" si="115"/>
        <v>14.808418338318971</v>
      </c>
      <c r="P53" s="313">
        <f t="shared" si="115"/>
        <v>11.922260301524563</v>
      </c>
      <c r="Q53" s="313">
        <f t="shared" si="115"/>
        <v>8.0920318788628265</v>
      </c>
      <c r="R53" s="313">
        <f t="shared" si="115"/>
        <v>7.0265810148125531</v>
      </c>
      <c r="S53" s="313">
        <f t="shared" si="115"/>
        <v>5.3946879192418837</v>
      </c>
      <c r="T53" s="313">
        <f t="shared" si="115"/>
        <v>5.394687919241882</v>
      </c>
      <c r="U53" s="317"/>
      <c r="V53" s="318"/>
      <c r="W53" s="318"/>
      <c r="X53" s="318"/>
      <c r="Y53" s="318"/>
      <c r="Z53" s="318"/>
      <c r="AA53" s="321"/>
      <c r="AB53" s="318"/>
      <c r="AC53" s="318"/>
      <c r="AD53" s="318"/>
      <c r="AE53" s="318"/>
      <c r="AF53" s="318"/>
      <c r="AG53" s="318"/>
      <c r="AH53" s="318"/>
      <c r="AI53" s="653">
        <f t="shared" ref="AI53:AP53" si="116">MIN(AI48:AI52)</f>
        <v>66</v>
      </c>
      <c r="AJ53" s="319">
        <f t="shared" si="116"/>
        <v>67</v>
      </c>
      <c r="AK53" s="319">
        <f t="shared" si="116"/>
        <v>68</v>
      </c>
      <c r="AL53" s="319">
        <f t="shared" si="116"/>
        <v>69</v>
      </c>
      <c r="AM53" s="319">
        <f t="shared" si="116"/>
        <v>69.5</v>
      </c>
      <c r="AN53" s="319">
        <f t="shared" si="116"/>
        <v>70</v>
      </c>
      <c r="AO53" s="320">
        <f t="shared" si="116"/>
        <v>70</v>
      </c>
      <c r="AP53" s="321">
        <f t="shared" si="116"/>
        <v>25</v>
      </c>
      <c r="AQ53" s="104"/>
    </row>
    <row r="54" spans="1:43" x14ac:dyDescent="0.3">
      <c r="A54" s="976"/>
      <c r="B54" s="322" t="s">
        <v>268</v>
      </c>
      <c r="C54" s="311"/>
      <c r="D54" s="311"/>
      <c r="E54" s="311"/>
      <c r="F54" s="311"/>
      <c r="G54" s="323">
        <f>MEDIAN(G48:G52)</f>
        <v>737</v>
      </c>
      <c r="H54" s="324">
        <f t="shared" ref="H54:T54" si="117">MEDIAN(H48:H52)</f>
        <v>681</v>
      </c>
      <c r="I54" s="324">
        <f t="shared" si="117"/>
        <v>625</v>
      </c>
      <c r="J54" s="324">
        <f t="shared" si="117"/>
        <v>537.5</v>
      </c>
      <c r="K54" s="324">
        <f t="shared" si="117"/>
        <v>493.75</v>
      </c>
      <c r="L54" s="324">
        <f t="shared" si="117"/>
        <v>450</v>
      </c>
      <c r="M54" s="324">
        <f t="shared" si="117"/>
        <v>362.5</v>
      </c>
      <c r="N54" s="323">
        <f t="shared" si="117"/>
        <v>19.879424982406341</v>
      </c>
      <c r="O54" s="324">
        <f t="shared" si="117"/>
        <v>18.368912365018616</v>
      </c>
      <c r="P54" s="324">
        <f t="shared" si="117"/>
        <v>16.858399747630887</v>
      </c>
      <c r="Q54" s="324">
        <f t="shared" si="117"/>
        <v>14.498223782962562</v>
      </c>
      <c r="R54" s="324">
        <f t="shared" si="117"/>
        <v>13.318135800628401</v>
      </c>
      <c r="S54" s="324">
        <f t="shared" si="117"/>
        <v>12.138047818294238</v>
      </c>
      <c r="T54" s="324">
        <f t="shared" si="117"/>
        <v>9.7778718536259142</v>
      </c>
      <c r="U54" s="328"/>
      <c r="V54" s="1023"/>
      <c r="W54" s="1023"/>
      <c r="X54" s="1023"/>
      <c r="Y54" s="1023"/>
      <c r="Z54" s="1023"/>
      <c r="AA54" s="331"/>
      <c r="AB54" s="311"/>
      <c r="AC54" s="311"/>
      <c r="AD54" s="311"/>
      <c r="AE54" s="311"/>
      <c r="AF54" s="311"/>
      <c r="AG54" s="311"/>
      <c r="AH54" s="311"/>
      <c r="AI54" s="654">
        <f t="shared" ref="AI54:AP54" si="118">MEDIAN(AI48:AI52)</f>
        <v>67</v>
      </c>
      <c r="AJ54" s="329">
        <f t="shared" si="118"/>
        <v>69</v>
      </c>
      <c r="AK54" s="329">
        <f t="shared" si="118"/>
        <v>71</v>
      </c>
      <c r="AL54" s="329">
        <f t="shared" si="118"/>
        <v>75.5</v>
      </c>
      <c r="AM54" s="329">
        <f t="shared" si="118"/>
        <v>77.75</v>
      </c>
      <c r="AN54" s="329">
        <f t="shared" si="118"/>
        <v>80</v>
      </c>
      <c r="AO54" s="330">
        <f t="shared" si="118"/>
        <v>80</v>
      </c>
      <c r="AP54" s="331">
        <f t="shared" si="118"/>
        <v>25</v>
      </c>
      <c r="AQ54" s="104"/>
    </row>
    <row r="55" spans="1:43" x14ac:dyDescent="0.3">
      <c r="A55" s="976"/>
      <c r="B55" s="332" t="s">
        <v>269</v>
      </c>
      <c r="C55" s="333"/>
      <c r="D55" s="333"/>
      <c r="E55" s="333"/>
      <c r="F55" s="333"/>
      <c r="G55" s="334">
        <f t="shared" ref="G55:T55" si="119">MAX(G48:G52)</f>
        <v>878</v>
      </c>
      <c r="H55" s="335">
        <f t="shared" si="119"/>
        <v>797.5</v>
      </c>
      <c r="I55" s="335">
        <f t="shared" si="119"/>
        <v>717</v>
      </c>
      <c r="J55" s="335">
        <f t="shared" si="119"/>
        <v>653.5</v>
      </c>
      <c r="K55" s="335">
        <f t="shared" si="119"/>
        <v>626.75</v>
      </c>
      <c r="L55" s="335">
        <f t="shared" si="119"/>
        <v>600</v>
      </c>
      <c r="M55" s="335">
        <f t="shared" si="119"/>
        <v>546.5</v>
      </c>
      <c r="N55" s="334">
        <f t="shared" si="119"/>
        <v>47.365359930943733</v>
      </c>
      <c r="O55" s="335">
        <f t="shared" si="119"/>
        <v>43.022636155954018</v>
      </c>
      <c r="P55" s="335">
        <f t="shared" si="119"/>
        <v>38.679912380964304</v>
      </c>
      <c r="Q55" s="335">
        <f t="shared" si="119"/>
        <v>32.044446240296793</v>
      </c>
      <c r="R55" s="335">
        <f t="shared" si="119"/>
        <v>29.832624193407618</v>
      </c>
      <c r="S55" s="335">
        <f t="shared" si="119"/>
        <v>27.620802146518447</v>
      </c>
      <c r="T55" s="335">
        <f t="shared" si="119"/>
        <v>23.197158052740104</v>
      </c>
      <c r="U55" s="339"/>
      <c r="V55" s="333"/>
      <c r="W55" s="333"/>
      <c r="X55" s="333"/>
      <c r="Y55" s="333"/>
      <c r="Z55" s="333"/>
      <c r="AA55" s="342"/>
      <c r="AB55" s="333"/>
      <c r="AC55" s="333"/>
      <c r="AD55" s="333"/>
      <c r="AE55" s="333"/>
      <c r="AF55" s="333"/>
      <c r="AG55" s="333"/>
      <c r="AH55" s="333"/>
      <c r="AI55" s="655">
        <f t="shared" ref="AI55:AP55" si="120">MAX(AI48:AI52)</f>
        <v>68</v>
      </c>
      <c r="AJ55" s="340">
        <f t="shared" si="120"/>
        <v>69</v>
      </c>
      <c r="AK55" s="340">
        <f t="shared" si="120"/>
        <v>71</v>
      </c>
      <c r="AL55" s="340">
        <f t="shared" si="120"/>
        <v>75.5</v>
      </c>
      <c r="AM55" s="340">
        <f t="shared" si="120"/>
        <v>77.75</v>
      </c>
      <c r="AN55" s="340">
        <f t="shared" si="120"/>
        <v>80</v>
      </c>
      <c r="AO55" s="341">
        <f t="shared" si="120"/>
        <v>80</v>
      </c>
      <c r="AP55" s="342">
        <f t="shared" si="120"/>
        <v>25</v>
      </c>
      <c r="AQ55" s="104"/>
    </row>
    <row r="56" spans="1:43" x14ac:dyDescent="0.3">
      <c r="A56" s="976"/>
      <c r="B56" s="969" t="s">
        <v>43</v>
      </c>
      <c r="C56" s="202">
        <v>7</v>
      </c>
      <c r="D56" s="202" t="s">
        <v>42</v>
      </c>
      <c r="E56" s="202">
        <v>2020</v>
      </c>
      <c r="F56" s="203" t="s">
        <v>19</v>
      </c>
      <c r="G56" s="480">
        <v>1999</v>
      </c>
      <c r="H56" s="93">
        <f t="shared" ref="H56:H61" si="121">G56+((I56-G56)/(2030-2020))*(2025-2020)</f>
        <v>1738</v>
      </c>
      <c r="I56" s="204">
        <v>1477</v>
      </c>
      <c r="J56" s="204">
        <v>1123</v>
      </c>
      <c r="K56" s="93">
        <f t="shared" ref="K56:K72" si="122">J56+((L56-J56)/(2050-2040))*(2045-2040)</f>
        <v>1014</v>
      </c>
      <c r="L56" s="204">
        <v>905</v>
      </c>
      <c r="M56" s="95">
        <f>K56+((L56-K56)/(2050-2045))*(2060-2045)</f>
        <v>687</v>
      </c>
      <c r="N56" s="480">
        <f>(G56*0.04*$AU$6)</f>
        <v>107.83981150564527</v>
      </c>
      <c r="O56" s="93">
        <f t="shared" ref="O56:O58" si="123">N56+((P56-N56)/(2030-2020))*(2025-2020)</f>
        <v>93.75967603642394</v>
      </c>
      <c r="P56" s="204">
        <f>I56*0.04*$AU$6</f>
        <v>79.679540567202622</v>
      </c>
      <c r="Q56" s="204">
        <f>J56*0.04*$AU$6</f>
        <v>60.582345333086359</v>
      </c>
      <c r="R56" s="93">
        <f t="shared" ref="R56:R58" si="124">Q56+((S56-Q56)/(2050-2040))*(2045-2040)</f>
        <v>54.702135501112707</v>
      </c>
      <c r="S56" s="204">
        <f>L56*0.04*$AU$6</f>
        <v>48.821925669139048</v>
      </c>
      <c r="T56" s="95">
        <f>R56+((S56-R56)/(2050-2045))*(2060-2045)</f>
        <v>37.061506005191731</v>
      </c>
      <c r="U56" s="205"/>
      <c r="V56" s="202"/>
      <c r="W56" s="202"/>
      <c r="X56" s="202"/>
      <c r="Y56" s="202"/>
      <c r="Z56" s="202"/>
      <c r="AA56" s="21"/>
      <c r="AB56" s="202"/>
      <c r="AC56" s="202"/>
      <c r="AD56" s="202"/>
      <c r="AE56" s="202"/>
      <c r="AF56" s="202"/>
      <c r="AG56" s="202"/>
      <c r="AH56" s="202"/>
      <c r="AI56" s="656">
        <v>73</v>
      </c>
      <c r="AJ56" s="101">
        <f t="shared" ref="AJ56:AJ57" si="125">AI56+((AK56-AI56)/(2030-2020))*(2025-2020)</f>
        <v>73</v>
      </c>
      <c r="AK56" s="207">
        <v>73</v>
      </c>
      <c r="AL56" s="207">
        <v>75</v>
      </c>
      <c r="AM56" s="101">
        <f t="shared" ref="AM56:AM61" si="126">AL56+((AN56-AL56)/(2050-2040))*(2045-2040)</f>
        <v>76</v>
      </c>
      <c r="AN56" s="207">
        <v>77</v>
      </c>
      <c r="AO56" s="103">
        <v>77</v>
      </c>
      <c r="AP56" s="657">
        <v>25</v>
      </c>
      <c r="AQ56" s="104"/>
    </row>
    <row r="57" spans="1:43" x14ac:dyDescent="0.3">
      <c r="A57" s="976"/>
      <c r="B57" s="937"/>
      <c r="C57" s="208">
        <v>1</v>
      </c>
      <c r="D57" s="208" t="s">
        <v>18</v>
      </c>
      <c r="E57" s="208">
        <v>2020</v>
      </c>
      <c r="F57" s="203" t="s">
        <v>19</v>
      </c>
      <c r="G57" s="212">
        <f>4000/1.1422</f>
        <v>3502.0136578532652</v>
      </c>
      <c r="H57" s="107">
        <f t="shared" si="121"/>
        <v>2538.9599019436173</v>
      </c>
      <c r="I57" s="209">
        <f>1800/1.1422</f>
        <v>1575.9061460339694</v>
      </c>
      <c r="J57" s="209">
        <f>1275/1.1422</f>
        <v>1116.2668534407283</v>
      </c>
      <c r="K57" s="107">
        <f t="shared" si="122"/>
        <v>886.44720714410778</v>
      </c>
      <c r="L57" s="209">
        <f>750/1.1422</f>
        <v>656.62756084748719</v>
      </c>
      <c r="M57" s="107">
        <v>656.62756084748719</v>
      </c>
      <c r="N57" s="212">
        <f t="shared" ref="N57:N58" si="127">(G57*0.02*$AU$6)</f>
        <v>94.461353865205439</v>
      </c>
      <c r="O57" s="107">
        <f t="shared" si="123"/>
        <v>68.484481552273934</v>
      </c>
      <c r="P57" s="209">
        <f t="shared" ref="P57:P61" si="128">I57*0.02*$AU$6</f>
        <v>42.50760923934245</v>
      </c>
      <c r="Q57" s="209">
        <f t="shared" ref="Q57:Q61" si="129">J57*0.02*$AU$6</f>
        <v>30.109556544534236</v>
      </c>
      <c r="R57" s="107">
        <f t="shared" si="124"/>
        <v>23.910530197130129</v>
      </c>
      <c r="S57" s="209">
        <f t="shared" ref="S57:S61" si="130">L57*0.02*$AU$6</f>
        <v>17.711503849726022</v>
      </c>
      <c r="T57" s="107">
        <v>13.13</v>
      </c>
      <c r="U57" s="210"/>
      <c r="V57" s="1024"/>
      <c r="W57" s="1024"/>
      <c r="X57" s="1024"/>
      <c r="Y57" s="1024"/>
      <c r="Z57" s="1024"/>
      <c r="AA57" s="24"/>
      <c r="AB57" s="208"/>
      <c r="AC57" s="208"/>
      <c r="AD57" s="208"/>
      <c r="AE57" s="208"/>
      <c r="AF57" s="208"/>
      <c r="AG57" s="208"/>
      <c r="AH57" s="208"/>
      <c r="AI57" s="658">
        <v>77.5</v>
      </c>
      <c r="AJ57" s="378">
        <f t="shared" si="125"/>
        <v>79</v>
      </c>
      <c r="AK57" s="213">
        <v>80.5</v>
      </c>
      <c r="AL57" s="213">
        <v>82</v>
      </c>
      <c r="AM57" s="378">
        <f t="shared" si="126"/>
        <v>82.75</v>
      </c>
      <c r="AN57" s="213">
        <v>83.5</v>
      </c>
      <c r="AO57" s="118">
        <v>84</v>
      </c>
      <c r="AP57" s="485">
        <v>25</v>
      </c>
      <c r="AQ57" s="104" t="s">
        <v>356</v>
      </c>
    </row>
    <row r="58" spans="1:43" x14ac:dyDescent="0.3">
      <c r="A58" s="976"/>
      <c r="B58" s="937"/>
      <c r="C58" s="208">
        <v>1</v>
      </c>
      <c r="D58" s="208" t="s">
        <v>18</v>
      </c>
      <c r="E58" s="208">
        <v>2020</v>
      </c>
      <c r="F58" s="203" t="s">
        <v>19</v>
      </c>
      <c r="G58" s="212">
        <f>2400/1.1422</f>
        <v>2101.2081947119591</v>
      </c>
      <c r="H58" s="107">
        <f t="shared" si="121"/>
        <v>1400.8054631413061</v>
      </c>
      <c r="I58" s="209">
        <f>800/1.1422</f>
        <v>700.40273157065303</v>
      </c>
      <c r="J58" s="209">
        <f>650/1.1422</f>
        <v>569.07721940115562</v>
      </c>
      <c r="K58" s="107">
        <f t="shared" si="122"/>
        <v>503.41446331640691</v>
      </c>
      <c r="L58" s="209">
        <f>500/1.1422</f>
        <v>437.75170723165814</v>
      </c>
      <c r="M58" s="107">
        <v>437.75170723165814</v>
      </c>
      <c r="N58" s="212">
        <f t="shared" si="127"/>
        <v>56.676812319123265</v>
      </c>
      <c r="O58" s="107">
        <f t="shared" si="123"/>
        <v>37.784541546082174</v>
      </c>
      <c r="P58" s="209">
        <f t="shared" si="128"/>
        <v>18.892270773041087</v>
      </c>
      <c r="Q58" s="209">
        <f t="shared" si="129"/>
        <v>15.349970003095885</v>
      </c>
      <c r="R58" s="107">
        <f t="shared" si="124"/>
        <v>13.578819618123283</v>
      </c>
      <c r="S58" s="209">
        <f t="shared" si="130"/>
        <v>11.80766923315068</v>
      </c>
      <c r="T58" s="107">
        <v>8.76</v>
      </c>
      <c r="U58" s="210"/>
      <c r="V58" s="1024"/>
      <c r="W58" s="1024"/>
      <c r="X58" s="1024"/>
      <c r="Y58" s="1024"/>
      <c r="Z58" s="1024"/>
      <c r="AA58" s="24"/>
      <c r="AB58" s="208"/>
      <c r="AC58" s="208"/>
      <c r="AD58" s="208"/>
      <c r="AE58" s="208"/>
      <c r="AF58" s="208"/>
      <c r="AG58" s="208"/>
      <c r="AH58" s="208"/>
      <c r="AI58" s="658" t="s">
        <v>357</v>
      </c>
      <c r="AJ58" s="378">
        <f>77.5</f>
        <v>77.5</v>
      </c>
      <c r="AK58" s="213">
        <v>80.5</v>
      </c>
      <c r="AL58" s="213">
        <v>82</v>
      </c>
      <c r="AM58" s="378">
        <f t="shared" si="126"/>
        <v>82.75</v>
      </c>
      <c r="AN58" s="213">
        <v>83.5</v>
      </c>
      <c r="AO58" s="118">
        <v>84</v>
      </c>
      <c r="AP58" s="485">
        <v>25</v>
      </c>
      <c r="AQ58" s="104" t="s">
        <v>358</v>
      </c>
    </row>
    <row r="59" spans="1:43" x14ac:dyDescent="0.3">
      <c r="A59" s="976"/>
      <c r="B59" s="937"/>
      <c r="C59" s="208">
        <v>10</v>
      </c>
      <c r="D59" s="208" t="s">
        <v>55</v>
      </c>
      <c r="E59" s="208">
        <v>2018</v>
      </c>
      <c r="F59" s="203" t="s">
        <v>19</v>
      </c>
      <c r="G59" s="212">
        <f>877</f>
        <v>877</v>
      </c>
      <c r="H59" s="107">
        <f t="shared" si="121"/>
        <v>776</v>
      </c>
      <c r="I59" s="209">
        <f>675</f>
        <v>675</v>
      </c>
      <c r="J59" s="107">
        <f t="shared" ref="J59:J61" si="131">I59+((L59-I59)/(2050-2030))*(2040-2030)</f>
        <v>537.5</v>
      </c>
      <c r="K59" s="107">
        <f t="shared" si="122"/>
        <v>468.75</v>
      </c>
      <c r="L59" s="209">
        <f>400</f>
        <v>400</v>
      </c>
      <c r="M59" s="107">
        <v>400</v>
      </c>
      <c r="N59" s="106">
        <f t="shared" ref="N59:N61" si="132">G59*0.02*$AU$6</f>
        <v>23.655706525875658</v>
      </c>
      <c r="O59" s="107">
        <f t="shared" ref="O59:O61" si="133">H59*0.02*$AU$6</f>
        <v>20.931389126658509</v>
      </c>
      <c r="P59" s="107">
        <f t="shared" si="128"/>
        <v>18.207071727441356</v>
      </c>
      <c r="Q59" s="107">
        <f t="shared" si="129"/>
        <v>14.498223782962562</v>
      </c>
      <c r="R59" s="107">
        <f t="shared" ref="R59:R61" si="134">K59*0.02*$AU$6</f>
        <v>12.643799810723165</v>
      </c>
      <c r="S59" s="107">
        <f t="shared" si="130"/>
        <v>10.789375838483767</v>
      </c>
      <c r="T59" s="107">
        <f t="shared" ref="T59:T61" si="135">M59*0.02*$AU$6</f>
        <v>10.789375838483767</v>
      </c>
      <c r="U59" s="210"/>
      <c r="V59" s="1024"/>
      <c r="W59" s="1024"/>
      <c r="X59" s="1024"/>
      <c r="Y59" s="1024"/>
      <c r="Z59" s="1024"/>
      <c r="AA59" s="24"/>
      <c r="AB59" s="208"/>
      <c r="AC59" s="208"/>
      <c r="AD59" s="208"/>
      <c r="AE59" s="208"/>
      <c r="AF59" s="208"/>
      <c r="AG59" s="208"/>
      <c r="AH59" s="208"/>
      <c r="AI59" s="658">
        <v>81</v>
      </c>
      <c r="AJ59" s="378">
        <f t="shared" ref="AJ59:AJ61" si="136">AI59+((AK59-AI59)/(2030-2020))*(2025-2020)</f>
        <v>82.5</v>
      </c>
      <c r="AK59" s="213">
        <v>84</v>
      </c>
      <c r="AL59" s="378">
        <f t="shared" ref="AL59:AL61" si="137">AK59+((AN59-AK59)/(2050-2030))*(2040-2030)</f>
        <v>87</v>
      </c>
      <c r="AM59" s="378">
        <f t="shared" si="126"/>
        <v>88.5</v>
      </c>
      <c r="AN59" s="213">
        <v>90</v>
      </c>
      <c r="AO59" s="118">
        <v>90</v>
      </c>
      <c r="AP59" s="485"/>
      <c r="AQ59" s="104" t="s">
        <v>359</v>
      </c>
    </row>
    <row r="60" spans="1:43" x14ac:dyDescent="0.3">
      <c r="A60" s="976"/>
      <c r="B60" s="937"/>
      <c r="C60" s="208">
        <v>10</v>
      </c>
      <c r="D60" s="208" t="s">
        <v>55</v>
      </c>
      <c r="E60" s="208">
        <v>2018</v>
      </c>
      <c r="F60" s="203" t="s">
        <v>19</v>
      </c>
      <c r="G60" s="212">
        <f>930</f>
        <v>930</v>
      </c>
      <c r="H60" s="107">
        <f t="shared" si="121"/>
        <v>867</v>
      </c>
      <c r="I60" s="209">
        <f>804</f>
        <v>804</v>
      </c>
      <c r="J60" s="107">
        <f t="shared" si="131"/>
        <v>702</v>
      </c>
      <c r="K60" s="107">
        <f t="shared" si="122"/>
        <v>651</v>
      </c>
      <c r="L60" s="209">
        <f>600</f>
        <v>600</v>
      </c>
      <c r="M60" s="107">
        <f t="shared" ref="M60:M72" si="138">K60+((L60-K60)/(2050-2045))*(2060-2045)</f>
        <v>498</v>
      </c>
      <c r="N60" s="106">
        <f t="shared" si="132"/>
        <v>25.085298824474762</v>
      </c>
      <c r="O60" s="107">
        <f t="shared" si="133"/>
        <v>23.385972129913565</v>
      </c>
      <c r="P60" s="107">
        <f t="shared" si="128"/>
        <v>21.686645435352375</v>
      </c>
      <c r="Q60" s="107">
        <f t="shared" si="129"/>
        <v>18.935354596539014</v>
      </c>
      <c r="R60" s="107">
        <f t="shared" si="134"/>
        <v>17.55970917713233</v>
      </c>
      <c r="S60" s="107">
        <f t="shared" si="130"/>
        <v>16.184063757725653</v>
      </c>
      <c r="T60" s="107">
        <f t="shared" si="135"/>
        <v>13.432772918912292</v>
      </c>
      <c r="U60" s="210"/>
      <c r="V60" s="1024"/>
      <c r="W60" s="1024"/>
      <c r="X60" s="1024"/>
      <c r="Y60" s="1024"/>
      <c r="Z60" s="1024"/>
      <c r="AA60" s="24"/>
      <c r="AB60" s="208"/>
      <c r="AC60" s="208"/>
      <c r="AD60" s="208"/>
      <c r="AE60" s="208"/>
      <c r="AF60" s="208"/>
      <c r="AG60" s="208"/>
      <c r="AH60" s="208"/>
      <c r="AI60" s="658">
        <v>81</v>
      </c>
      <c r="AJ60" s="378">
        <f t="shared" si="136"/>
        <v>82.5</v>
      </c>
      <c r="AK60" s="213">
        <v>84</v>
      </c>
      <c r="AL60" s="378">
        <f t="shared" si="137"/>
        <v>87</v>
      </c>
      <c r="AM60" s="378">
        <f t="shared" si="126"/>
        <v>88.5</v>
      </c>
      <c r="AN60" s="213">
        <v>90</v>
      </c>
      <c r="AO60" s="118">
        <v>90</v>
      </c>
      <c r="AP60" s="485"/>
      <c r="AQ60" s="104" t="s">
        <v>360</v>
      </c>
    </row>
    <row r="61" spans="1:43" x14ac:dyDescent="0.3">
      <c r="A61" s="976"/>
      <c r="B61" s="938"/>
      <c r="C61" s="214">
        <v>10</v>
      </c>
      <c r="D61" s="214" t="s">
        <v>55</v>
      </c>
      <c r="E61" s="214">
        <v>2018</v>
      </c>
      <c r="F61" s="203" t="s">
        <v>19</v>
      </c>
      <c r="G61" s="597">
        <f>969</f>
        <v>969</v>
      </c>
      <c r="H61" s="122">
        <f t="shared" si="121"/>
        <v>939</v>
      </c>
      <c r="I61" s="215">
        <f>909</f>
        <v>909</v>
      </c>
      <c r="J61" s="122">
        <f t="shared" si="131"/>
        <v>854.5</v>
      </c>
      <c r="K61" s="122">
        <f t="shared" si="122"/>
        <v>827.25</v>
      </c>
      <c r="L61" s="215">
        <f>800</f>
        <v>800</v>
      </c>
      <c r="M61" s="122">
        <f t="shared" si="138"/>
        <v>745.5</v>
      </c>
      <c r="N61" s="106">
        <f t="shared" si="132"/>
        <v>26.137262968726926</v>
      </c>
      <c r="O61" s="107">
        <f t="shared" si="133"/>
        <v>25.328059780840647</v>
      </c>
      <c r="P61" s="107">
        <f t="shared" si="128"/>
        <v>24.518856592954361</v>
      </c>
      <c r="Q61" s="107">
        <f t="shared" si="129"/>
        <v>23.04880413496095</v>
      </c>
      <c r="R61" s="107">
        <f t="shared" si="134"/>
        <v>22.313777905964244</v>
      </c>
      <c r="S61" s="107">
        <f t="shared" si="130"/>
        <v>21.578751676967535</v>
      </c>
      <c r="T61" s="107">
        <f t="shared" si="135"/>
        <v>20.10869921897412</v>
      </c>
      <c r="U61" s="216"/>
      <c r="V61" s="214"/>
      <c r="W61" s="214"/>
      <c r="X61" s="214"/>
      <c r="Y61" s="214"/>
      <c r="Z61" s="214"/>
      <c r="AA61" s="27"/>
      <c r="AB61" s="214"/>
      <c r="AC61" s="214"/>
      <c r="AD61" s="214"/>
      <c r="AE61" s="214"/>
      <c r="AF61" s="214"/>
      <c r="AG61" s="214"/>
      <c r="AH61" s="214"/>
      <c r="AI61" s="659">
        <v>81</v>
      </c>
      <c r="AJ61" s="386">
        <f t="shared" si="136"/>
        <v>82.5</v>
      </c>
      <c r="AK61" s="660">
        <v>84</v>
      </c>
      <c r="AL61" s="386">
        <f t="shared" si="137"/>
        <v>87</v>
      </c>
      <c r="AM61" s="386">
        <f t="shared" si="126"/>
        <v>88.5</v>
      </c>
      <c r="AN61" s="660">
        <v>90</v>
      </c>
      <c r="AO61" s="584">
        <v>90</v>
      </c>
      <c r="AP61" s="661"/>
      <c r="AQ61" s="104" t="s">
        <v>361</v>
      </c>
    </row>
    <row r="62" spans="1:43" x14ac:dyDescent="0.3">
      <c r="A62" s="976"/>
      <c r="B62" s="217" t="s">
        <v>267</v>
      </c>
      <c r="C62" s="218"/>
      <c r="D62" s="218"/>
      <c r="E62" s="218"/>
      <c r="F62" s="218"/>
      <c r="G62" s="219">
        <f>MIN(G56:G61)</f>
        <v>877</v>
      </c>
      <c r="H62" s="220">
        <f t="shared" ref="H62:J62" si="139">MIN(H56:H61)</f>
        <v>776</v>
      </c>
      <c r="I62" s="220">
        <f t="shared" si="139"/>
        <v>675</v>
      </c>
      <c r="J62" s="220">
        <f t="shared" si="139"/>
        <v>537.5</v>
      </c>
      <c r="K62" s="220"/>
      <c r="L62" s="220">
        <f>MIN(L56:L61)</f>
        <v>400</v>
      </c>
      <c r="M62" s="220"/>
      <c r="N62" s="219">
        <f t="shared" ref="N62:T62" si="140">MIN(N56:N61)</f>
        <v>23.655706525875658</v>
      </c>
      <c r="O62" s="220">
        <f t="shared" si="140"/>
        <v>20.931389126658509</v>
      </c>
      <c r="P62" s="220">
        <f t="shared" si="140"/>
        <v>18.207071727441356</v>
      </c>
      <c r="Q62" s="220">
        <f t="shared" si="140"/>
        <v>14.498223782962562</v>
      </c>
      <c r="R62" s="220">
        <f t="shared" si="140"/>
        <v>12.643799810723165</v>
      </c>
      <c r="S62" s="220">
        <f t="shared" si="140"/>
        <v>10.789375838483767</v>
      </c>
      <c r="T62" s="220">
        <f t="shared" si="140"/>
        <v>8.76</v>
      </c>
      <c r="U62" s="222"/>
      <c r="V62" s="218"/>
      <c r="W62" s="218"/>
      <c r="X62" s="218"/>
      <c r="Y62" s="218"/>
      <c r="Z62" s="218"/>
      <c r="AA62" s="223"/>
      <c r="AB62" s="218"/>
      <c r="AC62" s="218"/>
      <c r="AD62" s="218"/>
      <c r="AE62" s="218"/>
      <c r="AF62" s="218"/>
      <c r="AG62" s="218"/>
      <c r="AH62" s="218"/>
      <c r="AI62" s="662">
        <f t="shared" ref="AI62:AP62" si="141">MIN(AI56:AI61)</f>
        <v>73</v>
      </c>
      <c r="AJ62" s="490">
        <f t="shared" si="141"/>
        <v>73</v>
      </c>
      <c r="AK62" s="490">
        <f t="shared" si="141"/>
        <v>73</v>
      </c>
      <c r="AL62" s="490">
        <f t="shared" si="141"/>
        <v>75</v>
      </c>
      <c r="AM62" s="490">
        <f t="shared" si="141"/>
        <v>76</v>
      </c>
      <c r="AN62" s="490">
        <f t="shared" si="141"/>
        <v>77</v>
      </c>
      <c r="AO62" s="491">
        <f t="shared" si="141"/>
        <v>77</v>
      </c>
      <c r="AP62" s="491">
        <f t="shared" si="141"/>
        <v>25</v>
      </c>
      <c r="AQ62" s="104"/>
    </row>
    <row r="63" spans="1:43" x14ac:dyDescent="0.3">
      <c r="A63" s="976"/>
      <c r="B63" s="224" t="s">
        <v>268</v>
      </c>
      <c r="C63" s="225"/>
      <c r="D63" s="225"/>
      <c r="E63" s="225"/>
      <c r="F63" s="225"/>
      <c r="G63" s="226">
        <f>MEDIAN(G56:G61)</f>
        <v>1484</v>
      </c>
      <c r="H63" s="227">
        <f t="shared" ref="H63:J63" si="142">MEDIAN(H56:H61)</f>
        <v>1169.902731570653</v>
      </c>
      <c r="I63" s="227">
        <f t="shared" si="142"/>
        <v>856.5</v>
      </c>
      <c r="J63" s="227">
        <f t="shared" si="142"/>
        <v>778.25</v>
      </c>
      <c r="K63" s="227"/>
      <c r="L63" s="227">
        <f>MEDIAN(L56:L61)</f>
        <v>628.31378042374354</v>
      </c>
      <c r="M63" s="227"/>
      <c r="N63" s="226">
        <f t="shared" ref="N63:T63" si="143">MEDIAN(N56:N61)</f>
        <v>41.407037643925094</v>
      </c>
      <c r="O63" s="227">
        <f t="shared" si="143"/>
        <v>31.55630066346141</v>
      </c>
      <c r="P63" s="227">
        <f t="shared" si="143"/>
        <v>23.10275101415337</v>
      </c>
      <c r="Q63" s="227">
        <f t="shared" si="143"/>
        <v>20.99207936574998</v>
      </c>
      <c r="R63" s="227">
        <f t="shared" si="143"/>
        <v>19.936743541548289</v>
      </c>
      <c r="S63" s="227">
        <f t="shared" si="143"/>
        <v>16.947783803725837</v>
      </c>
      <c r="T63" s="227">
        <f t="shared" si="143"/>
        <v>13.281386459456147</v>
      </c>
      <c r="U63" s="229"/>
      <c r="V63" s="1025"/>
      <c r="W63" s="1025"/>
      <c r="X63" s="1025"/>
      <c r="Y63" s="1025"/>
      <c r="Z63" s="1025"/>
      <c r="AA63" s="230"/>
      <c r="AB63" s="225"/>
      <c r="AC63" s="225"/>
      <c r="AD63" s="225"/>
      <c r="AE63" s="225"/>
      <c r="AF63" s="225"/>
      <c r="AG63" s="225"/>
      <c r="AH63" s="225"/>
      <c r="AI63" s="663">
        <f t="shared" ref="AI63:AP63" si="144">MEDIAN(AI56:AI61)</f>
        <v>81</v>
      </c>
      <c r="AJ63" s="494">
        <f t="shared" si="144"/>
        <v>80.75</v>
      </c>
      <c r="AK63" s="494">
        <f t="shared" si="144"/>
        <v>82.25</v>
      </c>
      <c r="AL63" s="494">
        <f t="shared" si="144"/>
        <v>84.5</v>
      </c>
      <c r="AM63" s="494">
        <f t="shared" si="144"/>
        <v>85.625</v>
      </c>
      <c r="AN63" s="494">
        <f t="shared" si="144"/>
        <v>86.75</v>
      </c>
      <c r="AO63" s="495">
        <f t="shared" si="144"/>
        <v>87</v>
      </c>
      <c r="AP63" s="495">
        <f t="shared" si="144"/>
        <v>25</v>
      </c>
      <c r="AQ63" s="104"/>
    </row>
    <row r="64" spans="1:43" x14ac:dyDescent="0.3">
      <c r="A64" s="976"/>
      <c r="B64" s="231" t="s">
        <v>269</v>
      </c>
      <c r="C64" s="232"/>
      <c r="D64" s="232"/>
      <c r="E64" s="232"/>
      <c r="F64" s="232"/>
      <c r="G64" s="599">
        <f>MAX(G56:G61)</f>
        <v>3502.0136578532652</v>
      </c>
      <c r="H64" s="233">
        <f t="shared" ref="H64:J64" si="145">MAX(H56:H61)</f>
        <v>2538.9599019436173</v>
      </c>
      <c r="I64" s="233">
        <f t="shared" si="145"/>
        <v>1575.9061460339694</v>
      </c>
      <c r="J64" s="233">
        <f t="shared" si="145"/>
        <v>1123</v>
      </c>
      <c r="K64" s="233"/>
      <c r="L64" s="233">
        <f>MAX(L56:L61)</f>
        <v>905</v>
      </c>
      <c r="M64" s="233"/>
      <c r="N64" s="226">
        <f t="shared" ref="N64:T64" si="146">MAX(N56:N61)</f>
        <v>107.83981150564527</v>
      </c>
      <c r="O64" s="227">
        <f t="shared" si="146"/>
        <v>93.75967603642394</v>
      </c>
      <c r="P64" s="227">
        <f t="shared" si="146"/>
        <v>79.679540567202622</v>
      </c>
      <c r="Q64" s="227">
        <f t="shared" si="146"/>
        <v>60.582345333086359</v>
      </c>
      <c r="R64" s="227">
        <f t="shared" si="146"/>
        <v>54.702135501112707</v>
      </c>
      <c r="S64" s="227">
        <f t="shared" si="146"/>
        <v>48.821925669139048</v>
      </c>
      <c r="T64" s="227">
        <f t="shared" si="146"/>
        <v>37.061506005191731</v>
      </c>
      <c r="U64" s="234"/>
      <c r="V64" s="232"/>
      <c r="W64" s="232"/>
      <c r="X64" s="232"/>
      <c r="Y64" s="232"/>
      <c r="Z64" s="232"/>
      <c r="AA64" s="235"/>
      <c r="AB64" s="232"/>
      <c r="AC64" s="232"/>
      <c r="AD64" s="232"/>
      <c r="AE64" s="232"/>
      <c r="AF64" s="232"/>
      <c r="AG64" s="232"/>
      <c r="AH64" s="232"/>
      <c r="AI64" s="664">
        <f t="shared" ref="AI64:AP64" si="147">MAX(AI56:AI61)</f>
        <v>81</v>
      </c>
      <c r="AJ64" s="498">
        <f t="shared" si="147"/>
        <v>82.5</v>
      </c>
      <c r="AK64" s="498">
        <f t="shared" si="147"/>
        <v>84</v>
      </c>
      <c r="AL64" s="498">
        <f t="shared" si="147"/>
        <v>87</v>
      </c>
      <c r="AM64" s="498">
        <f t="shared" si="147"/>
        <v>88.5</v>
      </c>
      <c r="AN64" s="498">
        <f t="shared" si="147"/>
        <v>90</v>
      </c>
      <c r="AO64" s="665">
        <f t="shared" si="147"/>
        <v>90</v>
      </c>
      <c r="AP64" s="665">
        <f t="shared" si="147"/>
        <v>25</v>
      </c>
      <c r="AQ64" s="104"/>
    </row>
    <row r="65" spans="1:47" x14ac:dyDescent="0.3">
      <c r="A65" s="976"/>
      <c r="B65" s="919" t="s">
        <v>362</v>
      </c>
      <c r="C65" s="236">
        <v>1</v>
      </c>
      <c r="D65" s="236" t="s">
        <v>18</v>
      </c>
      <c r="E65" s="236">
        <v>2020</v>
      </c>
      <c r="F65" s="237" t="s">
        <v>19</v>
      </c>
      <c r="G65" s="238">
        <f>950/1.1422</f>
        <v>831.72824374015056</v>
      </c>
      <c r="H65" s="93">
        <f t="shared" ref="H65:H72" si="148">G65+((I65-G65)/(2030-2020))*(2025-2020)</f>
        <v>689.45893888986166</v>
      </c>
      <c r="I65" s="239">
        <f>625/1.1422</f>
        <v>547.18963403957275</v>
      </c>
      <c r="J65" s="239">
        <f>537.5/1.1422</f>
        <v>470.5830852740325</v>
      </c>
      <c r="K65" s="93">
        <f t="shared" si="122"/>
        <v>432.2798108912624</v>
      </c>
      <c r="L65" s="239">
        <f>450/1.1422</f>
        <v>393.97653650849236</v>
      </c>
      <c r="M65" s="95">
        <f t="shared" si="138"/>
        <v>317.36998774295228</v>
      </c>
      <c r="N65" s="238">
        <f t="shared" ref="N65:N66" si="149">G65*0.02*$AU$6</f>
        <v>22.434571542986298</v>
      </c>
      <c r="O65" s="93">
        <f t="shared" ref="O65:O67" si="150">N65+((P65-N65)/(2030-2020))*(2025-2020)</f>
        <v>18.597079042212325</v>
      </c>
      <c r="P65" s="239">
        <f t="shared" ref="P65:P66" si="151">I65*0.02*$AU$6</f>
        <v>14.759586541438352</v>
      </c>
      <c r="Q65" s="239">
        <f t="shared" ref="Q65:Q66" si="152">J65*0.02*$AU$6</f>
        <v>12.693244425636982</v>
      </c>
      <c r="R65" s="93">
        <f t="shared" ref="R65:R67" si="153">Q65+((S65-Q65)/(2050-2040))*(2045-2040)</f>
        <v>11.660073367736297</v>
      </c>
      <c r="S65" s="239">
        <f t="shared" ref="S65:S66" si="154">L65*0.02*$AU$6</f>
        <v>10.626902309835613</v>
      </c>
      <c r="T65" s="95">
        <f>R65+((S65-R65)/(2050-2045))*(2060-2045)</f>
        <v>8.5605601940342435</v>
      </c>
      <c r="U65" s="240"/>
      <c r="V65" s="236"/>
      <c r="W65" s="236"/>
      <c r="X65" s="236"/>
      <c r="Y65" s="236"/>
      <c r="Z65" s="236"/>
      <c r="AA65" s="30"/>
      <c r="AB65" s="236"/>
      <c r="AC65" s="236"/>
      <c r="AD65" s="236"/>
      <c r="AE65" s="236"/>
      <c r="AF65" s="236"/>
      <c r="AG65" s="236"/>
      <c r="AH65" s="236"/>
      <c r="AI65" s="666">
        <v>66.5</v>
      </c>
      <c r="AJ65" s="101">
        <f t="shared" ref="AJ65:AJ67" si="155">AI65+((AK65-AI65)/(2030-2020))*(2025-2020)</f>
        <v>67.25</v>
      </c>
      <c r="AK65" s="242">
        <v>68</v>
      </c>
      <c r="AL65" s="242">
        <v>71.5</v>
      </c>
      <c r="AM65" s="101">
        <f t="shared" ref="AM65:AM67" si="156">AL65+((AN65-AL65)/(2050-2040))*(2045-2040)</f>
        <v>73.25</v>
      </c>
      <c r="AN65" s="242">
        <v>75</v>
      </c>
      <c r="AO65" s="103">
        <v>75</v>
      </c>
      <c r="AP65" s="667">
        <v>25</v>
      </c>
      <c r="AQ65" s="104" t="s">
        <v>363</v>
      </c>
    </row>
    <row r="66" spans="1:47" x14ac:dyDescent="0.3">
      <c r="A66" s="976"/>
      <c r="B66" s="970"/>
      <c r="C66" s="243">
        <v>1</v>
      </c>
      <c r="D66" s="243" t="s">
        <v>18</v>
      </c>
      <c r="E66" s="243">
        <v>2020</v>
      </c>
      <c r="F66" s="237" t="s">
        <v>19</v>
      </c>
      <c r="G66" s="244">
        <f>500/1.1422</f>
        <v>437.75170723165814</v>
      </c>
      <c r="H66" s="107">
        <f t="shared" si="148"/>
        <v>393.97653650849236</v>
      </c>
      <c r="I66" s="245">
        <f>400/1.1422</f>
        <v>350.20136578532652</v>
      </c>
      <c r="J66" s="245">
        <f>300/1.1422</f>
        <v>262.65102433899489</v>
      </c>
      <c r="K66" s="107">
        <f t="shared" si="122"/>
        <v>218.87585361582907</v>
      </c>
      <c r="L66" s="245">
        <f>200/1.1422</f>
        <v>175.10068289266326</v>
      </c>
      <c r="M66" s="107">
        <v>175.1</v>
      </c>
      <c r="N66" s="244">
        <f t="shared" si="149"/>
        <v>11.80766923315068</v>
      </c>
      <c r="O66" s="107">
        <f t="shared" si="150"/>
        <v>10.626902309835611</v>
      </c>
      <c r="P66" s="245">
        <f t="shared" si="151"/>
        <v>9.4461353865205435</v>
      </c>
      <c r="Q66" s="245">
        <f t="shared" si="152"/>
        <v>7.0846015398904081</v>
      </c>
      <c r="R66" s="107">
        <f t="shared" si="153"/>
        <v>5.9038346165753399</v>
      </c>
      <c r="S66" s="245">
        <f t="shared" si="154"/>
        <v>4.7230676932602718</v>
      </c>
      <c r="T66" s="109">
        <v>3.5</v>
      </c>
      <c r="U66" s="247"/>
      <c r="V66" s="1026"/>
      <c r="W66" s="1026"/>
      <c r="X66" s="1026"/>
      <c r="Y66" s="1026"/>
      <c r="Z66" s="1026"/>
      <c r="AA66" s="33"/>
      <c r="AB66" s="243"/>
      <c r="AC66" s="243"/>
      <c r="AD66" s="243"/>
      <c r="AE66" s="243"/>
      <c r="AF66" s="243"/>
      <c r="AG66" s="243"/>
      <c r="AH66" s="243"/>
      <c r="AI66" s="668">
        <v>66.5</v>
      </c>
      <c r="AJ66" s="378">
        <f t="shared" si="155"/>
        <v>67.25</v>
      </c>
      <c r="AK66" s="669">
        <v>68</v>
      </c>
      <c r="AL66" s="669">
        <v>71.5</v>
      </c>
      <c r="AM66" s="378">
        <f t="shared" si="156"/>
        <v>73.25</v>
      </c>
      <c r="AN66" s="669">
        <v>75</v>
      </c>
      <c r="AO66" s="118">
        <v>75</v>
      </c>
      <c r="AP66" s="670">
        <v>25</v>
      </c>
      <c r="AQ66" s="104" t="s">
        <v>364</v>
      </c>
    </row>
    <row r="67" spans="1:47" x14ac:dyDescent="0.3">
      <c r="A67" s="976"/>
      <c r="B67" s="970"/>
      <c r="C67" s="243">
        <v>2</v>
      </c>
      <c r="D67" s="243" t="s">
        <v>23</v>
      </c>
      <c r="E67" s="243">
        <v>2019</v>
      </c>
      <c r="F67" s="237" t="s">
        <v>19</v>
      </c>
      <c r="G67" s="244">
        <f>900/1.1297</f>
        <v>796.67168274763219</v>
      </c>
      <c r="H67" s="107">
        <f t="shared" si="148"/>
        <v>708.15260688678416</v>
      </c>
      <c r="I67" s="245">
        <f>700/1.1297</f>
        <v>619.63353102593612</v>
      </c>
      <c r="J67" s="107">
        <f>I67+((L67-I67)/(2050-2030))*(2040-2030)</f>
        <v>508.98468619987614</v>
      </c>
      <c r="K67" s="107">
        <f t="shared" si="122"/>
        <v>453.66026378684614</v>
      </c>
      <c r="L67" s="245">
        <f>450/1.1297</f>
        <v>398.33584137381609</v>
      </c>
      <c r="M67" s="107">
        <f t="shared" si="138"/>
        <v>287.686996547756</v>
      </c>
      <c r="N67" s="244">
        <f>G67*0.015*$AU$6</f>
        <v>16.11673163445283</v>
      </c>
      <c r="O67" s="107">
        <f t="shared" si="150"/>
        <v>14.32598367506918</v>
      </c>
      <c r="P67" s="245">
        <f>I67*0.015*$AU$6</f>
        <v>12.535235715685531</v>
      </c>
      <c r="Q67" s="107">
        <f>P67+((S67-P67)/(2050-2030))*(2040-2030)</f>
        <v>10.296800766455974</v>
      </c>
      <c r="R67" s="107">
        <f t="shared" si="153"/>
        <v>9.177583291841195</v>
      </c>
      <c r="S67" s="245">
        <f>L67*0.015*$AU$6</f>
        <v>8.0583658172264148</v>
      </c>
      <c r="T67" s="109">
        <f>R67+((S67-R67)/(2050-2045))*(2060-2045)</f>
        <v>5.8199308679968542</v>
      </c>
      <c r="U67" s="244"/>
      <c r="V67" s="1027"/>
      <c r="W67" s="1027"/>
      <c r="X67" s="1027"/>
      <c r="Y67" s="1027"/>
      <c r="Z67" s="1027"/>
      <c r="AA67" s="246"/>
      <c r="AB67" s="245"/>
      <c r="AC67" s="245"/>
      <c r="AD67" s="245"/>
      <c r="AE67" s="245"/>
      <c r="AF67" s="245"/>
      <c r="AG67" s="245"/>
      <c r="AH67" s="245"/>
      <c r="AI67" s="668">
        <v>64</v>
      </c>
      <c r="AJ67" s="378">
        <f t="shared" si="155"/>
        <v>66.5</v>
      </c>
      <c r="AK67" s="669">
        <v>69</v>
      </c>
      <c r="AL67" s="378">
        <f>AK67+((AN67-AK67)/(2050-2030))*(2040-2030)</f>
        <v>71.5</v>
      </c>
      <c r="AM67" s="378">
        <f t="shared" si="156"/>
        <v>72.75</v>
      </c>
      <c r="AN67" s="669">
        <v>74</v>
      </c>
      <c r="AO67" s="118">
        <v>74</v>
      </c>
      <c r="AP67" s="670"/>
      <c r="AQ67" s="104" t="s">
        <v>365</v>
      </c>
    </row>
    <row r="68" spans="1:47" x14ac:dyDescent="0.3">
      <c r="A68" s="976"/>
      <c r="B68" s="970"/>
      <c r="C68" s="243">
        <v>3</v>
      </c>
      <c r="D68" s="243" t="s">
        <v>28</v>
      </c>
      <c r="E68" s="243">
        <v>2021</v>
      </c>
      <c r="F68" s="237" t="s">
        <v>19</v>
      </c>
      <c r="G68" s="244">
        <f>660/1.1827</f>
        <v>558.04515092584757</v>
      </c>
      <c r="H68" s="107">
        <f t="shared" si="148"/>
        <v>376.25771539697297</v>
      </c>
      <c r="I68" s="245">
        <f>230/1.1827</f>
        <v>194.4702798680984</v>
      </c>
      <c r="J68" s="107">
        <v>194.47</v>
      </c>
      <c r="K68" s="107">
        <v>194.47</v>
      </c>
      <c r="L68" s="107">
        <v>194.47</v>
      </c>
      <c r="M68" s="107">
        <v>194.47</v>
      </c>
      <c r="N68" s="106">
        <f t="shared" ref="N68:N69" si="157">G68*0.02*$AU$6</f>
        <v>15.052397170455917</v>
      </c>
      <c r="O68" s="107">
        <f t="shared" ref="O68:O69" si="158">H68*0.02*$AU$6</f>
        <v>10.148964758868004</v>
      </c>
      <c r="P68" s="107">
        <f t="shared" ref="P68:P69" si="159">I68*0.02*$AU$6</f>
        <v>5.2455323472800934</v>
      </c>
      <c r="Q68" s="107">
        <f t="shared" ref="Q68:Q69" si="160">J68*0.02*$AU$6</f>
        <v>5.2455247982748459</v>
      </c>
      <c r="R68" s="107">
        <f t="shared" ref="R68:R69" si="161">K68*0.02*$AU$6</f>
        <v>5.2455247982748459</v>
      </c>
      <c r="S68" s="107">
        <f t="shared" ref="S68:S69" si="162">L68*0.02*$AU$6</f>
        <v>5.2455247982748459</v>
      </c>
      <c r="T68" s="109">
        <f t="shared" ref="T68:T69" si="163">M68*0.02*$AU$6</f>
        <v>5.2455247982748459</v>
      </c>
      <c r="U68" s="244"/>
      <c r="V68" s="1027"/>
      <c r="W68" s="1027"/>
      <c r="X68" s="1027"/>
      <c r="Y68" s="1027"/>
      <c r="Z68" s="1027"/>
      <c r="AA68" s="246"/>
      <c r="AB68" s="245"/>
      <c r="AC68" s="245"/>
      <c r="AD68" s="245"/>
      <c r="AE68" s="245"/>
      <c r="AF68" s="245"/>
      <c r="AG68" s="245"/>
      <c r="AH68" s="245"/>
      <c r="AI68" s="668"/>
      <c r="AJ68" s="669"/>
      <c r="AK68" s="669"/>
      <c r="AL68" s="669"/>
      <c r="AM68" s="669"/>
      <c r="AN68" s="669"/>
      <c r="AO68" s="670"/>
      <c r="AP68" s="670"/>
      <c r="AQ68" s="104" t="s">
        <v>366</v>
      </c>
    </row>
    <row r="69" spans="1:47" x14ac:dyDescent="0.3">
      <c r="A69" s="976"/>
      <c r="B69" s="970"/>
      <c r="C69" s="243">
        <v>3</v>
      </c>
      <c r="D69" s="243" t="s">
        <v>28</v>
      </c>
      <c r="E69" s="243">
        <v>2021</v>
      </c>
      <c r="F69" s="237" t="s">
        <v>19</v>
      </c>
      <c r="G69" s="244">
        <f>1050/1.1827</f>
        <v>887.79910374566668</v>
      </c>
      <c r="H69" s="107">
        <f t="shared" si="148"/>
        <v>604.54891350300159</v>
      </c>
      <c r="I69" s="245">
        <f>380/1.1827</f>
        <v>321.29872326033649</v>
      </c>
      <c r="J69" s="107">
        <v>175.1</v>
      </c>
      <c r="K69" s="107">
        <v>175.1</v>
      </c>
      <c r="L69" s="107">
        <v>175.1</v>
      </c>
      <c r="M69" s="107">
        <v>175.1</v>
      </c>
      <c r="N69" s="106">
        <f t="shared" si="157"/>
        <v>23.946995498452598</v>
      </c>
      <c r="O69" s="107">
        <f t="shared" si="158"/>
        <v>16.306763601327248</v>
      </c>
      <c r="P69" s="107">
        <f t="shared" si="159"/>
        <v>8.6665317042018923</v>
      </c>
      <c r="Q69" s="107">
        <f t="shared" si="160"/>
        <v>4.7230492732962688</v>
      </c>
      <c r="R69" s="107">
        <f t="shared" si="161"/>
        <v>4.7230492732962688</v>
      </c>
      <c r="S69" s="107">
        <f t="shared" si="162"/>
        <v>4.7230492732962688</v>
      </c>
      <c r="T69" s="109">
        <f t="shared" si="163"/>
        <v>4.7230492732962688</v>
      </c>
      <c r="U69" s="247"/>
      <c r="V69" s="1026"/>
      <c r="W69" s="1026"/>
      <c r="X69" s="1026"/>
      <c r="Y69" s="1026"/>
      <c r="Z69" s="1026"/>
      <c r="AA69" s="33"/>
      <c r="AB69" s="243"/>
      <c r="AC69" s="243"/>
      <c r="AD69" s="243"/>
      <c r="AE69" s="243"/>
      <c r="AF69" s="243"/>
      <c r="AG69" s="243"/>
      <c r="AH69" s="243"/>
      <c r="AI69" s="668"/>
      <c r="AJ69" s="669"/>
      <c r="AK69" s="669"/>
      <c r="AL69" s="669"/>
      <c r="AM69" s="669"/>
      <c r="AN69" s="669"/>
      <c r="AO69" s="670"/>
      <c r="AP69" s="670"/>
      <c r="AQ69" s="104" t="s">
        <v>367</v>
      </c>
    </row>
    <row r="70" spans="1:47" x14ac:dyDescent="0.3">
      <c r="A70" s="976"/>
      <c r="B70" s="970"/>
      <c r="C70" s="243">
        <v>5</v>
      </c>
      <c r="D70" s="243" t="s">
        <v>35</v>
      </c>
      <c r="E70" s="243">
        <v>2021</v>
      </c>
      <c r="F70" s="237" t="s">
        <v>19</v>
      </c>
      <c r="G70" s="244">
        <v>800</v>
      </c>
      <c r="H70" s="107">
        <f t="shared" si="148"/>
        <v>650</v>
      </c>
      <c r="I70" s="245">
        <v>500</v>
      </c>
      <c r="J70" s="245">
        <v>440</v>
      </c>
      <c r="K70" s="107">
        <f t="shared" si="122"/>
        <v>420</v>
      </c>
      <c r="L70" s="245">
        <v>400</v>
      </c>
      <c r="M70" s="107">
        <f t="shared" si="138"/>
        <v>360</v>
      </c>
      <c r="N70" s="244">
        <f>G70*0.04*$AU$6</f>
        <v>43.15750335393507</v>
      </c>
      <c r="O70" s="107">
        <f>N70+((P70-N70)/(2030-2020))*(2025-2020)</f>
        <v>35.065471475072243</v>
      </c>
      <c r="P70" s="245">
        <f>I70*0.04*$AU$6</f>
        <v>26.973439596209417</v>
      </c>
      <c r="Q70" s="245">
        <f>J70*0.04*$AU$6</f>
        <v>23.73662684466429</v>
      </c>
      <c r="R70" s="107">
        <f>Q70+((S70-Q70)/(2050-2040))*(2045-2040)</f>
        <v>22.657689260815914</v>
      </c>
      <c r="S70" s="245">
        <f>L70*0.04*$AU$6</f>
        <v>21.578751676967535</v>
      </c>
      <c r="T70" s="109">
        <f>R70+((S70-R70)/(2050-2045))*(2060-2045)</f>
        <v>19.420876509270776</v>
      </c>
      <c r="U70" s="247"/>
      <c r="V70" s="1026"/>
      <c r="W70" s="1026"/>
      <c r="X70" s="1026"/>
      <c r="Y70" s="1026"/>
      <c r="Z70" s="1026"/>
      <c r="AA70" s="33"/>
      <c r="AB70" s="243"/>
      <c r="AC70" s="243"/>
      <c r="AD70" s="243"/>
      <c r="AE70" s="243"/>
      <c r="AF70" s="243"/>
      <c r="AG70" s="243"/>
      <c r="AH70" s="243"/>
      <c r="AI70" s="668"/>
      <c r="AJ70" s="669"/>
      <c r="AK70" s="669"/>
      <c r="AL70" s="669"/>
      <c r="AM70" s="245"/>
      <c r="AN70" s="669"/>
      <c r="AO70" s="670"/>
      <c r="AP70" s="670">
        <v>25</v>
      </c>
      <c r="AQ70" s="104" t="s">
        <v>368</v>
      </c>
    </row>
    <row r="71" spans="1:47" x14ac:dyDescent="0.3">
      <c r="A71" s="976"/>
      <c r="B71" s="970"/>
      <c r="C71" s="243">
        <v>6</v>
      </c>
      <c r="D71" s="243" t="s">
        <v>39</v>
      </c>
      <c r="E71" s="243">
        <v>2020</v>
      </c>
      <c r="F71" s="237" t="s">
        <v>19</v>
      </c>
      <c r="G71" s="244">
        <f t="shared" ref="G71:G72" si="164">1480/1.1422</f>
        <v>1295.7450534057082</v>
      </c>
      <c r="H71" s="107">
        <f t="shared" si="148"/>
        <v>1019.9614778497635</v>
      </c>
      <c r="I71" s="245">
        <f>850/1.1422</f>
        <v>744.17790229381887</v>
      </c>
      <c r="J71" s="245">
        <f>630/1.1422</f>
        <v>551.5671511118893</v>
      </c>
      <c r="K71" s="107">
        <f t="shared" si="122"/>
        <v>455.26177552092452</v>
      </c>
      <c r="L71" s="107">
        <f t="shared" ref="L71:L72" si="165">I71+((J71-I71)/(2040-2030))*(2050-2030)</f>
        <v>358.95639992995973</v>
      </c>
      <c r="M71" s="107">
        <f t="shared" si="138"/>
        <v>166.34564874803016</v>
      </c>
      <c r="N71" s="106">
        <f t="shared" ref="N71:N72" si="166">G71*0.02*$AU$6</f>
        <v>34.950700930126018</v>
      </c>
      <c r="O71" s="107">
        <f t="shared" ref="O71:O72" si="167">H71*0.02*$AU$6</f>
        <v>27.511869313241085</v>
      </c>
      <c r="P71" s="107">
        <f t="shared" ref="P71:P72" si="168">I71*0.02*$AU$6</f>
        <v>20.073037696356156</v>
      </c>
      <c r="Q71" s="107">
        <f t="shared" ref="Q71:Q72" si="169">J71*0.02*$AU$6</f>
        <v>14.877663233769859</v>
      </c>
      <c r="R71" s="107">
        <f t="shared" ref="R71:R72" si="170">K71*0.02*$AU$6</f>
        <v>12.279976002476708</v>
      </c>
      <c r="S71" s="107">
        <f t="shared" ref="S71:S72" si="171">L71*0.02*$AU$6</f>
        <v>9.6822887711835595</v>
      </c>
      <c r="T71" s="109">
        <f t="shared" ref="T71:T72" si="172">M71*0.02*$AU$6</f>
        <v>4.4869143085972603</v>
      </c>
      <c r="U71" s="247"/>
      <c r="V71" s="1026"/>
      <c r="W71" s="1026"/>
      <c r="X71" s="1026"/>
      <c r="Y71" s="1026"/>
      <c r="Z71" s="1026"/>
      <c r="AA71" s="33"/>
      <c r="AB71" s="243"/>
      <c r="AC71" s="243"/>
      <c r="AD71" s="243"/>
      <c r="AE71" s="243"/>
      <c r="AF71" s="243"/>
      <c r="AG71" s="243"/>
      <c r="AH71" s="243"/>
      <c r="AI71" s="668"/>
      <c r="AJ71" s="669"/>
      <c r="AK71" s="669"/>
      <c r="AL71" s="669"/>
      <c r="AM71" s="245"/>
      <c r="AN71" s="669"/>
      <c r="AO71" s="670"/>
      <c r="AP71" s="670"/>
      <c r="AQ71" s="104" t="s">
        <v>369</v>
      </c>
    </row>
    <row r="72" spans="1:47" x14ac:dyDescent="0.3">
      <c r="A72" s="976"/>
      <c r="B72" s="971"/>
      <c r="C72" s="248">
        <v>6</v>
      </c>
      <c r="D72" s="248" t="s">
        <v>39</v>
      </c>
      <c r="E72" s="248">
        <v>2020</v>
      </c>
      <c r="F72" s="237" t="s">
        <v>19</v>
      </c>
      <c r="G72" s="671">
        <f t="shared" si="164"/>
        <v>1295.7450534057082</v>
      </c>
      <c r="H72" s="122">
        <f t="shared" si="148"/>
        <v>849.23831202941687</v>
      </c>
      <c r="I72" s="249">
        <f>460/1.1422</f>
        <v>402.73157065312552</v>
      </c>
      <c r="J72" s="249">
        <f>360/1.1422</f>
        <v>315.18122920679389</v>
      </c>
      <c r="K72" s="122">
        <f t="shared" si="122"/>
        <v>271.40605848362804</v>
      </c>
      <c r="L72" s="122">
        <f t="shared" si="165"/>
        <v>227.63088776046226</v>
      </c>
      <c r="M72" s="122">
        <f t="shared" si="138"/>
        <v>140.08054631413069</v>
      </c>
      <c r="N72" s="607">
        <f t="shared" si="166"/>
        <v>34.950700930126018</v>
      </c>
      <c r="O72" s="122">
        <f t="shared" si="167"/>
        <v>22.906878312312326</v>
      </c>
      <c r="P72" s="122">
        <f t="shared" si="168"/>
        <v>10.863055694498629</v>
      </c>
      <c r="Q72" s="122">
        <f t="shared" si="169"/>
        <v>8.5015218478684904</v>
      </c>
      <c r="R72" s="122">
        <f t="shared" si="170"/>
        <v>7.3207549245534222</v>
      </c>
      <c r="S72" s="122">
        <f t="shared" si="171"/>
        <v>6.1399880012383541</v>
      </c>
      <c r="T72" s="303">
        <f t="shared" si="172"/>
        <v>3.77845415460822</v>
      </c>
      <c r="U72" s="250"/>
      <c r="V72" s="248"/>
      <c r="W72" s="248"/>
      <c r="X72" s="248"/>
      <c r="Y72" s="248"/>
      <c r="Z72" s="248"/>
      <c r="AA72" s="36"/>
      <c r="AB72" s="248"/>
      <c r="AC72" s="248"/>
      <c r="AD72" s="248"/>
      <c r="AE72" s="248"/>
      <c r="AF72" s="248"/>
      <c r="AG72" s="248"/>
      <c r="AH72" s="248"/>
      <c r="AI72" s="672"/>
      <c r="AJ72" s="673"/>
      <c r="AK72" s="673"/>
      <c r="AL72" s="673"/>
      <c r="AM72" s="249"/>
      <c r="AN72" s="673"/>
      <c r="AO72" s="674"/>
      <c r="AP72" s="674"/>
      <c r="AQ72" s="104" t="s">
        <v>370</v>
      </c>
    </row>
    <row r="73" spans="1:47" x14ac:dyDescent="0.3">
      <c r="A73" s="976"/>
      <c r="B73" s="251" t="s">
        <v>267</v>
      </c>
      <c r="C73" s="252"/>
      <c r="D73" s="252"/>
      <c r="E73" s="252"/>
      <c r="F73" s="252"/>
      <c r="G73" s="253">
        <f t="shared" ref="G73:T73" si="173">MIN(G65:G72)</f>
        <v>437.75170723165814</v>
      </c>
      <c r="H73" s="254">
        <f t="shared" si="173"/>
        <v>376.25771539697297</v>
      </c>
      <c r="I73" s="254">
        <f t="shared" si="173"/>
        <v>194.4702798680984</v>
      </c>
      <c r="J73" s="254">
        <f t="shared" si="173"/>
        <v>175.1</v>
      </c>
      <c r="K73" s="254">
        <f t="shared" si="173"/>
        <v>175.1</v>
      </c>
      <c r="L73" s="254">
        <f t="shared" si="173"/>
        <v>175.1</v>
      </c>
      <c r="M73" s="254">
        <f t="shared" si="173"/>
        <v>140.08054631413069</v>
      </c>
      <c r="N73" s="253">
        <f t="shared" si="173"/>
        <v>11.80766923315068</v>
      </c>
      <c r="O73" s="254">
        <f t="shared" si="173"/>
        <v>10.148964758868004</v>
      </c>
      <c r="P73" s="254">
        <f t="shared" si="173"/>
        <v>5.2455323472800934</v>
      </c>
      <c r="Q73" s="254">
        <f t="shared" si="173"/>
        <v>4.7230492732962688</v>
      </c>
      <c r="R73" s="254">
        <f t="shared" si="173"/>
        <v>4.7230492732962688</v>
      </c>
      <c r="S73" s="254">
        <f t="shared" si="173"/>
        <v>4.7230492732962688</v>
      </c>
      <c r="T73" s="254">
        <f t="shared" si="173"/>
        <v>3.5</v>
      </c>
      <c r="U73" s="256"/>
      <c r="V73" s="252"/>
      <c r="W73" s="252"/>
      <c r="X73" s="252"/>
      <c r="Y73" s="252"/>
      <c r="Z73" s="252"/>
      <c r="AA73" s="259"/>
      <c r="AB73" s="252"/>
      <c r="AC73" s="252"/>
      <c r="AD73" s="252"/>
      <c r="AE73" s="252"/>
      <c r="AF73" s="252"/>
      <c r="AG73" s="252"/>
      <c r="AH73" s="252"/>
      <c r="AI73" s="675">
        <f t="shared" ref="AI73:AP73" si="174">MIN(AI65:AI72)</f>
        <v>64</v>
      </c>
      <c r="AJ73" s="257">
        <f t="shared" si="174"/>
        <v>66.5</v>
      </c>
      <c r="AK73" s="257">
        <f t="shared" si="174"/>
        <v>68</v>
      </c>
      <c r="AL73" s="257">
        <f t="shared" si="174"/>
        <v>71.5</v>
      </c>
      <c r="AM73" s="257">
        <f t="shared" si="174"/>
        <v>72.75</v>
      </c>
      <c r="AN73" s="257">
        <f t="shared" si="174"/>
        <v>74</v>
      </c>
      <c r="AO73" s="258">
        <f t="shared" si="174"/>
        <v>74</v>
      </c>
      <c r="AP73" s="258">
        <f t="shared" si="174"/>
        <v>25</v>
      </c>
      <c r="AQ73" s="104"/>
    </row>
    <row r="74" spans="1:47" x14ac:dyDescent="0.3">
      <c r="A74" s="976"/>
      <c r="B74" s="260" t="s">
        <v>268</v>
      </c>
      <c r="C74" s="261"/>
      <c r="D74" s="261"/>
      <c r="E74" s="261"/>
      <c r="F74" s="261"/>
      <c r="G74" s="262">
        <f t="shared" ref="G74:T74" si="175">MEDIAN(G65:G72)</f>
        <v>815.86412187007522</v>
      </c>
      <c r="H74" s="263">
        <f t="shared" si="175"/>
        <v>669.72946944493083</v>
      </c>
      <c r="I74" s="263">
        <f t="shared" si="175"/>
        <v>451.36578532656279</v>
      </c>
      <c r="J74" s="263">
        <f t="shared" si="175"/>
        <v>377.59061460339694</v>
      </c>
      <c r="K74" s="263">
        <f t="shared" si="175"/>
        <v>345.70302924181402</v>
      </c>
      <c r="L74" s="263">
        <f t="shared" si="175"/>
        <v>293.29364384521102</v>
      </c>
      <c r="M74" s="263">
        <f t="shared" si="175"/>
        <v>184.785</v>
      </c>
      <c r="N74" s="262">
        <f t="shared" si="175"/>
        <v>23.190783520719449</v>
      </c>
      <c r="O74" s="263">
        <f t="shared" si="175"/>
        <v>17.451921321769788</v>
      </c>
      <c r="P74" s="263">
        <f t="shared" si="175"/>
        <v>11.699145705092079</v>
      </c>
      <c r="Q74" s="263">
        <f t="shared" si="175"/>
        <v>9.3991613071622311</v>
      </c>
      <c r="R74" s="263">
        <f t="shared" si="175"/>
        <v>8.2491691081973091</v>
      </c>
      <c r="S74" s="263">
        <f t="shared" si="175"/>
        <v>7.0991769092323844</v>
      </c>
      <c r="T74" s="263">
        <f t="shared" si="175"/>
        <v>4.9842870357855578</v>
      </c>
      <c r="U74" s="265"/>
      <c r="V74" s="1028"/>
      <c r="W74" s="1028"/>
      <c r="X74" s="1028"/>
      <c r="Y74" s="1028"/>
      <c r="Z74" s="1028"/>
      <c r="AA74" s="268"/>
      <c r="AB74" s="261"/>
      <c r="AC74" s="261"/>
      <c r="AD74" s="261"/>
      <c r="AE74" s="261"/>
      <c r="AF74" s="261"/>
      <c r="AG74" s="261"/>
      <c r="AH74" s="261"/>
      <c r="AI74" s="676">
        <f t="shared" ref="AI74:AP74" si="176">MEDIAN(AI65:AI72)</f>
        <v>66.5</v>
      </c>
      <c r="AJ74" s="266">
        <f t="shared" si="176"/>
        <v>67.25</v>
      </c>
      <c r="AK74" s="266">
        <f t="shared" si="176"/>
        <v>68</v>
      </c>
      <c r="AL74" s="266">
        <f t="shared" si="176"/>
        <v>71.5</v>
      </c>
      <c r="AM74" s="266">
        <f t="shared" si="176"/>
        <v>73.25</v>
      </c>
      <c r="AN74" s="266">
        <f t="shared" si="176"/>
        <v>75</v>
      </c>
      <c r="AO74" s="267">
        <f t="shared" si="176"/>
        <v>75</v>
      </c>
      <c r="AP74" s="267">
        <f t="shared" si="176"/>
        <v>25</v>
      </c>
      <c r="AQ74" s="104"/>
    </row>
    <row r="75" spans="1:47" x14ac:dyDescent="0.3">
      <c r="A75" s="977"/>
      <c r="B75" s="269" t="s">
        <v>269</v>
      </c>
      <c r="C75" s="274"/>
      <c r="D75" s="274"/>
      <c r="E75" s="274"/>
      <c r="F75" s="274"/>
      <c r="G75" s="270">
        <f t="shared" ref="G75:T75" si="177">MAX(G65:G72)</f>
        <v>1295.7450534057082</v>
      </c>
      <c r="H75" s="271">
        <f t="shared" si="177"/>
        <v>1019.9614778497635</v>
      </c>
      <c r="I75" s="271">
        <f t="shared" si="177"/>
        <v>744.17790229381887</v>
      </c>
      <c r="J75" s="271">
        <f t="shared" si="177"/>
        <v>551.5671511118893</v>
      </c>
      <c r="K75" s="271">
        <f t="shared" si="177"/>
        <v>455.26177552092452</v>
      </c>
      <c r="L75" s="271">
        <f t="shared" si="177"/>
        <v>400</v>
      </c>
      <c r="M75" s="271">
        <f t="shared" si="177"/>
        <v>360</v>
      </c>
      <c r="N75" s="270">
        <f t="shared" si="177"/>
        <v>43.15750335393507</v>
      </c>
      <c r="O75" s="271">
        <f t="shared" si="177"/>
        <v>35.065471475072243</v>
      </c>
      <c r="P75" s="271">
        <f t="shared" si="177"/>
        <v>26.973439596209417</v>
      </c>
      <c r="Q75" s="271">
        <f t="shared" si="177"/>
        <v>23.73662684466429</v>
      </c>
      <c r="R75" s="271">
        <f t="shared" si="177"/>
        <v>22.657689260815914</v>
      </c>
      <c r="S75" s="271">
        <f t="shared" si="177"/>
        <v>21.578751676967535</v>
      </c>
      <c r="T75" s="271">
        <f t="shared" si="177"/>
        <v>19.420876509270776</v>
      </c>
      <c r="U75" s="273"/>
      <c r="V75" s="274"/>
      <c r="W75" s="274"/>
      <c r="X75" s="274"/>
      <c r="Y75" s="274"/>
      <c r="Z75" s="274"/>
      <c r="AA75" s="277"/>
      <c r="AB75" s="274"/>
      <c r="AC75" s="274"/>
      <c r="AD75" s="274"/>
      <c r="AE75" s="274"/>
      <c r="AF75" s="274"/>
      <c r="AG75" s="274"/>
      <c r="AH75" s="274"/>
      <c r="AI75" s="677">
        <f t="shared" ref="AI75:AP75" si="178">MAX(AI65:AI72)</f>
        <v>66.5</v>
      </c>
      <c r="AJ75" s="275">
        <f t="shared" si="178"/>
        <v>67.25</v>
      </c>
      <c r="AK75" s="275">
        <f t="shared" si="178"/>
        <v>69</v>
      </c>
      <c r="AL75" s="275">
        <f t="shared" si="178"/>
        <v>71.5</v>
      </c>
      <c r="AM75" s="275">
        <f t="shared" si="178"/>
        <v>73.25</v>
      </c>
      <c r="AN75" s="275">
        <f t="shared" si="178"/>
        <v>75</v>
      </c>
      <c r="AO75" s="276">
        <f t="shared" si="178"/>
        <v>75</v>
      </c>
      <c r="AP75" s="276">
        <f t="shared" si="178"/>
        <v>25</v>
      </c>
      <c r="AQ75" s="104"/>
    </row>
    <row r="76" spans="1:47" x14ac:dyDescent="0.3">
      <c r="A76" s="678"/>
      <c r="B76" s="632"/>
      <c r="C76" s="439"/>
      <c r="D76" s="439"/>
      <c r="E76" s="439"/>
      <c r="F76" s="439"/>
      <c r="G76" s="440"/>
      <c r="H76" s="441"/>
      <c r="I76" s="441"/>
      <c r="J76" s="441"/>
      <c r="K76" s="441"/>
      <c r="L76" s="441"/>
      <c r="M76" s="441"/>
      <c r="N76" s="440"/>
      <c r="O76" s="441"/>
      <c r="P76" s="441"/>
      <c r="Q76" s="441"/>
      <c r="R76" s="441"/>
      <c r="S76" s="441"/>
      <c r="T76" s="441"/>
      <c r="U76" s="445"/>
      <c r="V76" s="1029"/>
      <c r="W76" s="1029"/>
      <c r="X76" s="1029"/>
      <c r="Y76" s="1029"/>
      <c r="Z76" s="1029"/>
      <c r="AA76" s="446"/>
      <c r="AB76" s="439"/>
      <c r="AC76" s="439"/>
      <c r="AD76" s="439"/>
      <c r="AE76" s="439"/>
      <c r="AF76" s="439"/>
      <c r="AG76" s="439"/>
      <c r="AH76" s="439"/>
      <c r="AI76" s="679"/>
      <c r="AJ76" s="680"/>
      <c r="AK76" s="680"/>
      <c r="AL76" s="680"/>
      <c r="AM76" s="680"/>
      <c r="AN76" s="680"/>
      <c r="AO76" s="681"/>
      <c r="AP76" s="681"/>
      <c r="AQ76" s="635"/>
    </row>
    <row r="77" spans="1:47" x14ac:dyDescent="0.3">
      <c r="A77" s="972" t="s">
        <v>132</v>
      </c>
      <c r="B77" s="854" t="s">
        <v>37</v>
      </c>
      <c r="C77" s="90">
        <v>7</v>
      </c>
      <c r="D77" s="90" t="s">
        <v>42</v>
      </c>
      <c r="E77" s="90">
        <v>2020</v>
      </c>
      <c r="F77" s="91" t="s">
        <v>19</v>
      </c>
      <c r="G77" s="447">
        <v>1610</v>
      </c>
      <c r="H77" s="93">
        <f t="shared" ref="H77:H81" si="179">G77+((I77-G77)/(2030-2020))*(2025-2020)</f>
        <v>1413</v>
      </c>
      <c r="I77" s="94">
        <v>1216</v>
      </c>
      <c r="J77" s="94">
        <v>952</v>
      </c>
      <c r="K77" s="93">
        <f t="shared" ref="K77:K81" si="180">J77+((L77-J77)/(2050-2040))*(2045-2040)</f>
        <v>872.5</v>
      </c>
      <c r="L77" s="94">
        <v>793</v>
      </c>
      <c r="M77" s="95">
        <f>K77+((L77-K77)/(2050-2045))*(2060-2045)</f>
        <v>634</v>
      </c>
      <c r="N77" s="447">
        <f>G77*0.04*$AU$7</f>
        <v>86.129798929191026</v>
      </c>
      <c r="O77" s="93">
        <f t="shared" ref="O77:O78" si="181">N77+((P77-N77)/(2030-2020))*(2025-2020)</f>
        <v>75.590935333507403</v>
      </c>
      <c r="P77" s="94">
        <f>I77*0.04*$AU$7</f>
        <v>65.05207173782378</v>
      </c>
      <c r="Q77" s="94">
        <f>J77*0.04*$AU$7</f>
        <v>50.928924584217299</v>
      </c>
      <c r="R77" s="93">
        <f t="shared" ref="R77:R78" si="182">Q77+((S77-Q77)/(2050-2040))*(2045-2040)</f>
        <v>46.675931407278981</v>
      </c>
      <c r="S77" s="94">
        <f>L77*0.04*$AU$7</f>
        <v>42.422938230340669</v>
      </c>
      <c r="T77" s="95">
        <f>R77+((S77-R77)/(2050-2045))*(2060-2045)</f>
        <v>33.916951876464047</v>
      </c>
      <c r="U77" s="96"/>
      <c r="V77" s="97"/>
      <c r="W77" s="97"/>
      <c r="X77" s="97"/>
      <c r="Y77" s="97"/>
      <c r="Z77" s="97"/>
      <c r="AA77" s="43"/>
      <c r="AB77" s="97"/>
      <c r="AC77" s="97"/>
      <c r="AD77" s="97"/>
      <c r="AE77" s="97"/>
      <c r="AF77" s="97"/>
      <c r="AG77" s="97"/>
      <c r="AH77" s="97"/>
      <c r="AI77" s="636">
        <v>71</v>
      </c>
      <c r="AJ77" s="101">
        <f t="shared" ref="AJ77:AJ81" si="183">AI77+((AK77-AI77)/(2030-2020))*(2025-2020)</f>
        <v>71</v>
      </c>
      <c r="AK77" s="102">
        <v>71</v>
      </c>
      <c r="AL77" s="102">
        <v>72</v>
      </c>
      <c r="AM77" s="101">
        <f t="shared" ref="AM77:AM81" si="184">AL77+((AN77-AL77)/(2050-2040))*(2045-2040)</f>
        <v>72.5</v>
      </c>
      <c r="AN77" s="102">
        <v>73</v>
      </c>
      <c r="AO77" s="103">
        <v>73</v>
      </c>
      <c r="AP77" s="43">
        <v>25</v>
      </c>
      <c r="AQ77" s="104"/>
    </row>
    <row r="78" spans="1:47" x14ac:dyDescent="0.3">
      <c r="A78" s="973"/>
      <c r="B78" s="855"/>
      <c r="C78" s="105">
        <v>9</v>
      </c>
      <c r="D78" s="105" t="s">
        <v>50</v>
      </c>
      <c r="E78" s="105">
        <v>2021</v>
      </c>
      <c r="F78" s="91" t="s">
        <v>19</v>
      </c>
      <c r="G78" s="113">
        <f>1150</f>
        <v>1150</v>
      </c>
      <c r="H78" s="107">
        <f t="shared" si="179"/>
        <v>1025</v>
      </c>
      <c r="I78" s="107">
        <f>G78+((L78-G78)/(2050-2020))*(2030-2020)</f>
        <v>900</v>
      </c>
      <c r="J78" s="107">
        <f t="shared" ref="J78:J81" si="185">I78+((L78-I78)/(2050-2030))*(2040-2030)</f>
        <v>650</v>
      </c>
      <c r="K78" s="107">
        <f t="shared" si="180"/>
        <v>525</v>
      </c>
      <c r="L78" s="108">
        <f>400</f>
        <v>400</v>
      </c>
      <c r="M78" s="107">
        <v>400</v>
      </c>
      <c r="N78" s="113">
        <f>28.8*$AU$7</f>
        <v>38.517674055290392</v>
      </c>
      <c r="O78" s="107">
        <f t="shared" si="181"/>
        <v>34.327093776126858</v>
      </c>
      <c r="P78" s="107">
        <f>N78+((S78-N78)/(2050-2020))*(2030-2020)</f>
        <v>30.136513496963317</v>
      </c>
      <c r="Q78" s="107">
        <f>P78+((S78-P78)/(2050-2030))*(2040-2030)</f>
        <v>21.755352938636243</v>
      </c>
      <c r="R78" s="107">
        <f t="shared" si="182"/>
        <v>17.564772659472702</v>
      </c>
      <c r="S78" s="108">
        <f>10*$AU$7</f>
        <v>13.374192380309164</v>
      </c>
      <c r="T78" s="107">
        <v>10</v>
      </c>
      <c r="U78" s="110"/>
      <c r="V78" s="1020"/>
      <c r="W78" s="1020"/>
      <c r="X78" s="1020"/>
      <c r="Y78" s="1020"/>
      <c r="Z78" s="1020"/>
      <c r="AA78" s="46"/>
      <c r="AB78" s="111"/>
      <c r="AC78" s="111"/>
      <c r="AD78" s="111"/>
      <c r="AE78" s="111"/>
      <c r="AF78" s="111"/>
      <c r="AG78" s="111"/>
      <c r="AH78" s="111"/>
      <c r="AI78" s="637">
        <f>33.33/48.7*100</f>
        <v>68.439425051334695</v>
      </c>
      <c r="AJ78" s="378">
        <f t="shared" si="183"/>
        <v>71.501591720298222</v>
      </c>
      <c r="AK78" s="117">
        <f>33.33/44.7*100</f>
        <v>74.563758389261736</v>
      </c>
      <c r="AL78" s="378">
        <f t="shared" ref="AL78:AL81" si="186">AK78+((AN78-AK78)/(2050-2030))*(2040-2030)</f>
        <v>77.632968783008593</v>
      </c>
      <c r="AM78" s="378">
        <f t="shared" si="184"/>
        <v>79.167573979882022</v>
      </c>
      <c r="AN78" s="117">
        <f>33.33/41.3*100</f>
        <v>80.70217917675545</v>
      </c>
      <c r="AO78" s="118">
        <v>81</v>
      </c>
      <c r="AP78" s="46"/>
      <c r="AQ78" s="104" t="s">
        <v>351</v>
      </c>
    </row>
    <row r="79" spans="1:47" x14ac:dyDescent="0.3">
      <c r="A79" s="973"/>
      <c r="B79" s="855"/>
      <c r="C79" s="105">
        <v>10</v>
      </c>
      <c r="D79" s="105" t="s">
        <v>55</v>
      </c>
      <c r="E79" s="105">
        <v>2018</v>
      </c>
      <c r="F79" s="91" t="s">
        <v>19</v>
      </c>
      <c r="G79" s="113">
        <f>656</f>
        <v>656</v>
      </c>
      <c r="H79" s="107">
        <f t="shared" si="179"/>
        <v>549</v>
      </c>
      <c r="I79" s="108">
        <f>442</f>
        <v>442</v>
      </c>
      <c r="J79" s="107">
        <f t="shared" si="185"/>
        <v>321</v>
      </c>
      <c r="K79" s="107">
        <f t="shared" si="180"/>
        <v>260.5</v>
      </c>
      <c r="L79" s="108">
        <f>200</f>
        <v>200</v>
      </c>
      <c r="M79" s="107">
        <v>200</v>
      </c>
      <c r="N79" s="106">
        <f t="shared" ref="N79:N81" si="187">G79*0.02*$AU$7</f>
        <v>17.546940402965625</v>
      </c>
      <c r="O79" s="107">
        <f>H79*0.02*$AU$7</f>
        <v>14.684863233579463</v>
      </c>
      <c r="P79" s="107">
        <f>I79*0.02*$AU$7</f>
        <v>11.822786064193302</v>
      </c>
      <c r="Q79" s="107">
        <f>J79*0.02*$AU$7</f>
        <v>8.5862315081584839</v>
      </c>
      <c r="R79" s="107">
        <f>K79*0.02*$AU$7</f>
        <v>6.9679542301410748</v>
      </c>
      <c r="S79" s="107">
        <f>L79*0.02*$AU$7</f>
        <v>5.3496769521236658</v>
      </c>
      <c r="T79" s="107">
        <f>M79*0.02*$AU$7</f>
        <v>5.3496769521236658</v>
      </c>
      <c r="U79" s="110"/>
      <c r="V79" s="1020"/>
      <c r="W79" s="1020"/>
      <c r="X79" s="1020"/>
      <c r="Y79" s="1020"/>
      <c r="Z79" s="1020"/>
      <c r="AA79" s="46"/>
      <c r="AB79" s="111"/>
      <c r="AC79" s="111"/>
      <c r="AD79" s="111"/>
      <c r="AE79" s="111"/>
      <c r="AF79" s="111"/>
      <c r="AG79" s="111"/>
      <c r="AH79" s="111"/>
      <c r="AI79" s="637">
        <f>67</f>
        <v>67</v>
      </c>
      <c r="AJ79" s="378">
        <f t="shared" si="183"/>
        <v>69</v>
      </c>
      <c r="AK79" s="117">
        <v>71</v>
      </c>
      <c r="AL79" s="378">
        <f t="shared" si="186"/>
        <v>75.5</v>
      </c>
      <c r="AM79" s="378">
        <f t="shared" si="184"/>
        <v>77.75</v>
      </c>
      <c r="AN79" s="117">
        <v>80</v>
      </c>
      <c r="AO79" s="118">
        <v>80</v>
      </c>
      <c r="AP79" s="46"/>
      <c r="AQ79" s="104" t="s">
        <v>352</v>
      </c>
    </row>
    <row r="80" spans="1:47" x14ac:dyDescent="0.3">
      <c r="A80" s="973"/>
      <c r="B80" s="855"/>
      <c r="C80" s="105">
        <v>10</v>
      </c>
      <c r="D80" s="105" t="s">
        <v>55</v>
      </c>
      <c r="E80" s="105">
        <v>2018</v>
      </c>
      <c r="F80" s="91" t="s">
        <v>19</v>
      </c>
      <c r="G80" s="113">
        <f>737</f>
        <v>737</v>
      </c>
      <c r="H80" s="107">
        <f t="shared" si="179"/>
        <v>681</v>
      </c>
      <c r="I80" s="108">
        <f>625</f>
        <v>625</v>
      </c>
      <c r="J80" s="107">
        <f t="shared" si="185"/>
        <v>537.5</v>
      </c>
      <c r="K80" s="107">
        <f t="shared" si="180"/>
        <v>493.75</v>
      </c>
      <c r="L80" s="108">
        <f>450</f>
        <v>450</v>
      </c>
      <c r="M80" s="107">
        <f t="shared" ref="M80:M81" si="188">K80+((L80-K80)/(2050-2045))*(2060-2045)</f>
        <v>362.5</v>
      </c>
      <c r="N80" s="106">
        <f t="shared" si="187"/>
        <v>19.713559568575707</v>
      </c>
      <c r="O80" s="107">
        <f>H80*0.02*$AU$7</f>
        <v>18.215650021981084</v>
      </c>
      <c r="P80" s="107">
        <f t="shared" ref="P80:P81" si="189">I80*0.02*$AU$7</f>
        <v>16.717740475386456</v>
      </c>
      <c r="Q80" s="107">
        <f t="shared" ref="Q80:Q81" si="190">J80*0.02*$AU$7</f>
        <v>14.377256808832351</v>
      </c>
      <c r="R80" s="107">
        <f t="shared" ref="R80:R81" si="191">K80*0.02*$AU$7</f>
        <v>13.2070149755553</v>
      </c>
      <c r="S80" s="107">
        <f t="shared" ref="S80:S81" si="192">L80*0.02*$AU$7</f>
        <v>12.036773142278248</v>
      </c>
      <c r="T80" s="107">
        <f t="shared" ref="T80:T81" si="193">M80*0.02*$AU$7</f>
        <v>9.6962894757241447</v>
      </c>
      <c r="U80" s="110"/>
      <c r="V80" s="1020"/>
      <c r="W80" s="1020"/>
      <c r="X80" s="1020"/>
      <c r="Y80" s="1020"/>
      <c r="Z80" s="1020"/>
      <c r="AA80" s="46"/>
      <c r="AB80" s="111"/>
      <c r="AC80" s="111"/>
      <c r="AD80" s="111"/>
      <c r="AE80" s="111"/>
      <c r="AF80" s="111"/>
      <c r="AG80" s="111"/>
      <c r="AH80" s="111"/>
      <c r="AI80" s="637">
        <v>67</v>
      </c>
      <c r="AJ80" s="378">
        <f t="shared" si="183"/>
        <v>69</v>
      </c>
      <c r="AK80" s="117">
        <v>71</v>
      </c>
      <c r="AL80" s="378">
        <f t="shared" si="186"/>
        <v>75.5</v>
      </c>
      <c r="AM80" s="378">
        <f t="shared" si="184"/>
        <v>77.75</v>
      </c>
      <c r="AN80" s="117">
        <v>80</v>
      </c>
      <c r="AO80" s="118">
        <v>80</v>
      </c>
      <c r="AP80" s="46"/>
      <c r="AQ80" s="104" t="s">
        <v>353</v>
      </c>
      <c r="AU80" s="76"/>
    </row>
    <row r="81" spans="1:47" x14ac:dyDescent="0.3">
      <c r="A81" s="973"/>
      <c r="B81" s="918"/>
      <c r="C81" s="120">
        <v>10</v>
      </c>
      <c r="D81" s="120" t="s">
        <v>55</v>
      </c>
      <c r="E81" s="120">
        <v>2018</v>
      </c>
      <c r="F81" s="91" t="s">
        <v>19</v>
      </c>
      <c r="G81" s="587">
        <f>768</f>
        <v>768</v>
      </c>
      <c r="H81" s="122">
        <f t="shared" si="179"/>
        <v>737.5</v>
      </c>
      <c r="I81" s="121">
        <f>707</f>
        <v>707</v>
      </c>
      <c r="J81" s="122">
        <f t="shared" si="185"/>
        <v>653.5</v>
      </c>
      <c r="K81" s="122">
        <f t="shared" si="180"/>
        <v>626.75</v>
      </c>
      <c r="L81" s="121">
        <f>600</f>
        <v>600</v>
      </c>
      <c r="M81" s="122">
        <f t="shared" si="188"/>
        <v>546.5</v>
      </c>
      <c r="N81" s="106">
        <f t="shared" si="187"/>
        <v>20.542759496154876</v>
      </c>
      <c r="O81" s="107">
        <f>H81*0.02*$AU$7</f>
        <v>19.726933760956019</v>
      </c>
      <c r="P81" s="107">
        <f t="shared" si="189"/>
        <v>18.911108025757159</v>
      </c>
      <c r="Q81" s="107">
        <f t="shared" si="190"/>
        <v>17.480069441064078</v>
      </c>
      <c r="R81" s="107">
        <f t="shared" si="191"/>
        <v>16.764550148717539</v>
      </c>
      <c r="S81" s="107">
        <f t="shared" si="192"/>
        <v>16.049030856370997</v>
      </c>
      <c r="T81" s="107">
        <f t="shared" si="193"/>
        <v>14.617992271677917</v>
      </c>
      <c r="U81" s="123"/>
      <c r="V81" s="124"/>
      <c r="W81" s="124"/>
      <c r="X81" s="124"/>
      <c r="Y81" s="124"/>
      <c r="Z81" s="124"/>
      <c r="AA81" s="51"/>
      <c r="AB81" s="124"/>
      <c r="AC81" s="124"/>
      <c r="AD81" s="124"/>
      <c r="AE81" s="124"/>
      <c r="AF81" s="124"/>
      <c r="AG81" s="124"/>
      <c r="AH81" s="124"/>
      <c r="AI81" s="638">
        <v>67</v>
      </c>
      <c r="AJ81" s="386">
        <f t="shared" si="183"/>
        <v>69</v>
      </c>
      <c r="AK81" s="639">
        <v>71</v>
      </c>
      <c r="AL81" s="386">
        <f t="shared" si="186"/>
        <v>75.5</v>
      </c>
      <c r="AM81" s="386">
        <f t="shared" si="184"/>
        <v>77.75</v>
      </c>
      <c r="AN81" s="639">
        <v>80</v>
      </c>
      <c r="AO81" s="584">
        <v>80</v>
      </c>
      <c r="AP81" s="51"/>
      <c r="AQ81" s="104" t="s">
        <v>354</v>
      </c>
      <c r="AU81" s="76"/>
    </row>
    <row r="82" spans="1:47" x14ac:dyDescent="0.3">
      <c r="A82" s="973"/>
      <c r="B82" s="125" t="s">
        <v>267</v>
      </c>
      <c r="C82" s="126"/>
      <c r="D82" s="126"/>
      <c r="E82" s="126"/>
      <c r="F82" s="126"/>
      <c r="G82" s="127">
        <f>MIN(G77:G81)</f>
        <v>656</v>
      </c>
      <c r="H82" s="128">
        <f t="shared" ref="H82:T82" si="194">MIN(H77:H81)</f>
        <v>549</v>
      </c>
      <c r="I82" s="128">
        <f t="shared" si="194"/>
        <v>442</v>
      </c>
      <c r="J82" s="128">
        <f t="shared" si="194"/>
        <v>321</v>
      </c>
      <c r="K82" s="128">
        <f t="shared" si="194"/>
        <v>260.5</v>
      </c>
      <c r="L82" s="128">
        <f t="shared" si="194"/>
        <v>200</v>
      </c>
      <c r="M82" s="128">
        <f t="shared" si="194"/>
        <v>200</v>
      </c>
      <c r="N82" s="127">
        <f t="shared" si="194"/>
        <v>17.546940402965625</v>
      </c>
      <c r="O82" s="128">
        <f t="shared" si="194"/>
        <v>14.684863233579463</v>
      </c>
      <c r="P82" s="128">
        <f t="shared" si="194"/>
        <v>11.822786064193302</v>
      </c>
      <c r="Q82" s="128">
        <f t="shared" si="194"/>
        <v>8.5862315081584839</v>
      </c>
      <c r="R82" s="128">
        <f t="shared" si="194"/>
        <v>6.9679542301410748</v>
      </c>
      <c r="S82" s="128">
        <f t="shared" si="194"/>
        <v>5.3496769521236658</v>
      </c>
      <c r="T82" s="456">
        <f t="shared" si="194"/>
        <v>5.3496769521236658</v>
      </c>
      <c r="U82" s="131"/>
      <c r="V82" s="126"/>
      <c r="W82" s="126"/>
      <c r="X82" s="126"/>
      <c r="Y82" s="126"/>
      <c r="Z82" s="126"/>
      <c r="AA82" s="132"/>
      <c r="AB82" s="126"/>
      <c r="AC82" s="126"/>
      <c r="AD82" s="126"/>
      <c r="AE82" s="126"/>
      <c r="AF82" s="126"/>
      <c r="AG82" s="126"/>
      <c r="AH82" s="126"/>
      <c r="AI82" s="640">
        <f t="shared" ref="AI82:AP82" si="195">MIN(AI77:AI81)</f>
        <v>67</v>
      </c>
      <c r="AJ82" s="641">
        <f t="shared" si="195"/>
        <v>69</v>
      </c>
      <c r="AK82" s="641">
        <f t="shared" si="195"/>
        <v>71</v>
      </c>
      <c r="AL82" s="641">
        <f t="shared" si="195"/>
        <v>72</v>
      </c>
      <c r="AM82" s="641">
        <f t="shared" si="195"/>
        <v>72.5</v>
      </c>
      <c r="AN82" s="641">
        <f t="shared" si="195"/>
        <v>73</v>
      </c>
      <c r="AO82" s="642">
        <f t="shared" si="195"/>
        <v>73</v>
      </c>
      <c r="AP82" s="132">
        <f t="shared" si="195"/>
        <v>25</v>
      </c>
      <c r="AQ82" s="104"/>
      <c r="AU82" s="76"/>
    </row>
    <row r="83" spans="1:47" x14ac:dyDescent="0.3">
      <c r="A83" s="973"/>
      <c r="B83" s="133" t="s">
        <v>268</v>
      </c>
      <c r="C83" s="134"/>
      <c r="D83" s="134"/>
      <c r="E83" s="134"/>
      <c r="F83" s="134"/>
      <c r="G83" s="135">
        <f>MEDIAN(G77:G81)</f>
        <v>768</v>
      </c>
      <c r="H83" s="136">
        <f t="shared" ref="H83:T83" si="196">MEDIAN(H77:H81)</f>
        <v>737.5</v>
      </c>
      <c r="I83" s="136">
        <f t="shared" si="196"/>
        <v>707</v>
      </c>
      <c r="J83" s="136">
        <f t="shared" si="196"/>
        <v>650</v>
      </c>
      <c r="K83" s="136">
        <f t="shared" si="196"/>
        <v>525</v>
      </c>
      <c r="L83" s="136">
        <f t="shared" si="196"/>
        <v>450</v>
      </c>
      <c r="M83" s="136">
        <f t="shared" si="196"/>
        <v>400</v>
      </c>
      <c r="N83" s="135">
        <f t="shared" si="196"/>
        <v>20.542759496154876</v>
      </c>
      <c r="O83" s="136">
        <f t="shared" si="196"/>
        <v>19.726933760956019</v>
      </c>
      <c r="P83" s="136">
        <f t="shared" si="196"/>
        <v>18.911108025757159</v>
      </c>
      <c r="Q83" s="136">
        <f t="shared" si="196"/>
        <v>17.480069441064078</v>
      </c>
      <c r="R83" s="136">
        <f t="shared" si="196"/>
        <v>16.764550148717539</v>
      </c>
      <c r="S83" s="136">
        <f t="shared" si="196"/>
        <v>13.374192380309164</v>
      </c>
      <c r="T83" s="459">
        <f t="shared" si="196"/>
        <v>10</v>
      </c>
      <c r="U83" s="139"/>
      <c r="V83" s="1021"/>
      <c r="W83" s="1021"/>
      <c r="X83" s="1021"/>
      <c r="Y83" s="1021"/>
      <c r="Z83" s="1021"/>
      <c r="AA83" s="140"/>
      <c r="AB83" s="134"/>
      <c r="AC83" s="134"/>
      <c r="AD83" s="134"/>
      <c r="AE83" s="134"/>
      <c r="AF83" s="134"/>
      <c r="AG83" s="134"/>
      <c r="AH83" s="134"/>
      <c r="AI83" s="643">
        <f t="shared" ref="AI83:AP83" si="197">MEDIAN(AI77:AI81)</f>
        <v>67</v>
      </c>
      <c r="AJ83" s="644">
        <f t="shared" si="197"/>
        <v>69</v>
      </c>
      <c r="AK83" s="644">
        <f t="shared" si="197"/>
        <v>71</v>
      </c>
      <c r="AL83" s="644">
        <f t="shared" si="197"/>
        <v>75.5</v>
      </c>
      <c r="AM83" s="644">
        <f t="shared" si="197"/>
        <v>77.75</v>
      </c>
      <c r="AN83" s="644">
        <f t="shared" si="197"/>
        <v>80</v>
      </c>
      <c r="AO83" s="645">
        <f t="shared" si="197"/>
        <v>80</v>
      </c>
      <c r="AP83" s="140">
        <f t="shared" si="197"/>
        <v>25</v>
      </c>
      <c r="AQ83" s="104"/>
    </row>
    <row r="84" spans="1:47" x14ac:dyDescent="0.3">
      <c r="A84" s="973"/>
      <c r="B84" s="141" t="s">
        <v>269</v>
      </c>
      <c r="C84" s="142"/>
      <c r="D84" s="142"/>
      <c r="E84" s="142"/>
      <c r="F84" s="142"/>
      <c r="G84" s="591">
        <f>MAX(G77:G81)</f>
        <v>1610</v>
      </c>
      <c r="H84" s="143">
        <f t="shared" ref="H84:T84" si="198">MAX(H77:H81)</f>
        <v>1413</v>
      </c>
      <c r="I84" s="143">
        <f t="shared" si="198"/>
        <v>1216</v>
      </c>
      <c r="J84" s="143">
        <f t="shared" si="198"/>
        <v>952</v>
      </c>
      <c r="K84" s="143">
        <f t="shared" si="198"/>
        <v>872.5</v>
      </c>
      <c r="L84" s="143">
        <f t="shared" si="198"/>
        <v>793</v>
      </c>
      <c r="M84" s="143">
        <f t="shared" si="198"/>
        <v>634</v>
      </c>
      <c r="N84" s="591">
        <f t="shared" si="198"/>
        <v>86.129798929191026</v>
      </c>
      <c r="O84" s="143">
        <f t="shared" si="198"/>
        <v>75.590935333507403</v>
      </c>
      <c r="P84" s="143">
        <f t="shared" si="198"/>
        <v>65.05207173782378</v>
      </c>
      <c r="Q84" s="143">
        <f t="shared" si="198"/>
        <v>50.928924584217299</v>
      </c>
      <c r="R84" s="143">
        <f t="shared" si="198"/>
        <v>46.675931407278981</v>
      </c>
      <c r="S84" s="143">
        <f t="shared" si="198"/>
        <v>42.422938230340669</v>
      </c>
      <c r="T84" s="592">
        <f t="shared" si="198"/>
        <v>33.916951876464047</v>
      </c>
      <c r="U84" s="145"/>
      <c r="V84" s="142"/>
      <c r="W84" s="142"/>
      <c r="X84" s="142"/>
      <c r="Y84" s="142"/>
      <c r="Z84" s="142"/>
      <c r="AA84" s="146"/>
      <c r="AB84" s="142"/>
      <c r="AC84" s="142"/>
      <c r="AD84" s="142"/>
      <c r="AE84" s="142"/>
      <c r="AF84" s="142"/>
      <c r="AG84" s="142"/>
      <c r="AH84" s="142"/>
      <c r="AI84" s="646">
        <f t="shared" ref="AI84:AP84" si="199">MAX(AI77:AI81)</f>
        <v>71</v>
      </c>
      <c r="AJ84" s="647">
        <f t="shared" si="199"/>
        <v>71.501591720298222</v>
      </c>
      <c r="AK84" s="647">
        <f t="shared" si="199"/>
        <v>74.563758389261736</v>
      </c>
      <c r="AL84" s="647">
        <f t="shared" si="199"/>
        <v>77.632968783008593</v>
      </c>
      <c r="AM84" s="647">
        <f t="shared" si="199"/>
        <v>79.167573979882022</v>
      </c>
      <c r="AN84" s="647">
        <f t="shared" si="199"/>
        <v>80.70217917675545</v>
      </c>
      <c r="AO84" s="648">
        <f t="shared" si="199"/>
        <v>81</v>
      </c>
      <c r="AP84" s="146">
        <f t="shared" si="199"/>
        <v>25</v>
      </c>
      <c r="AQ84" s="104"/>
    </row>
    <row r="85" spans="1:47" x14ac:dyDescent="0.3">
      <c r="A85" s="973"/>
      <c r="B85" s="967" t="s">
        <v>41</v>
      </c>
      <c r="C85" s="279">
        <v>7</v>
      </c>
      <c r="D85" s="279" t="s">
        <v>42</v>
      </c>
      <c r="E85" s="279">
        <v>2020</v>
      </c>
      <c r="F85" s="507" t="s">
        <v>19</v>
      </c>
      <c r="G85" s="508">
        <v>878</v>
      </c>
      <c r="H85" s="93">
        <f>G85+((I85-G85)/(2030-2020))*(2025-2020)</f>
        <v>797.5</v>
      </c>
      <c r="I85" s="281">
        <v>717</v>
      </c>
      <c r="J85" s="281">
        <v>594</v>
      </c>
      <c r="K85" s="93">
        <f>J85+((L85-J85)/(2050-2040))*(2045-2040)</f>
        <v>553</v>
      </c>
      <c r="L85" s="281">
        <v>512</v>
      </c>
      <c r="M85" s="95">
        <f t="shared" ref="M85:M89" si="200">K85+((L85-K85)/(2050-2045))*(2060-2045)</f>
        <v>430</v>
      </c>
      <c r="N85" s="510">
        <f>G85*0.04*$AU$7</f>
        <v>46.970163639645783</v>
      </c>
      <c r="O85" s="107">
        <f>N85+((P85-N85)/(2030-2020))*(2025-2020)</f>
        <v>42.663673693186233</v>
      </c>
      <c r="P85" s="282">
        <f>I85*0.04*$AU$7</f>
        <v>38.357183746726683</v>
      </c>
      <c r="Q85" s="282">
        <f>J85*0.04*$AU$7</f>
        <v>31.777081095614577</v>
      </c>
      <c r="R85" s="93">
        <f>Q85+((S85-Q85)/(2050-2040))*(2045-2040)</f>
        <v>29.583713545243874</v>
      </c>
      <c r="S85" s="282">
        <f>L85*0.04*$AU$7</f>
        <v>27.390345994873169</v>
      </c>
      <c r="T85" s="95">
        <f t="shared" ref="T85:T86" si="201">R85+((S85-R85)/(2050-2045))*(2060-2045)</f>
        <v>23.003610894131757</v>
      </c>
      <c r="U85" s="278"/>
      <c r="V85" s="279"/>
      <c r="W85" s="279"/>
      <c r="X85" s="279"/>
      <c r="Y85" s="279"/>
      <c r="Z85" s="279"/>
      <c r="AA85" s="7"/>
      <c r="AB85" s="279"/>
      <c r="AC85" s="279"/>
      <c r="AD85" s="279"/>
      <c r="AE85" s="279"/>
      <c r="AF85" s="279"/>
      <c r="AG85" s="279"/>
      <c r="AH85" s="279"/>
      <c r="AI85" s="649">
        <v>68</v>
      </c>
      <c r="AJ85" s="101">
        <f>AI85+((AK85-AI85)/(2030-2020))*(2025-2020)</f>
        <v>68</v>
      </c>
      <c r="AK85" s="625">
        <v>68</v>
      </c>
      <c r="AL85" s="625">
        <v>69</v>
      </c>
      <c r="AM85" s="101">
        <f t="shared" ref="AM85:AM89" si="202">AL85+((AN85-AL85)/(2050-2040))*(2045-2040)</f>
        <v>69.5</v>
      </c>
      <c r="AN85" s="625">
        <v>70</v>
      </c>
      <c r="AO85" s="103">
        <v>70</v>
      </c>
      <c r="AP85" s="7">
        <v>25</v>
      </c>
      <c r="AQ85" s="104"/>
    </row>
    <row r="86" spans="1:47" x14ac:dyDescent="0.3">
      <c r="A86" s="973"/>
      <c r="B86" s="955"/>
      <c r="C86" s="290">
        <v>4</v>
      </c>
      <c r="D86" s="290" t="s">
        <v>31</v>
      </c>
      <c r="E86" s="290">
        <v>2022</v>
      </c>
      <c r="F86" s="507" t="s">
        <v>19</v>
      </c>
      <c r="G86" s="510">
        <v>650</v>
      </c>
      <c r="H86" s="282">
        <f>550</f>
        <v>550</v>
      </c>
      <c r="I86" s="282">
        <f>450</f>
        <v>450</v>
      </c>
      <c r="J86" s="282">
        <f>300</f>
        <v>300</v>
      </c>
      <c r="K86" s="282">
        <v>275</v>
      </c>
      <c r="L86" s="282">
        <f>250</f>
        <v>250</v>
      </c>
      <c r="M86" s="107">
        <f t="shared" si="200"/>
        <v>200</v>
      </c>
      <c r="N86" s="510">
        <f>G86*0.02*$AU$7</f>
        <v>17.386450094401916</v>
      </c>
      <c r="O86" s="282">
        <f>H86*0.02*$AU$7</f>
        <v>14.711611618340081</v>
      </c>
      <c r="P86" s="282">
        <f>I86*0.02*$AU$7</f>
        <v>12.036773142278248</v>
      </c>
      <c r="Q86" s="282">
        <f>J86*0.02*$AU$7</f>
        <v>8.0245154281854987</v>
      </c>
      <c r="R86" s="282">
        <f>K86*0.02*$AU$7</f>
        <v>7.3558058091700405</v>
      </c>
      <c r="S86" s="282">
        <f>L86*0.02*$AU$7</f>
        <v>6.6870961901545822</v>
      </c>
      <c r="T86" s="109">
        <f t="shared" si="201"/>
        <v>5.3496769521236658</v>
      </c>
      <c r="U86" s="289"/>
      <c r="V86" s="1022"/>
      <c r="W86" s="1022"/>
      <c r="X86" s="1022"/>
      <c r="Y86" s="1022"/>
      <c r="Z86" s="1022"/>
      <c r="AA86" s="11"/>
      <c r="AB86" s="290"/>
      <c r="AC86" s="290"/>
      <c r="AD86" s="290"/>
      <c r="AE86" s="290"/>
      <c r="AF86" s="290"/>
      <c r="AG86" s="290"/>
      <c r="AH86" s="290"/>
      <c r="AI86" s="650">
        <v>66</v>
      </c>
      <c r="AJ86" s="288">
        <v>67</v>
      </c>
      <c r="AK86" s="288">
        <v>68</v>
      </c>
      <c r="AL86" s="288">
        <v>72</v>
      </c>
      <c r="AM86" s="288">
        <f t="shared" si="202"/>
        <v>73.5</v>
      </c>
      <c r="AN86" s="288">
        <v>75</v>
      </c>
      <c r="AO86" s="118">
        <v>75</v>
      </c>
      <c r="AP86" s="511">
        <v>25</v>
      </c>
      <c r="AQ86" s="104" t="s">
        <v>355</v>
      </c>
    </row>
    <row r="87" spans="1:47" x14ac:dyDescent="0.3">
      <c r="A87" s="973"/>
      <c r="B87" s="955"/>
      <c r="C87" s="626">
        <v>10</v>
      </c>
      <c r="D87" s="626" t="s">
        <v>55</v>
      </c>
      <c r="E87" s="626">
        <v>2018</v>
      </c>
      <c r="F87" s="507" t="s">
        <v>19</v>
      </c>
      <c r="G87" s="510">
        <f>656</f>
        <v>656</v>
      </c>
      <c r="H87" s="107">
        <f t="shared" ref="H87:H89" si="203">G87+((I87-G87)/(2030-2020))*(2025-2020)</f>
        <v>549</v>
      </c>
      <c r="I87" s="282">
        <f>442</f>
        <v>442</v>
      </c>
      <c r="J87" s="107">
        <f t="shared" ref="J87:J89" si="204">I87+((L87-I87)/(2050-2030))*(2040-2030)</f>
        <v>321</v>
      </c>
      <c r="K87" s="107">
        <f t="shared" ref="K87:K89" si="205">J87+((L87-J87)/(2050-2040))*(2045-2040)</f>
        <v>260.5</v>
      </c>
      <c r="L87" s="282">
        <f>200</f>
        <v>200</v>
      </c>
      <c r="M87" s="107">
        <v>200</v>
      </c>
      <c r="N87" s="106">
        <f>G87*0.02*$AU$7</f>
        <v>17.546940402965625</v>
      </c>
      <c r="O87" s="107">
        <f t="shared" ref="O87:O89" si="206">H87*0.02*$AU$7</f>
        <v>14.684863233579463</v>
      </c>
      <c r="P87" s="107">
        <f t="shared" ref="P87:P89" si="207">I87*0.02*$AU$7</f>
        <v>11.822786064193302</v>
      </c>
      <c r="Q87" s="107">
        <f t="shared" ref="Q87:Q89" si="208">J87*0.02*$AU$7</f>
        <v>8.5862315081584839</v>
      </c>
      <c r="R87" s="107">
        <f t="shared" ref="R87:R89" si="209">K87*0.02*$AU$7</f>
        <v>6.9679542301410748</v>
      </c>
      <c r="S87" s="107">
        <f t="shared" ref="S87:S89" si="210">L87*0.02*$AU$7</f>
        <v>5.3496769521236658</v>
      </c>
      <c r="T87" s="107">
        <f t="shared" ref="T87:T89" si="211">M87*0.02*$AU$7</f>
        <v>5.3496769521236658</v>
      </c>
      <c r="U87" s="289"/>
      <c r="V87" s="1022"/>
      <c r="W87" s="1022"/>
      <c r="X87" s="1022"/>
      <c r="Y87" s="1022"/>
      <c r="Z87" s="1022"/>
      <c r="AA87" s="11"/>
      <c r="AB87" s="290"/>
      <c r="AC87" s="290"/>
      <c r="AD87" s="290"/>
      <c r="AE87" s="290"/>
      <c r="AF87" s="290"/>
      <c r="AG87" s="290"/>
      <c r="AH87" s="290"/>
      <c r="AI87" s="650">
        <f>67</f>
        <v>67</v>
      </c>
      <c r="AJ87" s="378">
        <f t="shared" ref="AJ87:AJ89" si="212">AI87+((AK87-AI87)/(2030-2020))*(2025-2020)</f>
        <v>69</v>
      </c>
      <c r="AK87" s="288">
        <v>71</v>
      </c>
      <c r="AL87" s="378">
        <f t="shared" ref="AL87:AL89" si="213">AK87+((AN87-AK87)/(2050-2030))*(2040-2030)</f>
        <v>75.5</v>
      </c>
      <c r="AM87" s="378">
        <f t="shared" si="202"/>
        <v>77.75</v>
      </c>
      <c r="AN87" s="288">
        <v>80</v>
      </c>
      <c r="AO87" s="118">
        <v>80</v>
      </c>
      <c r="AP87" s="11"/>
      <c r="AQ87" s="104" t="s">
        <v>352</v>
      </c>
    </row>
    <row r="88" spans="1:47" x14ac:dyDescent="0.3">
      <c r="A88" s="973"/>
      <c r="B88" s="955"/>
      <c r="C88" s="626">
        <v>10</v>
      </c>
      <c r="D88" s="626" t="s">
        <v>55</v>
      </c>
      <c r="E88" s="626">
        <v>2018</v>
      </c>
      <c r="F88" s="507" t="s">
        <v>19</v>
      </c>
      <c r="G88" s="510">
        <f>737</f>
        <v>737</v>
      </c>
      <c r="H88" s="107">
        <f t="shared" si="203"/>
        <v>681</v>
      </c>
      <c r="I88" s="282">
        <f>625</f>
        <v>625</v>
      </c>
      <c r="J88" s="107">
        <f t="shared" si="204"/>
        <v>537.5</v>
      </c>
      <c r="K88" s="107">
        <f t="shared" si="205"/>
        <v>493.75</v>
      </c>
      <c r="L88" s="282">
        <f>450</f>
        <v>450</v>
      </c>
      <c r="M88" s="107">
        <f t="shared" si="200"/>
        <v>362.5</v>
      </c>
      <c r="N88" s="106">
        <f>G88*0.02*$AU$7</f>
        <v>19.713559568575707</v>
      </c>
      <c r="O88" s="107">
        <f t="shared" si="206"/>
        <v>18.215650021981084</v>
      </c>
      <c r="P88" s="107">
        <f t="shared" si="207"/>
        <v>16.717740475386456</v>
      </c>
      <c r="Q88" s="107">
        <f t="shared" si="208"/>
        <v>14.377256808832351</v>
      </c>
      <c r="R88" s="107">
        <f t="shared" si="209"/>
        <v>13.2070149755553</v>
      </c>
      <c r="S88" s="107">
        <f t="shared" si="210"/>
        <v>12.036773142278248</v>
      </c>
      <c r="T88" s="107">
        <f t="shared" si="211"/>
        <v>9.6962894757241447</v>
      </c>
      <c r="U88" s="289"/>
      <c r="V88" s="1022"/>
      <c r="W88" s="1022"/>
      <c r="X88" s="1022"/>
      <c r="Y88" s="1022"/>
      <c r="Z88" s="1022"/>
      <c r="AA88" s="11"/>
      <c r="AB88" s="290"/>
      <c r="AC88" s="290"/>
      <c r="AD88" s="290"/>
      <c r="AE88" s="290"/>
      <c r="AF88" s="290"/>
      <c r="AG88" s="290"/>
      <c r="AH88" s="290"/>
      <c r="AI88" s="650">
        <v>67</v>
      </c>
      <c r="AJ88" s="378">
        <f t="shared" si="212"/>
        <v>69</v>
      </c>
      <c r="AK88" s="288">
        <v>71</v>
      </c>
      <c r="AL88" s="378">
        <f t="shared" si="213"/>
        <v>75.5</v>
      </c>
      <c r="AM88" s="378">
        <f t="shared" si="202"/>
        <v>77.75</v>
      </c>
      <c r="AN88" s="288">
        <v>80</v>
      </c>
      <c r="AO88" s="118">
        <v>80</v>
      </c>
      <c r="AP88" s="11"/>
      <c r="AQ88" s="104" t="s">
        <v>353</v>
      </c>
    </row>
    <row r="89" spans="1:47" x14ac:dyDescent="0.3">
      <c r="A89" s="973"/>
      <c r="B89" s="968"/>
      <c r="C89" s="651">
        <v>10</v>
      </c>
      <c r="D89" s="651" t="s">
        <v>55</v>
      </c>
      <c r="E89" s="651">
        <v>2018</v>
      </c>
      <c r="F89" s="507" t="s">
        <v>19</v>
      </c>
      <c r="G89" s="512">
        <f>768</f>
        <v>768</v>
      </c>
      <c r="H89" s="122">
        <f t="shared" si="203"/>
        <v>737.5</v>
      </c>
      <c r="I89" s="302">
        <f>707</f>
        <v>707</v>
      </c>
      <c r="J89" s="122">
        <f t="shared" si="204"/>
        <v>653.5</v>
      </c>
      <c r="K89" s="122">
        <f t="shared" si="205"/>
        <v>626.75</v>
      </c>
      <c r="L89" s="302">
        <f>600</f>
        <v>600</v>
      </c>
      <c r="M89" s="122">
        <f t="shared" si="200"/>
        <v>546.5</v>
      </c>
      <c r="N89" s="106">
        <f>G89*0.02*$AU$7</f>
        <v>20.542759496154876</v>
      </c>
      <c r="O89" s="107">
        <f t="shared" si="206"/>
        <v>19.726933760956019</v>
      </c>
      <c r="P89" s="107">
        <f t="shared" si="207"/>
        <v>18.911108025757159</v>
      </c>
      <c r="Q89" s="107">
        <f t="shared" si="208"/>
        <v>17.480069441064078</v>
      </c>
      <c r="R89" s="107">
        <f t="shared" si="209"/>
        <v>16.764550148717539</v>
      </c>
      <c r="S89" s="107">
        <f t="shared" si="210"/>
        <v>16.049030856370997</v>
      </c>
      <c r="T89" s="107">
        <f t="shared" si="211"/>
        <v>14.617992271677917</v>
      </c>
      <c r="U89" s="299"/>
      <c r="V89" s="300"/>
      <c r="W89" s="300"/>
      <c r="X89" s="300"/>
      <c r="Y89" s="300"/>
      <c r="Z89" s="300"/>
      <c r="AA89" s="18"/>
      <c r="AB89" s="300"/>
      <c r="AC89" s="300"/>
      <c r="AD89" s="300"/>
      <c r="AE89" s="300"/>
      <c r="AF89" s="300"/>
      <c r="AG89" s="300"/>
      <c r="AH89" s="300"/>
      <c r="AI89" s="652">
        <v>67</v>
      </c>
      <c r="AJ89" s="386">
        <f t="shared" si="212"/>
        <v>69</v>
      </c>
      <c r="AK89" s="308">
        <v>71</v>
      </c>
      <c r="AL89" s="386">
        <f t="shared" si="213"/>
        <v>75.5</v>
      </c>
      <c r="AM89" s="386">
        <f t="shared" si="202"/>
        <v>77.75</v>
      </c>
      <c r="AN89" s="308">
        <v>80</v>
      </c>
      <c r="AO89" s="584">
        <v>80</v>
      </c>
      <c r="AP89" s="18"/>
      <c r="AQ89" s="104" t="s">
        <v>354</v>
      </c>
    </row>
    <row r="90" spans="1:47" x14ac:dyDescent="0.3">
      <c r="A90" s="973"/>
      <c r="B90" s="310" t="s">
        <v>267</v>
      </c>
      <c r="C90" s="318"/>
      <c r="D90" s="318"/>
      <c r="E90" s="318"/>
      <c r="F90" s="318"/>
      <c r="G90" s="312">
        <f t="shared" ref="G90:T90" si="214">MIN(G85:G89)</f>
        <v>650</v>
      </c>
      <c r="H90" s="313">
        <f t="shared" si="214"/>
        <v>549</v>
      </c>
      <c r="I90" s="313">
        <f t="shared" si="214"/>
        <v>442</v>
      </c>
      <c r="J90" s="313">
        <f t="shared" si="214"/>
        <v>300</v>
      </c>
      <c r="K90" s="313">
        <f t="shared" si="214"/>
        <v>260.5</v>
      </c>
      <c r="L90" s="313">
        <f t="shared" si="214"/>
        <v>200</v>
      </c>
      <c r="M90" s="313">
        <f t="shared" si="214"/>
        <v>200</v>
      </c>
      <c r="N90" s="312">
        <f t="shared" si="214"/>
        <v>17.386450094401916</v>
      </c>
      <c r="O90" s="313">
        <f t="shared" si="214"/>
        <v>14.684863233579463</v>
      </c>
      <c r="P90" s="313">
        <f t="shared" si="214"/>
        <v>11.822786064193302</v>
      </c>
      <c r="Q90" s="313">
        <f t="shared" si="214"/>
        <v>8.0245154281854987</v>
      </c>
      <c r="R90" s="313">
        <f t="shared" si="214"/>
        <v>6.9679542301410748</v>
      </c>
      <c r="S90" s="313">
        <f t="shared" si="214"/>
        <v>5.3496769521236658</v>
      </c>
      <c r="T90" s="313">
        <f t="shared" si="214"/>
        <v>5.3496769521236658</v>
      </c>
      <c r="U90" s="317"/>
      <c r="V90" s="318"/>
      <c r="W90" s="318"/>
      <c r="X90" s="318"/>
      <c r="Y90" s="318"/>
      <c r="Z90" s="318"/>
      <c r="AA90" s="321"/>
      <c r="AB90" s="318"/>
      <c r="AC90" s="318"/>
      <c r="AD90" s="318"/>
      <c r="AE90" s="318"/>
      <c r="AF90" s="318"/>
      <c r="AG90" s="318"/>
      <c r="AH90" s="318"/>
      <c r="AI90" s="653">
        <f t="shared" ref="AI90:AP90" si="215">MIN(AI85:AI89)</f>
        <v>66</v>
      </c>
      <c r="AJ90" s="319">
        <f t="shared" si="215"/>
        <v>67</v>
      </c>
      <c r="AK90" s="319">
        <f t="shared" si="215"/>
        <v>68</v>
      </c>
      <c r="AL90" s="319">
        <f t="shared" si="215"/>
        <v>69</v>
      </c>
      <c r="AM90" s="319">
        <f t="shared" si="215"/>
        <v>69.5</v>
      </c>
      <c r="AN90" s="319">
        <f t="shared" si="215"/>
        <v>70</v>
      </c>
      <c r="AO90" s="320">
        <f t="shared" si="215"/>
        <v>70</v>
      </c>
      <c r="AP90" s="321">
        <f t="shared" si="215"/>
        <v>25</v>
      </c>
      <c r="AQ90" s="104"/>
    </row>
    <row r="91" spans="1:47" x14ac:dyDescent="0.3">
      <c r="A91" s="973"/>
      <c r="B91" s="322" t="s">
        <v>268</v>
      </c>
      <c r="C91" s="311"/>
      <c r="D91" s="311"/>
      <c r="E91" s="311"/>
      <c r="F91" s="311"/>
      <c r="G91" s="323">
        <f>MEDIAN(G85:G89)</f>
        <v>737</v>
      </c>
      <c r="H91" s="324">
        <f t="shared" ref="H91:T91" si="216">MEDIAN(H85:H89)</f>
        <v>681</v>
      </c>
      <c r="I91" s="324">
        <f t="shared" si="216"/>
        <v>625</v>
      </c>
      <c r="J91" s="324">
        <f t="shared" si="216"/>
        <v>537.5</v>
      </c>
      <c r="K91" s="324">
        <f t="shared" si="216"/>
        <v>493.75</v>
      </c>
      <c r="L91" s="324">
        <f t="shared" si="216"/>
        <v>450</v>
      </c>
      <c r="M91" s="324">
        <f t="shared" si="216"/>
        <v>362.5</v>
      </c>
      <c r="N91" s="323">
        <f t="shared" si="216"/>
        <v>19.713559568575707</v>
      </c>
      <c r="O91" s="324">
        <f t="shared" si="216"/>
        <v>18.215650021981084</v>
      </c>
      <c r="P91" s="324">
        <f t="shared" si="216"/>
        <v>16.717740475386456</v>
      </c>
      <c r="Q91" s="324">
        <f t="shared" si="216"/>
        <v>14.377256808832351</v>
      </c>
      <c r="R91" s="324">
        <f t="shared" si="216"/>
        <v>13.2070149755553</v>
      </c>
      <c r="S91" s="324">
        <f t="shared" si="216"/>
        <v>12.036773142278248</v>
      </c>
      <c r="T91" s="324">
        <f t="shared" si="216"/>
        <v>9.6962894757241447</v>
      </c>
      <c r="U91" s="328"/>
      <c r="V91" s="1023"/>
      <c r="W91" s="1023"/>
      <c r="X91" s="1023"/>
      <c r="Y91" s="1023"/>
      <c r="Z91" s="1023"/>
      <c r="AA91" s="331"/>
      <c r="AB91" s="311"/>
      <c r="AC91" s="311"/>
      <c r="AD91" s="311"/>
      <c r="AE91" s="311"/>
      <c r="AF91" s="311"/>
      <c r="AG91" s="311"/>
      <c r="AH91" s="311"/>
      <c r="AI91" s="654">
        <f t="shared" ref="AI91:AP91" si="217">MEDIAN(AI85:AI89)</f>
        <v>67</v>
      </c>
      <c r="AJ91" s="329">
        <f t="shared" si="217"/>
        <v>69</v>
      </c>
      <c r="AK91" s="329">
        <f t="shared" si="217"/>
        <v>71</v>
      </c>
      <c r="AL91" s="329">
        <f t="shared" si="217"/>
        <v>75.5</v>
      </c>
      <c r="AM91" s="329">
        <f t="shared" si="217"/>
        <v>77.75</v>
      </c>
      <c r="AN91" s="329">
        <f t="shared" si="217"/>
        <v>80</v>
      </c>
      <c r="AO91" s="330">
        <f t="shared" si="217"/>
        <v>80</v>
      </c>
      <c r="AP91" s="331">
        <f t="shared" si="217"/>
        <v>25</v>
      </c>
      <c r="AQ91" s="104"/>
    </row>
    <row r="92" spans="1:47" x14ac:dyDescent="0.3">
      <c r="A92" s="973"/>
      <c r="B92" s="332" t="s">
        <v>269</v>
      </c>
      <c r="C92" s="333"/>
      <c r="D92" s="333"/>
      <c r="E92" s="333"/>
      <c r="F92" s="333"/>
      <c r="G92" s="334">
        <f t="shared" ref="G92:T92" si="218">MAX(G85:G89)</f>
        <v>878</v>
      </c>
      <c r="H92" s="335">
        <f t="shared" si="218"/>
        <v>797.5</v>
      </c>
      <c r="I92" s="335">
        <f t="shared" si="218"/>
        <v>717</v>
      </c>
      <c r="J92" s="335">
        <f t="shared" si="218"/>
        <v>653.5</v>
      </c>
      <c r="K92" s="335">
        <f t="shared" si="218"/>
        <v>626.75</v>
      </c>
      <c r="L92" s="335">
        <f t="shared" si="218"/>
        <v>600</v>
      </c>
      <c r="M92" s="335">
        <f t="shared" si="218"/>
        <v>546.5</v>
      </c>
      <c r="N92" s="334">
        <f t="shared" si="218"/>
        <v>46.970163639645783</v>
      </c>
      <c r="O92" s="335">
        <f t="shared" si="218"/>
        <v>42.663673693186233</v>
      </c>
      <c r="P92" s="335">
        <f t="shared" si="218"/>
        <v>38.357183746726683</v>
      </c>
      <c r="Q92" s="335">
        <f t="shared" si="218"/>
        <v>31.777081095614577</v>
      </c>
      <c r="R92" s="335">
        <f t="shared" si="218"/>
        <v>29.583713545243874</v>
      </c>
      <c r="S92" s="335">
        <f t="shared" si="218"/>
        <v>27.390345994873169</v>
      </c>
      <c r="T92" s="335">
        <f t="shared" si="218"/>
        <v>23.003610894131757</v>
      </c>
      <c r="U92" s="339"/>
      <c r="V92" s="333"/>
      <c r="W92" s="333"/>
      <c r="X92" s="333"/>
      <c r="Y92" s="333"/>
      <c r="Z92" s="333"/>
      <c r="AA92" s="342"/>
      <c r="AB92" s="333"/>
      <c r="AC92" s="333"/>
      <c r="AD92" s="333"/>
      <c r="AE92" s="333"/>
      <c r="AF92" s="333"/>
      <c r="AG92" s="333"/>
      <c r="AH92" s="333"/>
      <c r="AI92" s="655">
        <f t="shared" ref="AI92:AP92" si="219">MAX(AI85:AI89)</f>
        <v>68</v>
      </c>
      <c r="AJ92" s="340">
        <f t="shared" si="219"/>
        <v>69</v>
      </c>
      <c r="AK92" s="340">
        <f t="shared" si="219"/>
        <v>71</v>
      </c>
      <c r="AL92" s="340">
        <f t="shared" si="219"/>
        <v>75.5</v>
      </c>
      <c r="AM92" s="340">
        <f t="shared" si="219"/>
        <v>77.75</v>
      </c>
      <c r="AN92" s="340">
        <f t="shared" si="219"/>
        <v>80</v>
      </c>
      <c r="AO92" s="341">
        <f t="shared" si="219"/>
        <v>80</v>
      </c>
      <c r="AP92" s="342">
        <f t="shared" si="219"/>
        <v>25</v>
      </c>
      <c r="AQ92" s="104"/>
    </row>
    <row r="93" spans="1:47" x14ac:dyDescent="0.3">
      <c r="A93" s="973"/>
      <c r="B93" s="969" t="s">
        <v>43</v>
      </c>
      <c r="C93" s="202">
        <v>7</v>
      </c>
      <c r="D93" s="202" t="s">
        <v>42</v>
      </c>
      <c r="E93" s="202">
        <v>2020</v>
      </c>
      <c r="F93" s="203" t="s">
        <v>19</v>
      </c>
      <c r="G93" s="480">
        <v>1999</v>
      </c>
      <c r="H93" s="93">
        <f t="shared" ref="H93:H98" si="220">G93+((I93-G93)/(2030-2020))*(2025-2020)</f>
        <v>1738</v>
      </c>
      <c r="I93" s="204">
        <v>1477</v>
      </c>
      <c r="J93" s="204">
        <v>1123</v>
      </c>
      <c r="K93" s="93">
        <f t="shared" ref="K93:K98" si="221">J93+((L93-J93)/(2050-2040))*(2045-2040)</f>
        <v>1014</v>
      </c>
      <c r="L93" s="204">
        <v>905</v>
      </c>
      <c r="M93" s="95">
        <f>K93+((L93-K93)/(2050-2045))*(2060-2045)</f>
        <v>687</v>
      </c>
      <c r="N93" s="480">
        <f>G93*0.04*$AU$7</f>
        <v>106.94004227295208</v>
      </c>
      <c r="O93" s="93">
        <f t="shared" ref="O93:O95" si="222">N93+((P93-N93)/(2030-2020))*(2025-2020)</f>
        <v>92.977385427909311</v>
      </c>
      <c r="P93" s="204">
        <f>I93*0.04*$AU$7</f>
        <v>79.014728582866539</v>
      </c>
      <c r="Q93" s="204">
        <f>J93*0.04*$AU$7</f>
        <v>60.076872172348772</v>
      </c>
      <c r="R93" s="93">
        <f t="shared" ref="R93:R95" si="223">Q93+((S93-Q93)/(2050-2040))*(2045-2040)</f>
        <v>54.245724294533971</v>
      </c>
      <c r="S93" s="204">
        <f>L93*0.04*$AU$7</f>
        <v>48.414576416719179</v>
      </c>
      <c r="T93" s="95">
        <f>R93+((S93-R93)/(2050-2045))*(2060-2045)</f>
        <v>36.752280661089593</v>
      </c>
      <c r="U93" s="205"/>
      <c r="V93" s="202"/>
      <c r="W93" s="202"/>
      <c r="X93" s="202"/>
      <c r="Y93" s="202"/>
      <c r="Z93" s="202"/>
      <c r="AA93" s="21"/>
      <c r="AB93" s="202"/>
      <c r="AC93" s="202"/>
      <c r="AD93" s="202"/>
      <c r="AE93" s="202"/>
      <c r="AF93" s="202"/>
      <c r="AG93" s="202"/>
      <c r="AH93" s="202"/>
      <c r="AI93" s="656">
        <v>73</v>
      </c>
      <c r="AJ93" s="101">
        <f t="shared" ref="AJ93:AJ94" si="224">AI93+((AK93-AI93)/(2030-2020))*(2025-2020)</f>
        <v>73</v>
      </c>
      <c r="AK93" s="207">
        <v>73</v>
      </c>
      <c r="AL93" s="207">
        <v>75</v>
      </c>
      <c r="AM93" s="101">
        <f t="shared" ref="AM93:AM98" si="225">AL93+((AN93-AL93)/(2050-2040))*(2045-2040)</f>
        <v>76</v>
      </c>
      <c r="AN93" s="207">
        <v>77</v>
      </c>
      <c r="AO93" s="103">
        <v>77</v>
      </c>
      <c r="AP93" s="657">
        <v>25</v>
      </c>
      <c r="AQ93" s="104"/>
    </row>
    <row r="94" spans="1:47" x14ac:dyDescent="0.3">
      <c r="A94" s="973"/>
      <c r="B94" s="937"/>
      <c r="C94" s="208">
        <v>1</v>
      </c>
      <c r="D94" s="208" t="s">
        <v>18</v>
      </c>
      <c r="E94" s="208">
        <v>2020</v>
      </c>
      <c r="F94" s="203" t="s">
        <v>19</v>
      </c>
      <c r="G94" s="212">
        <f>4000/1.1422</f>
        <v>3502.0136578532652</v>
      </c>
      <c r="H94" s="107">
        <f t="shared" si="220"/>
        <v>2538.9599019436173</v>
      </c>
      <c r="I94" s="209">
        <f>1800/1.1422</f>
        <v>1575.9061460339694</v>
      </c>
      <c r="J94" s="209">
        <f>1275/1.1422</f>
        <v>1116.2668534407283</v>
      </c>
      <c r="K94" s="107">
        <f t="shared" si="221"/>
        <v>886.44720714410778</v>
      </c>
      <c r="L94" s="209">
        <f>750/1.1422</f>
        <v>656.62756084748719</v>
      </c>
      <c r="M94" s="107">
        <v>656.62756084748719</v>
      </c>
      <c r="N94" s="212">
        <f t="shared" ref="N94:N98" si="226">G94*0.02*$AU$7</f>
        <v>93.673208757199518</v>
      </c>
      <c r="O94" s="107">
        <f t="shared" si="222"/>
        <v>67.913076348969653</v>
      </c>
      <c r="P94" s="209">
        <f t="shared" ref="P94:P98" si="227">I94*0.02*$AU$7</f>
        <v>42.152943940739789</v>
      </c>
      <c r="Q94" s="209">
        <f t="shared" ref="Q94:Q98" si="228">J94*0.02*$AU$7</f>
        <v>29.858335291357349</v>
      </c>
      <c r="R94" s="107">
        <f t="shared" si="223"/>
        <v>23.711030966666129</v>
      </c>
      <c r="S94" s="209">
        <f t="shared" ref="S94:S98" si="229">L94*0.02*$AU$7</f>
        <v>17.563726641974913</v>
      </c>
      <c r="T94" s="107">
        <v>13.13</v>
      </c>
      <c r="U94" s="210"/>
      <c r="V94" s="1024"/>
      <c r="W94" s="1024"/>
      <c r="X94" s="1024"/>
      <c r="Y94" s="1024"/>
      <c r="Z94" s="1024"/>
      <c r="AA94" s="24"/>
      <c r="AB94" s="208"/>
      <c r="AC94" s="208"/>
      <c r="AD94" s="208"/>
      <c r="AE94" s="208"/>
      <c r="AF94" s="208"/>
      <c r="AG94" s="208"/>
      <c r="AH94" s="208"/>
      <c r="AI94" s="658">
        <v>77.5</v>
      </c>
      <c r="AJ94" s="378">
        <f t="shared" si="224"/>
        <v>79</v>
      </c>
      <c r="AK94" s="213">
        <v>80.5</v>
      </c>
      <c r="AL94" s="213">
        <v>82</v>
      </c>
      <c r="AM94" s="378">
        <f t="shared" si="225"/>
        <v>82.75</v>
      </c>
      <c r="AN94" s="213">
        <v>83.5</v>
      </c>
      <c r="AO94" s="118">
        <v>84</v>
      </c>
      <c r="AP94" s="485">
        <v>25</v>
      </c>
      <c r="AQ94" s="104" t="s">
        <v>356</v>
      </c>
    </row>
    <row r="95" spans="1:47" x14ac:dyDescent="0.3">
      <c r="A95" s="973"/>
      <c r="B95" s="937"/>
      <c r="C95" s="208">
        <v>1</v>
      </c>
      <c r="D95" s="208" t="s">
        <v>18</v>
      </c>
      <c r="E95" s="208">
        <v>2020</v>
      </c>
      <c r="F95" s="203" t="s">
        <v>19</v>
      </c>
      <c r="G95" s="212">
        <f>2400/1.1422</f>
        <v>2101.2081947119591</v>
      </c>
      <c r="H95" s="107">
        <f t="shared" si="220"/>
        <v>1400.8054631413061</v>
      </c>
      <c r="I95" s="209">
        <f>800/1.1422</f>
        <v>700.40273157065303</v>
      </c>
      <c r="J95" s="209">
        <f>650/1.1422</f>
        <v>569.07721940115562</v>
      </c>
      <c r="K95" s="107">
        <f t="shared" si="221"/>
        <v>503.41446331640691</v>
      </c>
      <c r="L95" s="209">
        <f>500/1.1422</f>
        <v>437.75170723165814</v>
      </c>
      <c r="M95" s="107">
        <v>437.75170723165814</v>
      </c>
      <c r="N95" s="212">
        <f t="shared" si="226"/>
        <v>56.203925254319714</v>
      </c>
      <c r="O95" s="107">
        <f t="shared" si="222"/>
        <v>37.469283502879811</v>
      </c>
      <c r="P95" s="209">
        <f t="shared" si="227"/>
        <v>18.734641751439906</v>
      </c>
      <c r="Q95" s="209">
        <f t="shared" si="228"/>
        <v>15.221896423044925</v>
      </c>
      <c r="R95" s="107">
        <f t="shared" si="223"/>
        <v>13.465523758847432</v>
      </c>
      <c r="S95" s="209">
        <f t="shared" si="229"/>
        <v>11.70915109464994</v>
      </c>
      <c r="T95" s="107">
        <v>8.76</v>
      </c>
      <c r="U95" s="210"/>
      <c r="V95" s="1024"/>
      <c r="W95" s="1024"/>
      <c r="X95" s="1024"/>
      <c r="Y95" s="1024"/>
      <c r="Z95" s="1024"/>
      <c r="AA95" s="24"/>
      <c r="AB95" s="208"/>
      <c r="AC95" s="208"/>
      <c r="AD95" s="208"/>
      <c r="AE95" s="208"/>
      <c r="AF95" s="208"/>
      <c r="AG95" s="208"/>
      <c r="AH95" s="208"/>
      <c r="AI95" s="658" t="s">
        <v>357</v>
      </c>
      <c r="AJ95" s="378">
        <f>77.5</f>
        <v>77.5</v>
      </c>
      <c r="AK95" s="213">
        <v>80.5</v>
      </c>
      <c r="AL95" s="213">
        <v>82</v>
      </c>
      <c r="AM95" s="378">
        <f t="shared" si="225"/>
        <v>82.75</v>
      </c>
      <c r="AN95" s="213">
        <v>83.5</v>
      </c>
      <c r="AO95" s="118">
        <v>84</v>
      </c>
      <c r="AP95" s="485">
        <v>25</v>
      </c>
      <c r="AQ95" s="104" t="s">
        <v>358</v>
      </c>
    </row>
    <row r="96" spans="1:47" x14ac:dyDescent="0.3">
      <c r="A96" s="973"/>
      <c r="B96" s="937"/>
      <c r="C96" s="208">
        <v>10</v>
      </c>
      <c r="D96" s="208" t="s">
        <v>55</v>
      </c>
      <c r="E96" s="208">
        <v>2018</v>
      </c>
      <c r="F96" s="203" t="s">
        <v>19</v>
      </c>
      <c r="G96" s="212">
        <f>877</f>
        <v>877</v>
      </c>
      <c r="H96" s="107">
        <f t="shared" si="220"/>
        <v>776</v>
      </c>
      <c r="I96" s="209">
        <f>675</f>
        <v>675</v>
      </c>
      <c r="J96" s="107">
        <f t="shared" ref="J96:J98" si="230">I96+((L96-I96)/(2050-2030))*(2040-2030)</f>
        <v>537.5</v>
      </c>
      <c r="K96" s="107">
        <f t="shared" si="221"/>
        <v>468.75</v>
      </c>
      <c r="L96" s="209">
        <f>400</f>
        <v>400</v>
      </c>
      <c r="M96" s="107">
        <v>400</v>
      </c>
      <c r="N96" s="106">
        <f t="shared" si="226"/>
        <v>23.458333435062272</v>
      </c>
      <c r="O96" s="107">
        <f t="shared" ref="O96:O98" si="231">H96*0.02*$AU$7</f>
        <v>20.756746574239823</v>
      </c>
      <c r="P96" s="107">
        <f t="shared" si="227"/>
        <v>18.055159713417371</v>
      </c>
      <c r="Q96" s="107">
        <f t="shared" si="228"/>
        <v>14.377256808832351</v>
      </c>
      <c r="R96" s="107">
        <f t="shared" ref="R96:R98" si="232">K96*0.02*$AU$7</f>
        <v>12.538305356539842</v>
      </c>
      <c r="S96" s="107">
        <f t="shared" si="229"/>
        <v>10.699353904247332</v>
      </c>
      <c r="T96" s="107">
        <f t="shared" ref="T96:T98" si="233">M96*0.02*$AU$7</f>
        <v>10.699353904247332</v>
      </c>
      <c r="U96" s="210"/>
      <c r="V96" s="1024"/>
      <c r="W96" s="1024"/>
      <c r="X96" s="1024"/>
      <c r="Y96" s="1024"/>
      <c r="Z96" s="1024"/>
      <c r="AA96" s="24"/>
      <c r="AB96" s="208"/>
      <c r="AC96" s="208"/>
      <c r="AD96" s="208"/>
      <c r="AE96" s="208"/>
      <c r="AF96" s="208"/>
      <c r="AG96" s="208"/>
      <c r="AH96" s="208"/>
      <c r="AI96" s="658">
        <v>81</v>
      </c>
      <c r="AJ96" s="378">
        <f t="shared" ref="AJ96:AJ98" si="234">AI96+((AK96-AI96)/(2030-2020))*(2025-2020)</f>
        <v>82.5</v>
      </c>
      <c r="AK96" s="213">
        <v>84</v>
      </c>
      <c r="AL96" s="378">
        <f t="shared" ref="AL96:AL98" si="235">AK96+((AN96-AK96)/(2050-2030))*(2040-2030)</f>
        <v>87</v>
      </c>
      <c r="AM96" s="378">
        <f t="shared" si="225"/>
        <v>88.5</v>
      </c>
      <c r="AN96" s="213">
        <v>90</v>
      </c>
      <c r="AO96" s="118">
        <v>90</v>
      </c>
      <c r="AP96" s="485"/>
      <c r="AQ96" s="104" t="s">
        <v>359</v>
      </c>
    </row>
    <row r="97" spans="1:43" x14ac:dyDescent="0.3">
      <c r="A97" s="973"/>
      <c r="B97" s="937"/>
      <c r="C97" s="208">
        <v>10</v>
      </c>
      <c r="D97" s="208" t="s">
        <v>55</v>
      </c>
      <c r="E97" s="208">
        <v>2018</v>
      </c>
      <c r="F97" s="203" t="s">
        <v>19</v>
      </c>
      <c r="G97" s="212">
        <f>930</f>
        <v>930</v>
      </c>
      <c r="H97" s="107">
        <f t="shared" si="220"/>
        <v>867</v>
      </c>
      <c r="I97" s="209">
        <f>804</f>
        <v>804</v>
      </c>
      <c r="J97" s="107">
        <f t="shared" si="230"/>
        <v>702</v>
      </c>
      <c r="K97" s="107">
        <f t="shared" si="221"/>
        <v>651</v>
      </c>
      <c r="L97" s="209">
        <f>600</f>
        <v>600</v>
      </c>
      <c r="M97" s="107">
        <f t="shared" ref="M97:M98" si="236">K97+((L97-K97)/(2050-2045))*(2060-2045)</f>
        <v>498</v>
      </c>
      <c r="N97" s="106">
        <f t="shared" si="226"/>
        <v>24.875997827375048</v>
      </c>
      <c r="O97" s="107">
        <f t="shared" si="231"/>
        <v>23.190849587456093</v>
      </c>
      <c r="P97" s="107">
        <f t="shared" si="227"/>
        <v>21.505701347537141</v>
      </c>
      <c r="Q97" s="107">
        <f t="shared" si="228"/>
        <v>18.777366101954069</v>
      </c>
      <c r="R97" s="107">
        <f t="shared" si="232"/>
        <v>17.413198479162531</v>
      </c>
      <c r="S97" s="107">
        <f t="shared" si="229"/>
        <v>16.049030856370997</v>
      </c>
      <c r="T97" s="107">
        <f t="shared" si="233"/>
        <v>13.320695610787929</v>
      </c>
      <c r="U97" s="210"/>
      <c r="V97" s="1024"/>
      <c r="W97" s="1024"/>
      <c r="X97" s="1024"/>
      <c r="Y97" s="1024"/>
      <c r="Z97" s="1024"/>
      <c r="AA97" s="24"/>
      <c r="AB97" s="208"/>
      <c r="AC97" s="208"/>
      <c r="AD97" s="208"/>
      <c r="AE97" s="208"/>
      <c r="AF97" s="208"/>
      <c r="AG97" s="208"/>
      <c r="AH97" s="208"/>
      <c r="AI97" s="658">
        <v>81</v>
      </c>
      <c r="AJ97" s="378">
        <f t="shared" si="234"/>
        <v>82.5</v>
      </c>
      <c r="AK97" s="213">
        <v>84</v>
      </c>
      <c r="AL97" s="378">
        <f t="shared" si="235"/>
        <v>87</v>
      </c>
      <c r="AM97" s="378">
        <f t="shared" si="225"/>
        <v>88.5</v>
      </c>
      <c r="AN97" s="213">
        <v>90</v>
      </c>
      <c r="AO97" s="118">
        <v>90</v>
      </c>
      <c r="AP97" s="485"/>
      <c r="AQ97" s="104" t="s">
        <v>360</v>
      </c>
    </row>
    <row r="98" spans="1:43" x14ac:dyDescent="0.3">
      <c r="A98" s="973"/>
      <c r="B98" s="938"/>
      <c r="C98" s="214">
        <v>10</v>
      </c>
      <c r="D98" s="214" t="s">
        <v>55</v>
      </c>
      <c r="E98" s="214">
        <v>2018</v>
      </c>
      <c r="F98" s="203" t="s">
        <v>19</v>
      </c>
      <c r="G98" s="597">
        <f>969</f>
        <v>969</v>
      </c>
      <c r="H98" s="122">
        <f t="shared" si="220"/>
        <v>939</v>
      </c>
      <c r="I98" s="215">
        <f>909</f>
        <v>909</v>
      </c>
      <c r="J98" s="122">
        <f t="shared" si="230"/>
        <v>854.5</v>
      </c>
      <c r="K98" s="122">
        <f t="shared" si="221"/>
        <v>827.25</v>
      </c>
      <c r="L98" s="215">
        <f>800</f>
        <v>800</v>
      </c>
      <c r="M98" s="122">
        <f t="shared" si="236"/>
        <v>745.5</v>
      </c>
      <c r="N98" s="106">
        <f t="shared" si="226"/>
        <v>25.919184833039161</v>
      </c>
      <c r="O98" s="107">
        <f t="shared" si="231"/>
        <v>25.116733290220612</v>
      </c>
      <c r="P98" s="107">
        <f t="shared" si="227"/>
        <v>24.31428174740206</v>
      </c>
      <c r="Q98" s="107">
        <f t="shared" si="228"/>
        <v>22.856494777948363</v>
      </c>
      <c r="R98" s="107">
        <f t="shared" si="232"/>
        <v>22.127601293221513</v>
      </c>
      <c r="S98" s="107">
        <f t="shared" si="229"/>
        <v>21.398707808494663</v>
      </c>
      <c r="T98" s="107">
        <f t="shared" si="233"/>
        <v>19.940920839040963</v>
      </c>
      <c r="U98" s="216"/>
      <c r="V98" s="214"/>
      <c r="W98" s="214"/>
      <c r="X98" s="214"/>
      <c r="Y98" s="214"/>
      <c r="Z98" s="214"/>
      <c r="AA98" s="27"/>
      <c r="AB98" s="214"/>
      <c r="AC98" s="214"/>
      <c r="AD98" s="214"/>
      <c r="AE98" s="214"/>
      <c r="AF98" s="214"/>
      <c r="AG98" s="214"/>
      <c r="AH98" s="214"/>
      <c r="AI98" s="659">
        <v>81</v>
      </c>
      <c r="AJ98" s="386">
        <f t="shared" si="234"/>
        <v>82.5</v>
      </c>
      <c r="AK98" s="660">
        <v>84</v>
      </c>
      <c r="AL98" s="386">
        <f t="shared" si="235"/>
        <v>87</v>
      </c>
      <c r="AM98" s="386">
        <f t="shared" si="225"/>
        <v>88.5</v>
      </c>
      <c r="AN98" s="660">
        <v>90</v>
      </c>
      <c r="AO98" s="584">
        <v>90</v>
      </c>
      <c r="AP98" s="661"/>
      <c r="AQ98" s="104" t="s">
        <v>361</v>
      </c>
    </row>
    <row r="99" spans="1:43" x14ac:dyDescent="0.3">
      <c r="A99" s="973"/>
      <c r="B99" s="217" t="s">
        <v>267</v>
      </c>
      <c r="C99" s="218"/>
      <c r="D99" s="218"/>
      <c r="E99" s="218"/>
      <c r="F99" s="218"/>
      <c r="G99" s="219">
        <f>MIN(G93:G98)</f>
        <v>877</v>
      </c>
      <c r="H99" s="220">
        <f t="shared" ref="H99:J99" si="237">MIN(H93:H98)</f>
        <v>776</v>
      </c>
      <c r="I99" s="220">
        <f t="shared" si="237"/>
        <v>675</v>
      </c>
      <c r="J99" s="220">
        <f t="shared" si="237"/>
        <v>537.5</v>
      </c>
      <c r="K99" s="220"/>
      <c r="L99" s="220">
        <f>MIN(L93:L98)</f>
        <v>400</v>
      </c>
      <c r="M99" s="220"/>
      <c r="N99" s="219">
        <f t="shared" ref="N99:T99" si="238">MIN(N93:N98)</f>
        <v>23.458333435062272</v>
      </c>
      <c r="O99" s="220">
        <f t="shared" si="238"/>
        <v>20.756746574239823</v>
      </c>
      <c r="P99" s="220">
        <f t="shared" si="238"/>
        <v>18.055159713417371</v>
      </c>
      <c r="Q99" s="220">
        <f t="shared" si="238"/>
        <v>14.377256808832351</v>
      </c>
      <c r="R99" s="220">
        <f t="shared" si="238"/>
        <v>12.538305356539842</v>
      </c>
      <c r="S99" s="220">
        <f t="shared" si="238"/>
        <v>10.699353904247332</v>
      </c>
      <c r="T99" s="220">
        <f t="shared" si="238"/>
        <v>8.76</v>
      </c>
      <c r="U99" s="222"/>
      <c r="V99" s="218"/>
      <c r="W99" s="218"/>
      <c r="X99" s="218"/>
      <c r="Y99" s="218"/>
      <c r="Z99" s="218"/>
      <c r="AA99" s="223"/>
      <c r="AB99" s="218"/>
      <c r="AC99" s="218"/>
      <c r="AD99" s="218"/>
      <c r="AE99" s="218"/>
      <c r="AF99" s="218"/>
      <c r="AG99" s="218"/>
      <c r="AH99" s="218"/>
      <c r="AI99" s="662">
        <f t="shared" ref="AI99:AP99" si="239">MIN(AI93:AI98)</f>
        <v>73</v>
      </c>
      <c r="AJ99" s="490">
        <f t="shared" si="239"/>
        <v>73</v>
      </c>
      <c r="AK99" s="490">
        <f t="shared" si="239"/>
        <v>73</v>
      </c>
      <c r="AL99" s="490">
        <f t="shared" si="239"/>
        <v>75</v>
      </c>
      <c r="AM99" s="490">
        <f t="shared" si="239"/>
        <v>76</v>
      </c>
      <c r="AN99" s="490">
        <f t="shared" si="239"/>
        <v>77</v>
      </c>
      <c r="AO99" s="491">
        <f t="shared" si="239"/>
        <v>77</v>
      </c>
      <c r="AP99" s="491">
        <f t="shared" si="239"/>
        <v>25</v>
      </c>
      <c r="AQ99" s="104"/>
    </row>
    <row r="100" spans="1:43" x14ac:dyDescent="0.3">
      <c r="A100" s="973"/>
      <c r="B100" s="224" t="s">
        <v>268</v>
      </c>
      <c r="C100" s="225"/>
      <c r="D100" s="225"/>
      <c r="E100" s="225"/>
      <c r="F100" s="225"/>
      <c r="G100" s="226">
        <f>MEDIAN(G93:G98)</f>
        <v>1484</v>
      </c>
      <c r="H100" s="227">
        <f t="shared" ref="H100:J100" si="240">MEDIAN(H93:H98)</f>
        <v>1169.902731570653</v>
      </c>
      <c r="I100" s="227">
        <f t="shared" si="240"/>
        <v>856.5</v>
      </c>
      <c r="J100" s="227">
        <f t="shared" si="240"/>
        <v>778.25</v>
      </c>
      <c r="K100" s="227"/>
      <c r="L100" s="227">
        <f>MEDIAN(L93:L98)</f>
        <v>628.31378042374354</v>
      </c>
      <c r="M100" s="227"/>
      <c r="N100" s="226">
        <f t="shared" ref="N100:T100" si="241">MEDIAN(N93:N98)</f>
        <v>41.061555043679434</v>
      </c>
      <c r="O100" s="227">
        <f t="shared" si="241"/>
        <v>31.293008396550213</v>
      </c>
      <c r="P100" s="227">
        <f t="shared" si="241"/>
        <v>22.909991547469602</v>
      </c>
      <c r="Q100" s="227">
        <f t="shared" si="241"/>
        <v>20.816930439951214</v>
      </c>
      <c r="R100" s="227">
        <f t="shared" si="241"/>
        <v>19.770399886192024</v>
      </c>
      <c r="S100" s="227">
        <f t="shared" si="241"/>
        <v>16.806378749172957</v>
      </c>
      <c r="T100" s="227">
        <f t="shared" si="241"/>
        <v>13.225347805393966</v>
      </c>
      <c r="U100" s="229"/>
      <c r="V100" s="1025"/>
      <c r="W100" s="1025"/>
      <c r="X100" s="1025"/>
      <c r="Y100" s="1025"/>
      <c r="Z100" s="1025"/>
      <c r="AA100" s="230"/>
      <c r="AB100" s="225"/>
      <c r="AC100" s="225"/>
      <c r="AD100" s="225"/>
      <c r="AE100" s="225"/>
      <c r="AF100" s="225"/>
      <c r="AG100" s="225"/>
      <c r="AH100" s="225"/>
      <c r="AI100" s="663">
        <f t="shared" ref="AI100:AP100" si="242">MEDIAN(AI93:AI98)</f>
        <v>81</v>
      </c>
      <c r="AJ100" s="494">
        <f t="shared" si="242"/>
        <v>80.75</v>
      </c>
      <c r="AK100" s="494">
        <f t="shared" si="242"/>
        <v>82.25</v>
      </c>
      <c r="AL100" s="494">
        <f t="shared" si="242"/>
        <v>84.5</v>
      </c>
      <c r="AM100" s="494">
        <f t="shared" si="242"/>
        <v>85.625</v>
      </c>
      <c r="AN100" s="494">
        <f t="shared" si="242"/>
        <v>86.75</v>
      </c>
      <c r="AO100" s="495">
        <f t="shared" si="242"/>
        <v>87</v>
      </c>
      <c r="AP100" s="495">
        <f t="shared" si="242"/>
        <v>25</v>
      </c>
      <c r="AQ100" s="104"/>
    </row>
    <row r="101" spans="1:43" x14ac:dyDescent="0.3">
      <c r="A101" s="973"/>
      <c r="B101" s="231" t="s">
        <v>269</v>
      </c>
      <c r="C101" s="232"/>
      <c r="D101" s="232"/>
      <c r="E101" s="232"/>
      <c r="F101" s="232"/>
      <c r="G101" s="599">
        <f>MAX(G93:G98)</f>
        <v>3502.0136578532652</v>
      </c>
      <c r="H101" s="233">
        <f t="shared" ref="H101:J101" si="243">MAX(H93:H98)</f>
        <v>2538.9599019436173</v>
      </c>
      <c r="I101" s="233">
        <f t="shared" si="243"/>
        <v>1575.9061460339694</v>
      </c>
      <c r="J101" s="233">
        <f t="shared" si="243"/>
        <v>1123</v>
      </c>
      <c r="K101" s="233"/>
      <c r="L101" s="233">
        <f>MAX(L93:L98)</f>
        <v>905</v>
      </c>
      <c r="M101" s="233"/>
      <c r="N101" s="226">
        <f t="shared" ref="N101:T101" si="244">MAX(N93:N98)</f>
        <v>106.94004227295208</v>
      </c>
      <c r="O101" s="227">
        <f t="shared" si="244"/>
        <v>92.977385427909311</v>
      </c>
      <c r="P101" s="227">
        <f t="shared" si="244"/>
        <v>79.014728582866539</v>
      </c>
      <c r="Q101" s="227">
        <f t="shared" si="244"/>
        <v>60.076872172348772</v>
      </c>
      <c r="R101" s="227">
        <f t="shared" si="244"/>
        <v>54.245724294533971</v>
      </c>
      <c r="S101" s="227">
        <f t="shared" si="244"/>
        <v>48.414576416719179</v>
      </c>
      <c r="T101" s="227">
        <f t="shared" si="244"/>
        <v>36.752280661089593</v>
      </c>
      <c r="U101" s="234"/>
      <c r="V101" s="232"/>
      <c r="W101" s="232"/>
      <c r="X101" s="232"/>
      <c r="Y101" s="232"/>
      <c r="Z101" s="232"/>
      <c r="AA101" s="235"/>
      <c r="AB101" s="232"/>
      <c r="AC101" s="232"/>
      <c r="AD101" s="232"/>
      <c r="AE101" s="232"/>
      <c r="AF101" s="232"/>
      <c r="AG101" s="232"/>
      <c r="AH101" s="232"/>
      <c r="AI101" s="664">
        <f t="shared" ref="AI101:AP101" si="245">MAX(AI93:AI98)</f>
        <v>81</v>
      </c>
      <c r="AJ101" s="498">
        <f t="shared" si="245"/>
        <v>82.5</v>
      </c>
      <c r="AK101" s="498">
        <f t="shared" si="245"/>
        <v>84</v>
      </c>
      <c r="AL101" s="498">
        <f t="shared" si="245"/>
        <v>87</v>
      </c>
      <c r="AM101" s="498">
        <f t="shared" si="245"/>
        <v>88.5</v>
      </c>
      <c r="AN101" s="498">
        <f t="shared" si="245"/>
        <v>90</v>
      </c>
      <c r="AO101" s="665">
        <f t="shared" si="245"/>
        <v>90</v>
      </c>
      <c r="AP101" s="665">
        <f t="shared" si="245"/>
        <v>25</v>
      </c>
      <c r="AQ101" s="104"/>
    </row>
    <row r="102" spans="1:43" x14ac:dyDescent="0.3">
      <c r="A102" s="973"/>
      <c r="B102" s="919" t="s">
        <v>362</v>
      </c>
      <c r="C102" s="236">
        <v>1</v>
      </c>
      <c r="D102" s="236" t="s">
        <v>18</v>
      </c>
      <c r="E102" s="236">
        <v>2020</v>
      </c>
      <c r="F102" s="237" t="s">
        <v>19</v>
      </c>
      <c r="G102" s="238">
        <f>950/1.1422</f>
        <v>831.72824374015056</v>
      </c>
      <c r="H102" s="93">
        <f t="shared" ref="H102:H109" si="246">G102+((I102-G102)/(2030-2020))*(2025-2020)</f>
        <v>689.45893888986166</v>
      </c>
      <c r="I102" s="239">
        <f>625/1.1422</f>
        <v>547.18963403957275</v>
      </c>
      <c r="J102" s="239">
        <f>537.5/1.1422</f>
        <v>470.5830852740325</v>
      </c>
      <c r="K102" s="93">
        <f t="shared" ref="K102:K109" si="247">J102+((L102-J102)/(2050-2040))*(2045-2040)</f>
        <v>432.2798108912624</v>
      </c>
      <c r="L102" s="239">
        <f>450/1.1422</f>
        <v>393.97653650849236</v>
      </c>
      <c r="M102" s="95">
        <f>K102+((L102-K102)/(2050-2045))*(2060-2045)</f>
        <v>317.36998774295228</v>
      </c>
      <c r="N102" s="238">
        <f t="shared" ref="N102:N103" si="248">G102*0.02*$AU$7</f>
        <v>22.24738707983489</v>
      </c>
      <c r="O102" s="93">
        <f t="shared" ref="O102:O104" si="249">N102+((P102-N102)/(2030-2020))*(2025-2020)</f>
        <v>18.441912974073659</v>
      </c>
      <c r="P102" s="239">
        <f t="shared" ref="P102:P103" si="250">I102*0.02*$AU$7</f>
        <v>14.636438868312428</v>
      </c>
      <c r="Q102" s="239">
        <f t="shared" ref="Q102:Q103" si="251">J102*0.02*$AU$7</f>
        <v>12.587337426748688</v>
      </c>
      <c r="R102" s="93">
        <f t="shared" ref="R102:R104" si="252">Q102+((S102-Q102)/(2050-2040))*(2045-2040)</f>
        <v>11.562786705966818</v>
      </c>
      <c r="S102" s="239">
        <f t="shared" ref="S102:S103" si="253">L102*0.02*$AU$7</f>
        <v>10.538235985184947</v>
      </c>
      <c r="T102" s="95">
        <f>R102+((S102-R102)/(2050-2045))*(2060-2045)</f>
        <v>8.4891345436212049</v>
      </c>
      <c r="U102" s="240"/>
      <c r="V102" s="236"/>
      <c r="W102" s="236"/>
      <c r="X102" s="236"/>
      <c r="Y102" s="236"/>
      <c r="Z102" s="236"/>
      <c r="AA102" s="30"/>
      <c r="AB102" s="236"/>
      <c r="AC102" s="236"/>
      <c r="AD102" s="236"/>
      <c r="AE102" s="236"/>
      <c r="AF102" s="236"/>
      <c r="AG102" s="236"/>
      <c r="AH102" s="236"/>
      <c r="AI102" s="666">
        <v>66.5</v>
      </c>
      <c r="AJ102" s="101">
        <f t="shared" ref="AJ102:AJ104" si="254">AI102+((AK102-AI102)/(2030-2020))*(2025-2020)</f>
        <v>67.25</v>
      </c>
      <c r="AK102" s="242">
        <v>68</v>
      </c>
      <c r="AL102" s="242">
        <v>71.5</v>
      </c>
      <c r="AM102" s="101">
        <f t="shared" ref="AM102:AM104" si="255">AL102+((AN102-AL102)/(2050-2040))*(2045-2040)</f>
        <v>73.25</v>
      </c>
      <c r="AN102" s="242">
        <v>75</v>
      </c>
      <c r="AO102" s="103">
        <v>75</v>
      </c>
      <c r="AP102" s="667">
        <v>25</v>
      </c>
      <c r="AQ102" s="104" t="s">
        <v>363</v>
      </c>
    </row>
    <row r="103" spans="1:43" x14ac:dyDescent="0.3">
      <c r="A103" s="973"/>
      <c r="B103" s="970"/>
      <c r="C103" s="243">
        <v>1</v>
      </c>
      <c r="D103" s="243" t="s">
        <v>18</v>
      </c>
      <c r="E103" s="243">
        <v>2020</v>
      </c>
      <c r="F103" s="237" t="s">
        <v>19</v>
      </c>
      <c r="G103" s="244">
        <f>500/1.1422</f>
        <v>437.75170723165814</v>
      </c>
      <c r="H103" s="107">
        <f t="shared" si="246"/>
        <v>393.97653650849236</v>
      </c>
      <c r="I103" s="245">
        <f>400/1.1422</f>
        <v>350.20136578532652</v>
      </c>
      <c r="J103" s="245">
        <f>300/1.1422</f>
        <v>262.65102433899489</v>
      </c>
      <c r="K103" s="107">
        <f t="shared" si="247"/>
        <v>218.87585361582907</v>
      </c>
      <c r="L103" s="245">
        <f>200/1.1422</f>
        <v>175.10068289266326</v>
      </c>
      <c r="M103" s="107">
        <v>175.1</v>
      </c>
      <c r="N103" s="244">
        <f t="shared" si="248"/>
        <v>11.70915109464994</v>
      </c>
      <c r="O103" s="107">
        <f t="shared" si="249"/>
        <v>10.538235985184947</v>
      </c>
      <c r="P103" s="245">
        <f t="shared" si="250"/>
        <v>9.3673208757199529</v>
      </c>
      <c r="Q103" s="245">
        <f t="shared" si="251"/>
        <v>7.0254906567899642</v>
      </c>
      <c r="R103" s="107">
        <f t="shared" si="252"/>
        <v>5.8545755473249699</v>
      </c>
      <c r="S103" s="245">
        <f t="shared" si="253"/>
        <v>4.6836604378599764</v>
      </c>
      <c r="T103" s="109">
        <v>3.5</v>
      </c>
      <c r="U103" s="247"/>
      <c r="V103" s="1026"/>
      <c r="W103" s="1026"/>
      <c r="X103" s="1026"/>
      <c r="Y103" s="1026"/>
      <c r="Z103" s="1026"/>
      <c r="AA103" s="33"/>
      <c r="AB103" s="243"/>
      <c r="AC103" s="243"/>
      <c r="AD103" s="243"/>
      <c r="AE103" s="243"/>
      <c r="AF103" s="243"/>
      <c r="AG103" s="243"/>
      <c r="AH103" s="243"/>
      <c r="AI103" s="668">
        <v>66.5</v>
      </c>
      <c r="AJ103" s="378">
        <f t="shared" si="254"/>
        <v>67.25</v>
      </c>
      <c r="AK103" s="669">
        <v>68</v>
      </c>
      <c r="AL103" s="669">
        <v>71.5</v>
      </c>
      <c r="AM103" s="378">
        <f t="shared" si="255"/>
        <v>73.25</v>
      </c>
      <c r="AN103" s="669">
        <v>75</v>
      </c>
      <c r="AO103" s="118">
        <v>75</v>
      </c>
      <c r="AP103" s="670">
        <v>25</v>
      </c>
      <c r="AQ103" s="104" t="s">
        <v>364</v>
      </c>
    </row>
    <row r="104" spans="1:43" x14ac:dyDescent="0.3">
      <c r="A104" s="973"/>
      <c r="B104" s="970"/>
      <c r="C104" s="243">
        <v>2</v>
      </c>
      <c r="D104" s="243" t="s">
        <v>23</v>
      </c>
      <c r="E104" s="243">
        <v>2019</v>
      </c>
      <c r="F104" s="237" t="s">
        <v>19</v>
      </c>
      <c r="G104" s="244">
        <f>900/1.1297</f>
        <v>796.67168274763219</v>
      </c>
      <c r="H104" s="107">
        <f t="shared" si="246"/>
        <v>708.15260688678416</v>
      </c>
      <c r="I104" s="245">
        <f>700/1.1297</f>
        <v>619.63353102593612</v>
      </c>
      <c r="J104" s="107">
        <f>I104+((L104-I104)/(2050-2030))*(2040-2030)</f>
        <v>508.98468619987614</v>
      </c>
      <c r="K104" s="107">
        <f t="shared" si="247"/>
        <v>453.66026378684614</v>
      </c>
      <c r="L104" s="245">
        <f>450/1.1297</f>
        <v>398.33584137381609</v>
      </c>
      <c r="M104" s="107">
        <f t="shared" ref="M104:M109" si="256">K104+((L104-K104)/(2050-2045))*(2060-2045)</f>
        <v>287.686996547756</v>
      </c>
      <c r="N104" s="244">
        <f>G104*0.015*$AU$7</f>
        <v>15.982260523517194</v>
      </c>
      <c r="O104" s="107">
        <f t="shared" si="249"/>
        <v>14.206453798681949</v>
      </c>
      <c r="P104" s="245">
        <f>I104*0.015*$AU$7</f>
        <v>12.430647073846705</v>
      </c>
      <c r="Q104" s="107">
        <f>P104+((S104-P104)/(2050-2030))*(2040-2030)</f>
        <v>10.210888667802651</v>
      </c>
      <c r="R104" s="107">
        <f t="shared" si="252"/>
        <v>9.1010094647806241</v>
      </c>
      <c r="S104" s="245">
        <f>L104*0.015*$AU$7</f>
        <v>7.9911302617585971</v>
      </c>
      <c r="T104" s="109">
        <f>R104+((S104-R104)/(2050-2045))*(2060-2045)</f>
        <v>5.771371855714543</v>
      </c>
      <c r="U104" s="244"/>
      <c r="V104" s="1027"/>
      <c r="W104" s="1027"/>
      <c r="X104" s="1027"/>
      <c r="Y104" s="1027"/>
      <c r="Z104" s="1027"/>
      <c r="AA104" s="246"/>
      <c r="AB104" s="245"/>
      <c r="AC104" s="245"/>
      <c r="AD104" s="245"/>
      <c r="AE104" s="245"/>
      <c r="AF104" s="245"/>
      <c r="AG104" s="245"/>
      <c r="AH104" s="245"/>
      <c r="AI104" s="668">
        <v>64</v>
      </c>
      <c r="AJ104" s="378">
        <f t="shared" si="254"/>
        <v>66.5</v>
      </c>
      <c r="AK104" s="669">
        <v>69</v>
      </c>
      <c r="AL104" s="378">
        <f>AK104+((AN104-AK104)/(2050-2030))*(2040-2030)</f>
        <v>71.5</v>
      </c>
      <c r="AM104" s="378">
        <f t="shared" si="255"/>
        <v>72.75</v>
      </c>
      <c r="AN104" s="669">
        <v>74</v>
      </c>
      <c r="AO104" s="118">
        <v>74</v>
      </c>
      <c r="AP104" s="670"/>
      <c r="AQ104" s="104" t="s">
        <v>365</v>
      </c>
    </row>
    <row r="105" spans="1:43" x14ac:dyDescent="0.3">
      <c r="A105" s="973"/>
      <c r="B105" s="970"/>
      <c r="C105" s="243">
        <v>3</v>
      </c>
      <c r="D105" s="243" t="s">
        <v>28</v>
      </c>
      <c r="E105" s="243">
        <v>2021</v>
      </c>
      <c r="F105" s="237" t="s">
        <v>19</v>
      </c>
      <c r="G105" s="244">
        <f>660/1.1827</f>
        <v>558.04515092584757</v>
      </c>
      <c r="H105" s="107">
        <f t="shared" si="246"/>
        <v>376.25771539697297</v>
      </c>
      <c r="I105" s="245">
        <f>230/1.1827</f>
        <v>194.4702798680984</v>
      </c>
      <c r="J105" s="107">
        <v>194.47</v>
      </c>
      <c r="K105" s="107">
        <v>194.47</v>
      </c>
      <c r="L105" s="107">
        <v>194.47</v>
      </c>
      <c r="M105" s="107">
        <v>194.47</v>
      </c>
      <c r="N105" s="106">
        <f t="shared" ref="N105:N106" si="257">G105*0.02*$AU$7</f>
        <v>14.926806410761897</v>
      </c>
      <c r="O105" s="107">
        <f t="shared" ref="O105:O106" si="258">H105*0.02*$AU$7</f>
        <v>10.064286140589461</v>
      </c>
      <c r="P105" s="107">
        <f t="shared" ref="P105:P106" si="259">I105*0.02*$AU$7</f>
        <v>5.2017658704170255</v>
      </c>
      <c r="Q105" s="107">
        <f t="shared" ref="Q105:Q106" si="260">J105*0.02*$AU$7</f>
        <v>5.2017583843974471</v>
      </c>
      <c r="R105" s="107">
        <f t="shared" ref="R105:R106" si="261">K105*0.02*$AU$7</f>
        <v>5.2017583843974471</v>
      </c>
      <c r="S105" s="107">
        <f t="shared" ref="S105:S106" si="262">L105*0.02*$AU$7</f>
        <v>5.2017583843974471</v>
      </c>
      <c r="T105" s="109">
        <f t="shared" ref="T105:T106" si="263">M105*0.02*$AU$7</f>
        <v>5.2017583843974471</v>
      </c>
      <c r="U105" s="244"/>
      <c r="V105" s="1027"/>
      <c r="W105" s="1027"/>
      <c r="X105" s="1027"/>
      <c r="Y105" s="1027"/>
      <c r="Z105" s="1027"/>
      <c r="AA105" s="246"/>
      <c r="AB105" s="245"/>
      <c r="AC105" s="245"/>
      <c r="AD105" s="245"/>
      <c r="AE105" s="245"/>
      <c r="AF105" s="245"/>
      <c r="AG105" s="245"/>
      <c r="AH105" s="245"/>
      <c r="AI105" s="668"/>
      <c r="AJ105" s="669"/>
      <c r="AK105" s="669"/>
      <c r="AL105" s="669"/>
      <c r="AM105" s="669"/>
      <c r="AN105" s="669"/>
      <c r="AO105" s="670"/>
      <c r="AP105" s="670"/>
      <c r="AQ105" s="104" t="s">
        <v>366</v>
      </c>
    </row>
    <row r="106" spans="1:43" x14ac:dyDescent="0.3">
      <c r="A106" s="973"/>
      <c r="B106" s="970"/>
      <c r="C106" s="243">
        <v>3</v>
      </c>
      <c r="D106" s="243" t="s">
        <v>28</v>
      </c>
      <c r="E106" s="243">
        <v>2021</v>
      </c>
      <c r="F106" s="237" t="s">
        <v>19</v>
      </c>
      <c r="G106" s="244">
        <f>1050/1.1827</f>
        <v>887.79910374566668</v>
      </c>
      <c r="H106" s="107">
        <f t="shared" si="246"/>
        <v>604.54891350300159</v>
      </c>
      <c r="I106" s="245">
        <f>380/1.1827</f>
        <v>321.29872326033649</v>
      </c>
      <c r="J106" s="107">
        <v>175.1</v>
      </c>
      <c r="K106" s="107">
        <v>175.1</v>
      </c>
      <c r="L106" s="107">
        <v>175.1</v>
      </c>
      <c r="M106" s="107">
        <v>175.1</v>
      </c>
      <c r="N106" s="106">
        <f t="shared" si="257"/>
        <v>23.747192017121201</v>
      </c>
      <c r="O106" s="107">
        <f t="shared" si="258"/>
        <v>16.170706944992059</v>
      </c>
      <c r="P106" s="107">
        <f t="shared" si="259"/>
        <v>8.5942218728629101</v>
      </c>
      <c r="Q106" s="107">
        <f t="shared" si="260"/>
        <v>4.6836421715842693</v>
      </c>
      <c r="R106" s="107">
        <f t="shared" si="261"/>
        <v>4.6836421715842693</v>
      </c>
      <c r="S106" s="107">
        <f t="shared" si="262"/>
        <v>4.6836421715842693</v>
      </c>
      <c r="T106" s="109">
        <f t="shared" si="263"/>
        <v>4.6836421715842693</v>
      </c>
      <c r="U106" s="247"/>
      <c r="V106" s="1026"/>
      <c r="W106" s="1026"/>
      <c r="X106" s="1026"/>
      <c r="Y106" s="1026"/>
      <c r="Z106" s="1026"/>
      <c r="AA106" s="33"/>
      <c r="AB106" s="243"/>
      <c r="AC106" s="243"/>
      <c r="AD106" s="243"/>
      <c r="AE106" s="243"/>
      <c r="AF106" s="243"/>
      <c r="AG106" s="243"/>
      <c r="AH106" s="243"/>
      <c r="AI106" s="668"/>
      <c r="AJ106" s="669"/>
      <c r="AK106" s="669"/>
      <c r="AL106" s="669"/>
      <c r="AM106" s="669"/>
      <c r="AN106" s="669"/>
      <c r="AO106" s="670"/>
      <c r="AP106" s="670"/>
      <c r="AQ106" s="104" t="s">
        <v>367</v>
      </c>
    </row>
    <row r="107" spans="1:43" x14ac:dyDescent="0.3">
      <c r="A107" s="973"/>
      <c r="B107" s="970"/>
      <c r="C107" s="243">
        <v>5</v>
      </c>
      <c r="D107" s="243" t="s">
        <v>35</v>
      </c>
      <c r="E107" s="243">
        <v>2021</v>
      </c>
      <c r="F107" s="237" t="s">
        <v>19</v>
      </c>
      <c r="G107" s="244">
        <v>800</v>
      </c>
      <c r="H107" s="107">
        <f t="shared" si="246"/>
        <v>650</v>
      </c>
      <c r="I107" s="245">
        <v>500</v>
      </c>
      <c r="J107" s="245">
        <v>440</v>
      </c>
      <c r="K107" s="107">
        <f t="shared" si="247"/>
        <v>420</v>
      </c>
      <c r="L107" s="245">
        <v>400</v>
      </c>
      <c r="M107" s="107">
        <f t="shared" si="256"/>
        <v>360</v>
      </c>
      <c r="N107" s="244">
        <f>G107*0.04*$AU$7</f>
        <v>42.797415616989326</v>
      </c>
      <c r="O107" s="107">
        <f>N107+((P107-N107)/(2030-2020))*(2025-2020)</f>
        <v>34.772900188803831</v>
      </c>
      <c r="P107" s="245">
        <f>I107*0.04*$AU$7</f>
        <v>26.748384760618329</v>
      </c>
      <c r="Q107" s="245">
        <f>J107*0.04*$AU$7</f>
        <v>23.53857858934413</v>
      </c>
      <c r="R107" s="107">
        <f>Q107+((S107-Q107)/(2050-2040))*(2045-2040)</f>
        <v>22.468643198919395</v>
      </c>
      <c r="S107" s="245">
        <f>L107*0.04*$AU$7</f>
        <v>21.398707808494663</v>
      </c>
      <c r="T107" s="109">
        <f>R107+((S107-R107)/(2050-2045))*(2060-2045)</f>
        <v>19.2588370276452</v>
      </c>
      <c r="U107" s="247"/>
      <c r="V107" s="1026"/>
      <c r="W107" s="1026"/>
      <c r="X107" s="1026"/>
      <c r="Y107" s="1026"/>
      <c r="Z107" s="1026"/>
      <c r="AA107" s="33"/>
      <c r="AB107" s="243"/>
      <c r="AC107" s="243"/>
      <c r="AD107" s="243"/>
      <c r="AE107" s="243"/>
      <c r="AF107" s="243"/>
      <c r="AG107" s="243"/>
      <c r="AH107" s="243"/>
      <c r="AI107" s="668"/>
      <c r="AJ107" s="669"/>
      <c r="AK107" s="669"/>
      <c r="AL107" s="669"/>
      <c r="AM107" s="245"/>
      <c r="AN107" s="669"/>
      <c r="AO107" s="670"/>
      <c r="AP107" s="670">
        <v>25</v>
      </c>
      <c r="AQ107" s="104" t="s">
        <v>368</v>
      </c>
    </row>
    <row r="108" spans="1:43" x14ac:dyDescent="0.3">
      <c r="A108" s="973"/>
      <c r="B108" s="970"/>
      <c r="C108" s="243">
        <v>6</v>
      </c>
      <c r="D108" s="243" t="s">
        <v>39</v>
      </c>
      <c r="E108" s="243">
        <v>2020</v>
      </c>
      <c r="F108" s="237" t="s">
        <v>19</v>
      </c>
      <c r="G108" s="244">
        <f t="shared" ref="G108:G109" si="264">1480/1.1422</f>
        <v>1295.7450534057082</v>
      </c>
      <c r="H108" s="107">
        <f t="shared" si="246"/>
        <v>1019.9614778497635</v>
      </c>
      <c r="I108" s="245">
        <f>850/1.1422</f>
        <v>744.17790229381887</v>
      </c>
      <c r="J108" s="245">
        <f>630/1.1422</f>
        <v>551.5671511118893</v>
      </c>
      <c r="K108" s="107">
        <f t="shared" si="247"/>
        <v>455.26177552092452</v>
      </c>
      <c r="L108" s="107">
        <f t="shared" ref="L108:L109" si="265">I108+((J108-I108)/(2040-2030))*(2050-2030)</f>
        <v>358.95639992995973</v>
      </c>
      <c r="M108" s="107">
        <f t="shared" si="256"/>
        <v>166.34564874803016</v>
      </c>
      <c r="N108" s="106">
        <f t="shared" ref="N108:N109" si="266">G108*0.02*$AU$7</f>
        <v>34.659087240163828</v>
      </c>
      <c r="O108" s="107">
        <f t="shared" ref="O108:O109" si="267">H108*0.02*$AU$7</f>
        <v>27.282322050534361</v>
      </c>
      <c r="P108" s="107">
        <f t="shared" ref="P108:P109" si="268">I108*0.02*$AU$7</f>
        <v>19.905556860904902</v>
      </c>
      <c r="Q108" s="107">
        <f t="shared" ref="Q108:Q109" si="269">J108*0.02*$AU$7</f>
        <v>14.753530379258928</v>
      </c>
      <c r="R108" s="107">
        <f t="shared" ref="R108:R109" si="270">K108*0.02*$AU$7</f>
        <v>12.17751713843594</v>
      </c>
      <c r="S108" s="107">
        <f t="shared" ref="S108:S109" si="271">L108*0.02*$AU$7</f>
        <v>9.6015038976129539</v>
      </c>
      <c r="T108" s="109">
        <f t="shared" ref="T108:T109" si="272">M108*0.02*$AU$7</f>
        <v>4.449477415966979</v>
      </c>
      <c r="U108" s="247"/>
      <c r="V108" s="1026"/>
      <c r="W108" s="1026"/>
      <c r="X108" s="1026"/>
      <c r="Y108" s="1026"/>
      <c r="Z108" s="1026"/>
      <c r="AA108" s="33"/>
      <c r="AB108" s="243"/>
      <c r="AC108" s="243"/>
      <c r="AD108" s="243"/>
      <c r="AE108" s="243"/>
      <c r="AF108" s="243"/>
      <c r="AG108" s="243"/>
      <c r="AH108" s="243"/>
      <c r="AI108" s="668"/>
      <c r="AJ108" s="669"/>
      <c r="AK108" s="669"/>
      <c r="AL108" s="669"/>
      <c r="AM108" s="245"/>
      <c r="AN108" s="669"/>
      <c r="AO108" s="670"/>
      <c r="AP108" s="670"/>
      <c r="AQ108" s="104" t="s">
        <v>369</v>
      </c>
    </row>
    <row r="109" spans="1:43" x14ac:dyDescent="0.3">
      <c r="A109" s="973"/>
      <c r="B109" s="971"/>
      <c r="C109" s="248">
        <v>6</v>
      </c>
      <c r="D109" s="248" t="s">
        <v>39</v>
      </c>
      <c r="E109" s="248">
        <v>2020</v>
      </c>
      <c r="F109" s="237" t="s">
        <v>19</v>
      </c>
      <c r="G109" s="671">
        <f t="shared" si="264"/>
        <v>1295.7450534057082</v>
      </c>
      <c r="H109" s="122">
        <f t="shared" si="246"/>
        <v>849.23831202941687</v>
      </c>
      <c r="I109" s="249">
        <f>460/1.1422</f>
        <v>402.73157065312552</v>
      </c>
      <c r="J109" s="249">
        <f>360/1.1422</f>
        <v>315.18122920679389</v>
      </c>
      <c r="K109" s="122">
        <f t="shared" si="247"/>
        <v>271.40605848362804</v>
      </c>
      <c r="L109" s="122">
        <f t="shared" si="265"/>
        <v>227.63088776046226</v>
      </c>
      <c r="M109" s="122">
        <f t="shared" si="256"/>
        <v>140.08054631413069</v>
      </c>
      <c r="N109" s="607">
        <f t="shared" si="266"/>
        <v>34.659087240163828</v>
      </c>
      <c r="O109" s="122">
        <f t="shared" si="267"/>
        <v>22.715753123620889</v>
      </c>
      <c r="P109" s="122">
        <f t="shared" si="268"/>
        <v>10.772419007077946</v>
      </c>
      <c r="Q109" s="122">
        <f t="shared" si="269"/>
        <v>8.4305887881479578</v>
      </c>
      <c r="R109" s="122">
        <f t="shared" si="270"/>
        <v>7.2596736786829634</v>
      </c>
      <c r="S109" s="122">
        <f t="shared" si="271"/>
        <v>6.08875856921797</v>
      </c>
      <c r="T109" s="303">
        <f t="shared" si="272"/>
        <v>3.7469283502879835</v>
      </c>
      <c r="U109" s="250"/>
      <c r="V109" s="248"/>
      <c r="W109" s="248"/>
      <c r="X109" s="248"/>
      <c r="Y109" s="248"/>
      <c r="Z109" s="248"/>
      <c r="AA109" s="36"/>
      <c r="AB109" s="248"/>
      <c r="AC109" s="248"/>
      <c r="AD109" s="248"/>
      <c r="AE109" s="248"/>
      <c r="AF109" s="248"/>
      <c r="AG109" s="248"/>
      <c r="AH109" s="248"/>
      <c r="AI109" s="672"/>
      <c r="AJ109" s="673"/>
      <c r="AK109" s="673"/>
      <c r="AL109" s="673"/>
      <c r="AM109" s="249"/>
      <c r="AN109" s="673"/>
      <c r="AO109" s="674"/>
      <c r="AP109" s="674"/>
      <c r="AQ109" s="104" t="s">
        <v>370</v>
      </c>
    </row>
    <row r="110" spans="1:43" x14ac:dyDescent="0.3">
      <c r="A110" s="973"/>
      <c r="B110" s="251" t="s">
        <v>267</v>
      </c>
      <c r="C110" s="252"/>
      <c r="D110" s="252"/>
      <c r="E110" s="252"/>
      <c r="F110" s="252"/>
      <c r="G110" s="253">
        <f t="shared" ref="G110:T110" si="273">MIN(G102:G109)</f>
        <v>437.75170723165814</v>
      </c>
      <c r="H110" s="254">
        <f t="shared" si="273"/>
        <v>376.25771539697297</v>
      </c>
      <c r="I110" s="254">
        <f t="shared" si="273"/>
        <v>194.4702798680984</v>
      </c>
      <c r="J110" s="254">
        <f t="shared" si="273"/>
        <v>175.1</v>
      </c>
      <c r="K110" s="254">
        <f t="shared" si="273"/>
        <v>175.1</v>
      </c>
      <c r="L110" s="254">
        <f t="shared" si="273"/>
        <v>175.1</v>
      </c>
      <c r="M110" s="254">
        <f t="shared" si="273"/>
        <v>140.08054631413069</v>
      </c>
      <c r="N110" s="253">
        <f t="shared" si="273"/>
        <v>11.70915109464994</v>
      </c>
      <c r="O110" s="254">
        <f t="shared" si="273"/>
        <v>10.064286140589461</v>
      </c>
      <c r="P110" s="254">
        <f t="shared" si="273"/>
        <v>5.2017658704170255</v>
      </c>
      <c r="Q110" s="254">
        <f t="shared" si="273"/>
        <v>4.6836421715842693</v>
      </c>
      <c r="R110" s="254">
        <f t="shared" si="273"/>
        <v>4.6836421715842693</v>
      </c>
      <c r="S110" s="254">
        <f t="shared" si="273"/>
        <v>4.6836421715842693</v>
      </c>
      <c r="T110" s="254">
        <f t="shared" si="273"/>
        <v>3.5</v>
      </c>
      <c r="U110" s="256"/>
      <c r="V110" s="252"/>
      <c r="W110" s="252"/>
      <c r="X110" s="252"/>
      <c r="Y110" s="252"/>
      <c r="Z110" s="252"/>
      <c r="AA110" s="259"/>
      <c r="AB110" s="252"/>
      <c r="AC110" s="252"/>
      <c r="AD110" s="252"/>
      <c r="AE110" s="252"/>
      <c r="AF110" s="252"/>
      <c r="AG110" s="252"/>
      <c r="AH110" s="252"/>
      <c r="AI110" s="675">
        <f t="shared" ref="AI110:AP110" si="274">MIN(AI102:AI109)</f>
        <v>64</v>
      </c>
      <c r="AJ110" s="257">
        <f t="shared" si="274"/>
        <v>66.5</v>
      </c>
      <c r="AK110" s="257">
        <f t="shared" si="274"/>
        <v>68</v>
      </c>
      <c r="AL110" s="257">
        <f t="shared" si="274"/>
        <v>71.5</v>
      </c>
      <c r="AM110" s="257">
        <f t="shared" si="274"/>
        <v>72.75</v>
      </c>
      <c r="AN110" s="257">
        <f t="shared" si="274"/>
        <v>74</v>
      </c>
      <c r="AO110" s="258">
        <f t="shared" si="274"/>
        <v>74</v>
      </c>
      <c r="AP110" s="258">
        <f t="shared" si="274"/>
        <v>25</v>
      </c>
      <c r="AQ110" s="104"/>
    </row>
    <row r="111" spans="1:43" x14ac:dyDescent="0.3">
      <c r="A111" s="973"/>
      <c r="B111" s="260" t="s">
        <v>268</v>
      </c>
      <c r="C111" s="261"/>
      <c r="D111" s="261"/>
      <c r="E111" s="261"/>
      <c r="F111" s="261"/>
      <c r="G111" s="262">
        <f t="shared" ref="G111:T111" si="275">MEDIAN(G102:G109)</f>
        <v>815.86412187007522</v>
      </c>
      <c r="H111" s="263">
        <f t="shared" si="275"/>
        <v>669.72946944493083</v>
      </c>
      <c r="I111" s="263">
        <f t="shared" si="275"/>
        <v>451.36578532656279</v>
      </c>
      <c r="J111" s="263">
        <f t="shared" si="275"/>
        <v>377.59061460339694</v>
      </c>
      <c r="K111" s="263">
        <f t="shared" si="275"/>
        <v>345.70302924181402</v>
      </c>
      <c r="L111" s="263">
        <f t="shared" si="275"/>
        <v>293.29364384521102</v>
      </c>
      <c r="M111" s="263">
        <f t="shared" si="275"/>
        <v>184.785</v>
      </c>
      <c r="N111" s="262">
        <f t="shared" si="275"/>
        <v>22.997289548478044</v>
      </c>
      <c r="O111" s="263">
        <f t="shared" si="275"/>
        <v>17.306309959532861</v>
      </c>
      <c r="P111" s="263">
        <f t="shared" si="275"/>
        <v>11.601533040462325</v>
      </c>
      <c r="Q111" s="263">
        <f t="shared" si="275"/>
        <v>9.3207387279753036</v>
      </c>
      <c r="R111" s="263">
        <f t="shared" si="275"/>
        <v>8.1803415717317947</v>
      </c>
      <c r="S111" s="263">
        <f t="shared" si="275"/>
        <v>7.039944415488284</v>
      </c>
      <c r="T111" s="263">
        <f t="shared" si="275"/>
        <v>4.9427002779908582</v>
      </c>
      <c r="U111" s="265"/>
      <c r="V111" s="1028"/>
      <c r="W111" s="1028"/>
      <c r="X111" s="1028"/>
      <c r="Y111" s="1028"/>
      <c r="Z111" s="1028"/>
      <c r="AA111" s="268"/>
      <c r="AB111" s="261"/>
      <c r="AC111" s="261"/>
      <c r="AD111" s="261"/>
      <c r="AE111" s="261"/>
      <c r="AF111" s="261"/>
      <c r="AG111" s="261"/>
      <c r="AH111" s="261"/>
      <c r="AI111" s="676">
        <f t="shared" ref="AI111:AP111" si="276">MEDIAN(AI102:AI109)</f>
        <v>66.5</v>
      </c>
      <c r="AJ111" s="266">
        <f t="shared" si="276"/>
        <v>67.25</v>
      </c>
      <c r="AK111" s="266">
        <f t="shared" si="276"/>
        <v>68</v>
      </c>
      <c r="AL111" s="266">
        <f t="shared" si="276"/>
        <v>71.5</v>
      </c>
      <c r="AM111" s="266">
        <f t="shared" si="276"/>
        <v>73.25</v>
      </c>
      <c r="AN111" s="266">
        <f t="shared" si="276"/>
        <v>75</v>
      </c>
      <c r="AO111" s="267">
        <f t="shared" si="276"/>
        <v>75</v>
      </c>
      <c r="AP111" s="267">
        <f t="shared" si="276"/>
        <v>25</v>
      </c>
      <c r="AQ111" s="104"/>
    </row>
    <row r="112" spans="1:43" x14ac:dyDescent="0.3">
      <c r="A112" s="974"/>
      <c r="B112" s="269" t="s">
        <v>269</v>
      </c>
      <c r="C112" s="274"/>
      <c r="D112" s="274"/>
      <c r="E112" s="274"/>
      <c r="F112" s="274"/>
      <c r="G112" s="270">
        <f t="shared" ref="G112:T112" si="277">MAX(G102:G109)</f>
        <v>1295.7450534057082</v>
      </c>
      <c r="H112" s="271">
        <f t="shared" si="277"/>
        <v>1019.9614778497635</v>
      </c>
      <c r="I112" s="271">
        <f t="shared" si="277"/>
        <v>744.17790229381887</v>
      </c>
      <c r="J112" s="271">
        <f t="shared" si="277"/>
        <v>551.5671511118893</v>
      </c>
      <c r="K112" s="271">
        <f t="shared" si="277"/>
        <v>455.26177552092452</v>
      </c>
      <c r="L112" s="271">
        <f t="shared" si="277"/>
        <v>400</v>
      </c>
      <c r="M112" s="271">
        <f t="shared" si="277"/>
        <v>360</v>
      </c>
      <c r="N112" s="270">
        <f t="shared" si="277"/>
        <v>42.797415616989326</v>
      </c>
      <c r="O112" s="271">
        <f t="shared" si="277"/>
        <v>34.772900188803831</v>
      </c>
      <c r="P112" s="271">
        <f t="shared" si="277"/>
        <v>26.748384760618329</v>
      </c>
      <c r="Q112" s="271">
        <f t="shared" si="277"/>
        <v>23.53857858934413</v>
      </c>
      <c r="R112" s="271">
        <f t="shared" si="277"/>
        <v>22.468643198919395</v>
      </c>
      <c r="S112" s="271">
        <f t="shared" si="277"/>
        <v>21.398707808494663</v>
      </c>
      <c r="T112" s="271">
        <f t="shared" si="277"/>
        <v>19.2588370276452</v>
      </c>
      <c r="U112" s="273"/>
      <c r="V112" s="274"/>
      <c r="W112" s="274"/>
      <c r="X112" s="274"/>
      <c r="Y112" s="274"/>
      <c r="Z112" s="274"/>
      <c r="AA112" s="277"/>
      <c r="AB112" s="274"/>
      <c r="AC112" s="274"/>
      <c r="AD112" s="274"/>
      <c r="AE112" s="274"/>
      <c r="AF112" s="274"/>
      <c r="AG112" s="274"/>
      <c r="AH112" s="274"/>
      <c r="AI112" s="677">
        <f t="shared" ref="AI112:AP112" si="278">MAX(AI102:AI109)</f>
        <v>66.5</v>
      </c>
      <c r="AJ112" s="275">
        <f t="shared" si="278"/>
        <v>67.25</v>
      </c>
      <c r="AK112" s="275">
        <f t="shared" si="278"/>
        <v>69</v>
      </c>
      <c r="AL112" s="275">
        <f t="shared" si="278"/>
        <v>71.5</v>
      </c>
      <c r="AM112" s="275">
        <f t="shared" si="278"/>
        <v>73.25</v>
      </c>
      <c r="AN112" s="275">
        <f t="shared" si="278"/>
        <v>75</v>
      </c>
      <c r="AO112" s="276">
        <f t="shared" si="278"/>
        <v>75</v>
      </c>
      <c r="AP112" s="276">
        <f t="shared" si="278"/>
        <v>25</v>
      </c>
      <c r="AQ112" s="104"/>
    </row>
    <row r="113" spans="1:47" x14ac:dyDescent="0.3">
      <c r="A113" s="678"/>
      <c r="B113" s="632"/>
      <c r="C113" s="439"/>
      <c r="D113" s="439"/>
      <c r="E113" s="439"/>
      <c r="F113" s="439"/>
      <c r="G113" s="440"/>
      <c r="H113" s="441"/>
      <c r="I113" s="441"/>
      <c r="J113" s="441"/>
      <c r="K113" s="441"/>
      <c r="L113" s="441"/>
      <c r="M113" s="441"/>
      <c r="N113" s="440"/>
      <c r="O113" s="441"/>
      <c r="P113" s="441"/>
      <c r="Q113" s="441"/>
      <c r="R113" s="441"/>
      <c r="S113" s="441"/>
      <c r="T113" s="441"/>
      <c r="U113" s="445"/>
      <c r="V113" s="1029"/>
      <c r="W113" s="1029"/>
      <c r="X113" s="1029"/>
      <c r="Y113" s="1029"/>
      <c r="Z113" s="1029"/>
      <c r="AA113" s="446"/>
      <c r="AB113" s="439"/>
      <c r="AC113" s="439"/>
      <c r="AD113" s="439"/>
      <c r="AE113" s="439"/>
      <c r="AF113" s="439"/>
      <c r="AG113" s="439"/>
      <c r="AH113" s="439"/>
      <c r="AI113" s="679"/>
      <c r="AJ113" s="680"/>
      <c r="AK113" s="680"/>
      <c r="AL113" s="680"/>
      <c r="AM113" s="680"/>
      <c r="AN113" s="680"/>
      <c r="AO113" s="681"/>
      <c r="AP113" s="681"/>
      <c r="AQ113" s="635"/>
    </row>
    <row r="114" spans="1:47" x14ac:dyDescent="0.3">
      <c r="A114" s="964" t="s">
        <v>130</v>
      </c>
      <c r="B114" s="854" t="s">
        <v>37</v>
      </c>
      <c r="C114" s="90">
        <v>7</v>
      </c>
      <c r="D114" s="90" t="s">
        <v>42</v>
      </c>
      <c r="E114" s="90">
        <v>2020</v>
      </c>
      <c r="F114" s="91" t="s">
        <v>19</v>
      </c>
      <c r="G114" s="447">
        <v>1610</v>
      </c>
      <c r="H114" s="93">
        <f t="shared" ref="H114:H118" si="279">G114+((I114-G114)/(2030-2020))*(2025-2020)</f>
        <v>1413</v>
      </c>
      <c r="I114" s="94">
        <v>1216</v>
      </c>
      <c r="J114" s="94">
        <v>952</v>
      </c>
      <c r="K114" s="93">
        <f t="shared" ref="K114:K118" si="280">J114+((L114-J114)/(2050-2040))*(2045-2040)</f>
        <v>872.5</v>
      </c>
      <c r="L114" s="94">
        <v>793</v>
      </c>
      <c r="M114" s="95">
        <f>K114+((L114-K114)/(2050-2045))*(2060-2045)</f>
        <v>634</v>
      </c>
      <c r="N114" s="447">
        <f>G114*0.04*$AU$8</f>
        <v>37.542988084918761</v>
      </c>
      <c r="O114" s="93">
        <f t="shared" ref="O114:O115" si="281">N114+((P114-N114)/(2030-2020))*(2025-2020)</f>
        <v>32.949218735397643</v>
      </c>
      <c r="P114" s="94">
        <f>I114*0.04*$AU$8</f>
        <v>28.355449385876526</v>
      </c>
      <c r="Q114" s="94">
        <f>J114*0.04*$AU$8</f>
        <v>22.199332084995437</v>
      </c>
      <c r="R114" s="93">
        <f t="shared" ref="R114:R115" si="282">Q114+((S114-Q114)/(2050-2040))*(2045-2040)</f>
        <v>20.345501306889201</v>
      </c>
      <c r="S114" s="94">
        <f>L114*0.04*$AU$8</f>
        <v>18.491670528782965</v>
      </c>
      <c r="T114" s="95">
        <f>R114+((S114-R114)/(2050-2045))*(2060-2045)</f>
        <v>14.784008972570494</v>
      </c>
      <c r="U114" s="96"/>
      <c r="V114" s="97"/>
      <c r="W114" s="97"/>
      <c r="X114" s="97"/>
      <c r="Y114" s="97"/>
      <c r="Z114" s="97"/>
      <c r="AA114" s="43"/>
      <c r="AB114" s="97"/>
      <c r="AC114" s="97"/>
      <c r="AD114" s="97"/>
      <c r="AE114" s="97"/>
      <c r="AF114" s="97"/>
      <c r="AG114" s="97"/>
      <c r="AH114" s="97"/>
      <c r="AI114" s="636">
        <v>71</v>
      </c>
      <c r="AJ114" s="101">
        <f t="shared" ref="AJ114:AJ118" si="283">AI114+((AK114-AI114)/(2030-2020))*(2025-2020)</f>
        <v>71</v>
      </c>
      <c r="AK114" s="102">
        <v>71</v>
      </c>
      <c r="AL114" s="102">
        <v>72</v>
      </c>
      <c r="AM114" s="101">
        <f t="shared" ref="AM114:AM118" si="284">AL114+((AN114-AL114)/(2050-2040))*(2045-2040)</f>
        <v>72.5</v>
      </c>
      <c r="AN114" s="102">
        <v>73</v>
      </c>
      <c r="AO114" s="103">
        <v>73</v>
      </c>
      <c r="AP114" s="43">
        <v>25</v>
      </c>
      <c r="AQ114" s="104"/>
    </row>
    <row r="115" spans="1:47" x14ac:dyDescent="0.3">
      <c r="A115" s="965"/>
      <c r="B115" s="855"/>
      <c r="C115" s="105">
        <v>9</v>
      </c>
      <c r="D115" s="105" t="s">
        <v>50</v>
      </c>
      <c r="E115" s="105">
        <v>2021</v>
      </c>
      <c r="F115" s="91" t="s">
        <v>19</v>
      </c>
      <c r="G115" s="113">
        <f>1150</f>
        <v>1150</v>
      </c>
      <c r="H115" s="107">
        <f t="shared" si="279"/>
        <v>1025</v>
      </c>
      <c r="I115" s="107">
        <f>G115+((L115-G115)/(2050-2020))*(2030-2020)</f>
        <v>900</v>
      </c>
      <c r="J115" s="107">
        <f t="shared" ref="J115:J118" si="285">I115+((L115-I115)/(2050-2030))*(2040-2030)</f>
        <v>650</v>
      </c>
      <c r="K115" s="107">
        <f t="shared" si="280"/>
        <v>525</v>
      </c>
      <c r="L115" s="108">
        <f>400</f>
        <v>400</v>
      </c>
      <c r="M115" s="107">
        <v>400</v>
      </c>
      <c r="N115" s="113">
        <f>28.8*$AU$8</f>
        <v>16.789410820584784</v>
      </c>
      <c r="O115" s="107">
        <f t="shared" si="281"/>
        <v>14.9627851063082</v>
      </c>
      <c r="P115" s="107">
        <f>N115+((S115-N115)/(2050-2020))*(2030-2020)</f>
        <v>13.136159392031614</v>
      </c>
      <c r="Q115" s="107">
        <f>P115+((S115-P115)/(2050-2030))*(2040-2030)</f>
        <v>9.4829079634784428</v>
      </c>
      <c r="R115" s="107">
        <f t="shared" si="282"/>
        <v>7.6562822492018583</v>
      </c>
      <c r="S115" s="108">
        <f>10*$AU$8</f>
        <v>5.8296565349252729</v>
      </c>
      <c r="T115" s="107">
        <v>10</v>
      </c>
      <c r="U115" s="110"/>
      <c r="V115" s="1020"/>
      <c r="W115" s="1020"/>
      <c r="X115" s="1020"/>
      <c r="Y115" s="1020"/>
      <c r="Z115" s="1020"/>
      <c r="AA115" s="46"/>
      <c r="AB115" s="111"/>
      <c r="AC115" s="111"/>
      <c r="AD115" s="111"/>
      <c r="AE115" s="111"/>
      <c r="AF115" s="111"/>
      <c r="AG115" s="111"/>
      <c r="AH115" s="111"/>
      <c r="AI115" s="637">
        <f>33.33/48.7*100</f>
        <v>68.439425051334695</v>
      </c>
      <c r="AJ115" s="378">
        <f t="shared" si="283"/>
        <v>71.501591720298222</v>
      </c>
      <c r="AK115" s="117">
        <f>33.33/44.7*100</f>
        <v>74.563758389261736</v>
      </c>
      <c r="AL115" s="378">
        <f t="shared" ref="AL115:AL118" si="286">AK115+((AN115-AK115)/(2050-2030))*(2040-2030)</f>
        <v>77.632968783008593</v>
      </c>
      <c r="AM115" s="378">
        <f t="shared" si="284"/>
        <v>79.167573979882022</v>
      </c>
      <c r="AN115" s="117">
        <f>33.33/41.3*100</f>
        <v>80.70217917675545</v>
      </c>
      <c r="AO115" s="118">
        <v>81</v>
      </c>
      <c r="AP115" s="46"/>
      <c r="AQ115" s="104" t="s">
        <v>351</v>
      </c>
    </row>
    <row r="116" spans="1:47" x14ac:dyDescent="0.3">
      <c r="A116" s="965"/>
      <c r="B116" s="855"/>
      <c r="C116" s="105">
        <v>10</v>
      </c>
      <c r="D116" s="105" t="s">
        <v>55</v>
      </c>
      <c r="E116" s="105">
        <v>2018</v>
      </c>
      <c r="F116" s="91" t="s">
        <v>19</v>
      </c>
      <c r="G116" s="113">
        <f>656</f>
        <v>656</v>
      </c>
      <c r="H116" s="107">
        <f t="shared" si="279"/>
        <v>549</v>
      </c>
      <c r="I116" s="108">
        <f>442</f>
        <v>442</v>
      </c>
      <c r="J116" s="107">
        <f t="shared" si="285"/>
        <v>321</v>
      </c>
      <c r="K116" s="107">
        <f t="shared" si="280"/>
        <v>260.5</v>
      </c>
      <c r="L116" s="108">
        <f>200</f>
        <v>200</v>
      </c>
      <c r="M116" s="107">
        <v>200</v>
      </c>
      <c r="N116" s="106">
        <f t="shared" ref="N116:N118" si="287">G116*0.02*$AU$8</f>
        <v>7.6485093738219581</v>
      </c>
      <c r="O116" s="107">
        <f>H116*0.02*$AU$8</f>
        <v>6.4009628753479495</v>
      </c>
      <c r="P116" s="107">
        <f>I116*0.02*$AU$8</f>
        <v>5.1534163768739409</v>
      </c>
      <c r="Q116" s="107">
        <f>J116*0.02*$AU$8</f>
        <v>3.7426394954220252</v>
      </c>
      <c r="R116" s="107">
        <f>K116*0.02*$AU$8</f>
        <v>3.0372510546960672</v>
      </c>
      <c r="S116" s="107">
        <f>L116*0.02*$AU$8</f>
        <v>2.3318626139701091</v>
      </c>
      <c r="T116" s="107">
        <f>M116*0.02*$AU$8</f>
        <v>2.3318626139701091</v>
      </c>
      <c r="U116" s="110"/>
      <c r="V116" s="1020"/>
      <c r="W116" s="1020"/>
      <c r="X116" s="1020"/>
      <c r="Y116" s="1020"/>
      <c r="Z116" s="1020"/>
      <c r="AA116" s="46"/>
      <c r="AB116" s="111"/>
      <c r="AC116" s="111"/>
      <c r="AD116" s="111"/>
      <c r="AE116" s="111"/>
      <c r="AF116" s="111"/>
      <c r="AG116" s="111"/>
      <c r="AH116" s="111"/>
      <c r="AI116" s="637">
        <f>67</f>
        <v>67</v>
      </c>
      <c r="AJ116" s="378">
        <f t="shared" si="283"/>
        <v>69</v>
      </c>
      <c r="AK116" s="117">
        <v>71</v>
      </c>
      <c r="AL116" s="378">
        <f t="shared" si="286"/>
        <v>75.5</v>
      </c>
      <c r="AM116" s="378">
        <f t="shared" si="284"/>
        <v>77.75</v>
      </c>
      <c r="AN116" s="117">
        <v>80</v>
      </c>
      <c r="AO116" s="118">
        <v>80</v>
      </c>
      <c r="AP116" s="46"/>
      <c r="AQ116" s="104" t="s">
        <v>352</v>
      </c>
    </row>
    <row r="117" spans="1:47" x14ac:dyDescent="0.3">
      <c r="A117" s="965"/>
      <c r="B117" s="855"/>
      <c r="C117" s="105">
        <v>10</v>
      </c>
      <c r="D117" s="105" t="s">
        <v>55</v>
      </c>
      <c r="E117" s="105">
        <v>2018</v>
      </c>
      <c r="F117" s="91" t="s">
        <v>19</v>
      </c>
      <c r="G117" s="113">
        <f>737</f>
        <v>737</v>
      </c>
      <c r="H117" s="107">
        <f t="shared" si="279"/>
        <v>681</v>
      </c>
      <c r="I117" s="108">
        <f>625</f>
        <v>625</v>
      </c>
      <c r="J117" s="107">
        <f t="shared" si="285"/>
        <v>537.5</v>
      </c>
      <c r="K117" s="107">
        <f t="shared" si="280"/>
        <v>493.75</v>
      </c>
      <c r="L117" s="108">
        <f>450</f>
        <v>450</v>
      </c>
      <c r="M117" s="107">
        <f t="shared" ref="M117:M118" si="288">K117+((L117-K117)/(2050-2045))*(2060-2045)</f>
        <v>362.5</v>
      </c>
      <c r="N117" s="106">
        <f t="shared" si="287"/>
        <v>8.5929137324798521</v>
      </c>
      <c r="O117" s="107">
        <f>H117*0.02*$AU$8</f>
        <v>7.9399922005682217</v>
      </c>
      <c r="P117" s="107">
        <f t="shared" ref="P117:P118" si="289">I117*0.02*$AU$8</f>
        <v>7.2870706686565905</v>
      </c>
      <c r="Q117" s="107">
        <f t="shared" ref="Q117:Q118" si="290">J117*0.02*$AU$8</f>
        <v>6.266880775044668</v>
      </c>
      <c r="R117" s="107">
        <f t="shared" ref="R117:R118" si="291">K117*0.02*$AU$8</f>
        <v>5.7567858282387068</v>
      </c>
      <c r="S117" s="107">
        <f t="shared" ref="S117:S118" si="292">L117*0.02*$AU$8</f>
        <v>5.2466908814327455</v>
      </c>
      <c r="T117" s="107">
        <f t="shared" ref="T117:T118" si="293">M117*0.02*$AU$8</f>
        <v>4.2265009878208231</v>
      </c>
      <c r="U117" s="110"/>
      <c r="V117" s="1020"/>
      <c r="W117" s="1020"/>
      <c r="X117" s="1020"/>
      <c r="Y117" s="1020"/>
      <c r="Z117" s="1020"/>
      <c r="AA117" s="46"/>
      <c r="AB117" s="111"/>
      <c r="AC117" s="111"/>
      <c r="AD117" s="111"/>
      <c r="AE117" s="111"/>
      <c r="AF117" s="111"/>
      <c r="AG117" s="111"/>
      <c r="AH117" s="111"/>
      <c r="AI117" s="637">
        <v>67</v>
      </c>
      <c r="AJ117" s="378">
        <f t="shared" si="283"/>
        <v>69</v>
      </c>
      <c r="AK117" s="117">
        <v>71</v>
      </c>
      <c r="AL117" s="378">
        <f t="shared" si="286"/>
        <v>75.5</v>
      </c>
      <c r="AM117" s="378">
        <f t="shared" si="284"/>
        <v>77.75</v>
      </c>
      <c r="AN117" s="117">
        <v>80</v>
      </c>
      <c r="AO117" s="118">
        <v>80</v>
      </c>
      <c r="AP117" s="46"/>
      <c r="AQ117" s="104" t="s">
        <v>353</v>
      </c>
      <c r="AU117" s="76"/>
    </row>
    <row r="118" spans="1:47" x14ac:dyDescent="0.3">
      <c r="A118" s="965"/>
      <c r="B118" s="918"/>
      <c r="C118" s="120">
        <v>10</v>
      </c>
      <c r="D118" s="120" t="s">
        <v>55</v>
      </c>
      <c r="E118" s="120">
        <v>2018</v>
      </c>
      <c r="F118" s="91" t="s">
        <v>19</v>
      </c>
      <c r="G118" s="587">
        <f>768</f>
        <v>768</v>
      </c>
      <c r="H118" s="122">
        <f t="shared" si="279"/>
        <v>737.5</v>
      </c>
      <c r="I118" s="121">
        <f>707</f>
        <v>707</v>
      </c>
      <c r="J118" s="122">
        <f t="shared" si="285"/>
        <v>653.5</v>
      </c>
      <c r="K118" s="122">
        <f t="shared" si="280"/>
        <v>626.75</v>
      </c>
      <c r="L118" s="121">
        <f>600</f>
        <v>600</v>
      </c>
      <c r="M118" s="122">
        <f t="shared" si="288"/>
        <v>546.5</v>
      </c>
      <c r="N118" s="106">
        <f t="shared" si="287"/>
        <v>8.9543524376452179</v>
      </c>
      <c r="O118" s="107">
        <f>H118*0.02*$AU$8</f>
        <v>8.5987433890147766</v>
      </c>
      <c r="P118" s="107">
        <f t="shared" si="289"/>
        <v>8.2431343403843353</v>
      </c>
      <c r="Q118" s="107">
        <f t="shared" si="290"/>
        <v>7.619361091147332</v>
      </c>
      <c r="R118" s="107">
        <f t="shared" si="291"/>
        <v>7.3074744665288298</v>
      </c>
      <c r="S118" s="107">
        <f t="shared" si="292"/>
        <v>6.9955878419103268</v>
      </c>
      <c r="T118" s="107">
        <f t="shared" si="293"/>
        <v>6.3718145926733225</v>
      </c>
      <c r="U118" s="123"/>
      <c r="V118" s="124"/>
      <c r="W118" s="124"/>
      <c r="X118" s="124"/>
      <c r="Y118" s="124"/>
      <c r="Z118" s="124"/>
      <c r="AA118" s="51"/>
      <c r="AB118" s="124"/>
      <c r="AC118" s="124"/>
      <c r="AD118" s="124"/>
      <c r="AE118" s="124"/>
      <c r="AF118" s="124"/>
      <c r="AG118" s="124"/>
      <c r="AH118" s="124"/>
      <c r="AI118" s="638">
        <v>67</v>
      </c>
      <c r="AJ118" s="386">
        <f t="shared" si="283"/>
        <v>69</v>
      </c>
      <c r="AK118" s="639">
        <v>71</v>
      </c>
      <c r="AL118" s="386">
        <f t="shared" si="286"/>
        <v>75.5</v>
      </c>
      <c r="AM118" s="386">
        <f t="shared" si="284"/>
        <v>77.75</v>
      </c>
      <c r="AN118" s="639">
        <v>80</v>
      </c>
      <c r="AO118" s="584">
        <v>80</v>
      </c>
      <c r="AP118" s="51"/>
      <c r="AQ118" s="104" t="s">
        <v>354</v>
      </c>
      <c r="AU118" s="76"/>
    </row>
    <row r="119" spans="1:47" x14ac:dyDescent="0.3">
      <c r="A119" s="965"/>
      <c r="B119" s="125" t="s">
        <v>267</v>
      </c>
      <c r="C119" s="126"/>
      <c r="D119" s="126"/>
      <c r="E119" s="126"/>
      <c r="F119" s="126"/>
      <c r="G119" s="127">
        <f>MIN(G114:G118)</f>
        <v>656</v>
      </c>
      <c r="H119" s="128">
        <f t="shared" ref="H119:T119" si="294">MIN(H114:H118)</f>
        <v>549</v>
      </c>
      <c r="I119" s="128">
        <f t="shared" si="294"/>
        <v>442</v>
      </c>
      <c r="J119" s="128">
        <f t="shared" si="294"/>
        <v>321</v>
      </c>
      <c r="K119" s="128">
        <f t="shared" si="294"/>
        <v>260.5</v>
      </c>
      <c r="L119" s="128">
        <f t="shared" si="294"/>
        <v>200</v>
      </c>
      <c r="M119" s="128">
        <f t="shared" si="294"/>
        <v>200</v>
      </c>
      <c r="N119" s="127">
        <f t="shared" si="294"/>
        <v>7.6485093738219581</v>
      </c>
      <c r="O119" s="128">
        <f t="shared" si="294"/>
        <v>6.4009628753479495</v>
      </c>
      <c r="P119" s="128">
        <f t="shared" si="294"/>
        <v>5.1534163768739409</v>
      </c>
      <c r="Q119" s="128">
        <f t="shared" si="294"/>
        <v>3.7426394954220252</v>
      </c>
      <c r="R119" s="128">
        <f t="shared" si="294"/>
        <v>3.0372510546960672</v>
      </c>
      <c r="S119" s="128">
        <f t="shared" si="294"/>
        <v>2.3318626139701091</v>
      </c>
      <c r="T119" s="456">
        <f t="shared" si="294"/>
        <v>2.3318626139701091</v>
      </c>
      <c r="U119" s="131"/>
      <c r="V119" s="126"/>
      <c r="W119" s="126"/>
      <c r="X119" s="126"/>
      <c r="Y119" s="126"/>
      <c r="Z119" s="126"/>
      <c r="AA119" s="132"/>
      <c r="AB119" s="126"/>
      <c r="AC119" s="126"/>
      <c r="AD119" s="126"/>
      <c r="AE119" s="126"/>
      <c r="AF119" s="126"/>
      <c r="AG119" s="126"/>
      <c r="AH119" s="126"/>
      <c r="AI119" s="640">
        <f t="shared" ref="AI119:AP119" si="295">MIN(AI114:AI118)</f>
        <v>67</v>
      </c>
      <c r="AJ119" s="641">
        <f t="shared" si="295"/>
        <v>69</v>
      </c>
      <c r="AK119" s="641">
        <f t="shared" si="295"/>
        <v>71</v>
      </c>
      <c r="AL119" s="641">
        <f t="shared" si="295"/>
        <v>72</v>
      </c>
      <c r="AM119" s="641">
        <f t="shared" si="295"/>
        <v>72.5</v>
      </c>
      <c r="AN119" s="641">
        <f t="shared" si="295"/>
        <v>73</v>
      </c>
      <c r="AO119" s="642">
        <f t="shared" si="295"/>
        <v>73</v>
      </c>
      <c r="AP119" s="132">
        <f t="shared" si="295"/>
        <v>25</v>
      </c>
      <c r="AQ119" s="104"/>
      <c r="AU119" s="76"/>
    </row>
    <row r="120" spans="1:47" x14ac:dyDescent="0.3">
      <c r="A120" s="965"/>
      <c r="B120" s="133" t="s">
        <v>268</v>
      </c>
      <c r="C120" s="134"/>
      <c r="D120" s="134"/>
      <c r="E120" s="134"/>
      <c r="F120" s="134"/>
      <c r="G120" s="135">
        <f>MEDIAN(G114:G118)</f>
        <v>768</v>
      </c>
      <c r="H120" s="136">
        <f t="shared" ref="H120:T120" si="296">MEDIAN(H114:H118)</f>
        <v>737.5</v>
      </c>
      <c r="I120" s="136">
        <f t="shared" si="296"/>
        <v>707</v>
      </c>
      <c r="J120" s="136">
        <f t="shared" si="296"/>
        <v>650</v>
      </c>
      <c r="K120" s="136">
        <f t="shared" si="296"/>
        <v>525</v>
      </c>
      <c r="L120" s="136">
        <f t="shared" si="296"/>
        <v>450</v>
      </c>
      <c r="M120" s="136">
        <f t="shared" si="296"/>
        <v>400</v>
      </c>
      <c r="N120" s="135">
        <f t="shared" si="296"/>
        <v>8.9543524376452179</v>
      </c>
      <c r="O120" s="136">
        <f t="shared" si="296"/>
        <v>8.5987433890147766</v>
      </c>
      <c r="P120" s="136">
        <f t="shared" si="296"/>
        <v>8.2431343403843353</v>
      </c>
      <c r="Q120" s="136">
        <f t="shared" si="296"/>
        <v>7.619361091147332</v>
      </c>
      <c r="R120" s="136">
        <f t="shared" si="296"/>
        <v>7.3074744665288298</v>
      </c>
      <c r="S120" s="136">
        <f t="shared" si="296"/>
        <v>5.8296565349252729</v>
      </c>
      <c r="T120" s="459">
        <f t="shared" si="296"/>
        <v>6.3718145926733225</v>
      </c>
      <c r="U120" s="139"/>
      <c r="V120" s="1021"/>
      <c r="W120" s="1021"/>
      <c r="X120" s="1021"/>
      <c r="Y120" s="1021"/>
      <c r="Z120" s="1021"/>
      <c r="AA120" s="140"/>
      <c r="AB120" s="134"/>
      <c r="AC120" s="134"/>
      <c r="AD120" s="134"/>
      <c r="AE120" s="134"/>
      <c r="AF120" s="134"/>
      <c r="AG120" s="134"/>
      <c r="AH120" s="134"/>
      <c r="AI120" s="643">
        <f t="shared" ref="AI120:AP120" si="297">MEDIAN(AI114:AI118)</f>
        <v>67</v>
      </c>
      <c r="AJ120" s="644">
        <f t="shared" si="297"/>
        <v>69</v>
      </c>
      <c r="AK120" s="644">
        <f t="shared" si="297"/>
        <v>71</v>
      </c>
      <c r="AL120" s="644">
        <f t="shared" si="297"/>
        <v>75.5</v>
      </c>
      <c r="AM120" s="644">
        <f t="shared" si="297"/>
        <v>77.75</v>
      </c>
      <c r="AN120" s="644">
        <f t="shared" si="297"/>
        <v>80</v>
      </c>
      <c r="AO120" s="645">
        <f t="shared" si="297"/>
        <v>80</v>
      </c>
      <c r="AP120" s="140">
        <f t="shared" si="297"/>
        <v>25</v>
      </c>
      <c r="AQ120" s="104"/>
    </row>
    <row r="121" spans="1:47" x14ac:dyDescent="0.3">
      <c r="A121" s="965"/>
      <c r="B121" s="141" t="s">
        <v>269</v>
      </c>
      <c r="C121" s="142"/>
      <c r="D121" s="142"/>
      <c r="E121" s="142"/>
      <c r="F121" s="142"/>
      <c r="G121" s="591">
        <f>MAX(G114:G118)</f>
        <v>1610</v>
      </c>
      <c r="H121" s="143">
        <f t="shared" ref="H121:T121" si="298">MAX(H114:H118)</f>
        <v>1413</v>
      </c>
      <c r="I121" s="143">
        <f t="shared" si="298"/>
        <v>1216</v>
      </c>
      <c r="J121" s="143">
        <f t="shared" si="298"/>
        <v>952</v>
      </c>
      <c r="K121" s="143">
        <f t="shared" si="298"/>
        <v>872.5</v>
      </c>
      <c r="L121" s="143">
        <f t="shared" si="298"/>
        <v>793</v>
      </c>
      <c r="M121" s="143">
        <f t="shared" si="298"/>
        <v>634</v>
      </c>
      <c r="N121" s="591">
        <f t="shared" si="298"/>
        <v>37.542988084918761</v>
      </c>
      <c r="O121" s="143">
        <f t="shared" si="298"/>
        <v>32.949218735397643</v>
      </c>
      <c r="P121" s="143">
        <f t="shared" si="298"/>
        <v>28.355449385876526</v>
      </c>
      <c r="Q121" s="143">
        <f t="shared" si="298"/>
        <v>22.199332084995437</v>
      </c>
      <c r="R121" s="143">
        <f t="shared" si="298"/>
        <v>20.345501306889201</v>
      </c>
      <c r="S121" s="143">
        <f t="shared" si="298"/>
        <v>18.491670528782965</v>
      </c>
      <c r="T121" s="592">
        <f t="shared" si="298"/>
        <v>14.784008972570494</v>
      </c>
      <c r="U121" s="145"/>
      <c r="V121" s="142"/>
      <c r="W121" s="142"/>
      <c r="X121" s="142"/>
      <c r="Y121" s="142"/>
      <c r="Z121" s="142"/>
      <c r="AA121" s="146"/>
      <c r="AB121" s="142"/>
      <c r="AC121" s="142"/>
      <c r="AD121" s="142"/>
      <c r="AE121" s="142"/>
      <c r="AF121" s="142"/>
      <c r="AG121" s="142"/>
      <c r="AH121" s="142"/>
      <c r="AI121" s="646">
        <f t="shared" ref="AI121:AP121" si="299">MAX(AI114:AI118)</f>
        <v>71</v>
      </c>
      <c r="AJ121" s="647">
        <f t="shared" si="299"/>
        <v>71.501591720298222</v>
      </c>
      <c r="AK121" s="647">
        <f t="shared" si="299"/>
        <v>74.563758389261736</v>
      </c>
      <c r="AL121" s="647">
        <f t="shared" si="299"/>
        <v>77.632968783008593</v>
      </c>
      <c r="AM121" s="647">
        <f t="shared" si="299"/>
        <v>79.167573979882022</v>
      </c>
      <c r="AN121" s="647">
        <f t="shared" si="299"/>
        <v>80.70217917675545</v>
      </c>
      <c r="AO121" s="648">
        <f t="shared" si="299"/>
        <v>81</v>
      </c>
      <c r="AP121" s="146">
        <f t="shared" si="299"/>
        <v>25</v>
      </c>
      <c r="AQ121" s="104"/>
    </row>
    <row r="122" spans="1:47" x14ac:dyDescent="0.3">
      <c r="A122" s="965"/>
      <c r="B122" s="967" t="s">
        <v>41</v>
      </c>
      <c r="C122" s="279">
        <v>7</v>
      </c>
      <c r="D122" s="279" t="s">
        <v>42</v>
      </c>
      <c r="E122" s="279">
        <v>2020</v>
      </c>
      <c r="F122" s="507" t="s">
        <v>19</v>
      </c>
      <c r="G122" s="508">
        <v>878</v>
      </c>
      <c r="H122" s="93">
        <f>G122+((I122-G122)/(2030-2020))*(2025-2020)</f>
        <v>797.5</v>
      </c>
      <c r="I122" s="281">
        <v>717</v>
      </c>
      <c r="J122" s="281">
        <v>594</v>
      </c>
      <c r="K122" s="93">
        <f>J122+((L122-J122)/(2050-2040))*(2045-2040)</f>
        <v>553</v>
      </c>
      <c r="L122" s="281">
        <v>512</v>
      </c>
      <c r="M122" s="95">
        <f t="shared" ref="M122:M126" si="300">K122+((L122-K122)/(2050-2045))*(2060-2045)</f>
        <v>430</v>
      </c>
      <c r="N122" s="510">
        <f>G122*0.04*$AU$8</f>
        <v>20.473753750657558</v>
      </c>
      <c r="O122" s="107">
        <f>N122+((P122-N122)/(2030-2020))*(2025-2020)</f>
        <v>18.59660434641162</v>
      </c>
      <c r="P122" s="282">
        <f>I122*0.04*$AU$8</f>
        <v>16.719454942165683</v>
      </c>
      <c r="Q122" s="282">
        <f>J122*0.04*$AU$8</f>
        <v>13.851263926982449</v>
      </c>
      <c r="R122" s="93">
        <f>Q122+((S122-Q122)/(2050-2040))*(2045-2040)</f>
        <v>12.895200255254704</v>
      </c>
      <c r="S122" s="282">
        <f>L122*0.04*$AU$8</f>
        <v>11.93913658352696</v>
      </c>
      <c r="T122" s="95">
        <f t="shared" ref="T122:T123" si="301">R122+((S122-R122)/(2050-2045))*(2060-2045)</f>
        <v>10.027009240071472</v>
      </c>
      <c r="U122" s="278"/>
      <c r="V122" s="279"/>
      <c r="W122" s="279"/>
      <c r="X122" s="279"/>
      <c r="Y122" s="279"/>
      <c r="Z122" s="279"/>
      <c r="AA122" s="7"/>
      <c r="AB122" s="279"/>
      <c r="AC122" s="279"/>
      <c r="AD122" s="279"/>
      <c r="AE122" s="279"/>
      <c r="AF122" s="279"/>
      <c r="AG122" s="279"/>
      <c r="AH122" s="279"/>
      <c r="AI122" s="649">
        <v>68</v>
      </c>
      <c r="AJ122" s="101">
        <f>AI122+((AK122-AI122)/(2030-2020))*(2025-2020)</f>
        <v>68</v>
      </c>
      <c r="AK122" s="625">
        <v>68</v>
      </c>
      <c r="AL122" s="625">
        <v>69</v>
      </c>
      <c r="AM122" s="101">
        <f t="shared" ref="AM122:AM126" si="302">AL122+((AN122-AL122)/(2050-2040))*(2045-2040)</f>
        <v>69.5</v>
      </c>
      <c r="AN122" s="625">
        <v>70</v>
      </c>
      <c r="AO122" s="103">
        <v>70</v>
      </c>
      <c r="AP122" s="7">
        <v>25</v>
      </c>
      <c r="AQ122" s="104"/>
    </row>
    <row r="123" spans="1:47" x14ac:dyDescent="0.3">
      <c r="A123" s="965"/>
      <c r="B123" s="955"/>
      <c r="C123" s="290">
        <v>4</v>
      </c>
      <c r="D123" s="290" t="s">
        <v>31</v>
      </c>
      <c r="E123" s="290">
        <v>2022</v>
      </c>
      <c r="F123" s="507" t="s">
        <v>19</v>
      </c>
      <c r="G123" s="510">
        <v>650</v>
      </c>
      <c r="H123" s="282">
        <f>550</f>
        <v>550</v>
      </c>
      <c r="I123" s="282">
        <f>450</f>
        <v>450</v>
      </c>
      <c r="J123" s="282">
        <f>300</f>
        <v>300</v>
      </c>
      <c r="K123" s="282">
        <v>275</v>
      </c>
      <c r="L123" s="282">
        <f>250</f>
        <v>250</v>
      </c>
      <c r="M123" s="107">
        <f t="shared" si="300"/>
        <v>200</v>
      </c>
      <c r="N123" s="510">
        <f>G123*0.02*$AU$8</f>
        <v>7.5785534954028542</v>
      </c>
      <c r="O123" s="282">
        <f>H123*0.02*$AU$8</f>
        <v>6.4126221884178003</v>
      </c>
      <c r="P123" s="282">
        <f>I123*0.02*$AU$8</f>
        <v>5.2466908814327455</v>
      </c>
      <c r="Q123" s="282">
        <f>J123*0.02*$AU$8</f>
        <v>3.4977939209551634</v>
      </c>
      <c r="R123" s="282">
        <f>K123*0.02*$AU$8</f>
        <v>3.2063110942089001</v>
      </c>
      <c r="S123" s="282">
        <f>L123*0.02*$AU$8</f>
        <v>2.9148282674626365</v>
      </c>
      <c r="T123" s="109">
        <f t="shared" si="301"/>
        <v>2.3318626139701091</v>
      </c>
      <c r="U123" s="289"/>
      <c r="V123" s="1022"/>
      <c r="W123" s="1022"/>
      <c r="X123" s="1022"/>
      <c r="Y123" s="1022"/>
      <c r="Z123" s="1022"/>
      <c r="AA123" s="11"/>
      <c r="AB123" s="290"/>
      <c r="AC123" s="290"/>
      <c r="AD123" s="290"/>
      <c r="AE123" s="290"/>
      <c r="AF123" s="290"/>
      <c r="AG123" s="290"/>
      <c r="AH123" s="290"/>
      <c r="AI123" s="650">
        <v>66</v>
      </c>
      <c r="AJ123" s="288">
        <v>67</v>
      </c>
      <c r="AK123" s="288">
        <v>68</v>
      </c>
      <c r="AL123" s="288">
        <v>72</v>
      </c>
      <c r="AM123" s="288">
        <f t="shared" si="302"/>
        <v>73.5</v>
      </c>
      <c r="AN123" s="288">
        <v>75</v>
      </c>
      <c r="AO123" s="118">
        <v>75</v>
      </c>
      <c r="AP123" s="511">
        <v>25</v>
      </c>
      <c r="AQ123" t="s">
        <v>355</v>
      </c>
    </row>
    <row r="124" spans="1:47" x14ac:dyDescent="0.3">
      <c r="A124" s="965"/>
      <c r="B124" s="955"/>
      <c r="C124" s="626">
        <v>10</v>
      </c>
      <c r="D124" s="626" t="s">
        <v>55</v>
      </c>
      <c r="E124" s="626">
        <v>2018</v>
      </c>
      <c r="F124" s="507" t="s">
        <v>19</v>
      </c>
      <c r="G124" s="510">
        <f>656</f>
        <v>656</v>
      </c>
      <c r="H124" s="107">
        <f t="shared" ref="H124:H126" si="303">G124+((I124-G124)/(2030-2020))*(2025-2020)</f>
        <v>549</v>
      </c>
      <c r="I124" s="282">
        <f>442</f>
        <v>442</v>
      </c>
      <c r="J124" s="107">
        <f t="shared" ref="J124:J126" si="304">I124+((L124-I124)/(2050-2030))*(2040-2030)</f>
        <v>321</v>
      </c>
      <c r="K124" s="107">
        <f t="shared" ref="K124:K126" si="305">J124+((L124-J124)/(2050-2040))*(2045-2040)</f>
        <v>260.5</v>
      </c>
      <c r="L124" s="282">
        <f>200</f>
        <v>200</v>
      </c>
      <c r="M124" s="107">
        <v>200</v>
      </c>
      <c r="N124" s="106">
        <f>G124*0.02*$AU$8</f>
        <v>7.6485093738219581</v>
      </c>
      <c r="O124" s="107">
        <f t="shared" ref="O124:O126" si="306">H124*0.02*$AU$8</f>
        <v>6.4009628753479495</v>
      </c>
      <c r="P124" s="107">
        <f t="shared" ref="P124:P126" si="307">I124*0.02*$AU$8</f>
        <v>5.1534163768739409</v>
      </c>
      <c r="Q124" s="107">
        <f t="shared" ref="Q124:Q126" si="308">J124*0.02*$AU$8</f>
        <v>3.7426394954220252</v>
      </c>
      <c r="R124" s="107">
        <f t="shared" ref="R124:R126" si="309">K124*0.02*$AU$8</f>
        <v>3.0372510546960672</v>
      </c>
      <c r="S124" s="107">
        <f t="shared" ref="S124:S126" si="310">L124*0.02*$AU$8</f>
        <v>2.3318626139701091</v>
      </c>
      <c r="T124" s="107">
        <f t="shared" ref="T124:T126" si="311">M124*0.02*$AU$8</f>
        <v>2.3318626139701091</v>
      </c>
      <c r="U124" s="289"/>
      <c r="V124" s="1022"/>
      <c r="W124" s="1022"/>
      <c r="X124" s="1022"/>
      <c r="Y124" s="1022"/>
      <c r="Z124" s="1022"/>
      <c r="AA124" s="11"/>
      <c r="AB124" s="290"/>
      <c r="AC124" s="290"/>
      <c r="AD124" s="290"/>
      <c r="AE124" s="290"/>
      <c r="AF124" s="290"/>
      <c r="AG124" s="290"/>
      <c r="AH124" s="290"/>
      <c r="AI124" s="650">
        <f>67</f>
        <v>67</v>
      </c>
      <c r="AJ124" s="378">
        <f t="shared" ref="AJ124:AJ126" si="312">AI124+((AK124-AI124)/(2030-2020))*(2025-2020)</f>
        <v>69</v>
      </c>
      <c r="AK124" s="288">
        <v>71</v>
      </c>
      <c r="AL124" s="378">
        <f t="shared" ref="AL124:AL126" si="313">AK124+((AN124-AK124)/(2050-2030))*(2040-2030)</f>
        <v>75.5</v>
      </c>
      <c r="AM124" s="378">
        <f t="shared" si="302"/>
        <v>77.75</v>
      </c>
      <c r="AN124" s="288">
        <v>80</v>
      </c>
      <c r="AO124" s="118">
        <v>80</v>
      </c>
      <c r="AP124" s="11"/>
      <c r="AQ124" s="104" t="s">
        <v>352</v>
      </c>
    </row>
    <row r="125" spans="1:47" x14ac:dyDescent="0.3">
      <c r="A125" s="965"/>
      <c r="B125" s="955"/>
      <c r="C125" s="626">
        <v>10</v>
      </c>
      <c r="D125" s="626" t="s">
        <v>55</v>
      </c>
      <c r="E125" s="626">
        <v>2018</v>
      </c>
      <c r="F125" s="507" t="s">
        <v>19</v>
      </c>
      <c r="G125" s="510">
        <f>737</f>
        <v>737</v>
      </c>
      <c r="H125" s="107">
        <f t="shared" si="303"/>
        <v>681</v>
      </c>
      <c r="I125" s="282">
        <f>625</f>
        <v>625</v>
      </c>
      <c r="J125" s="107">
        <f t="shared" si="304"/>
        <v>537.5</v>
      </c>
      <c r="K125" s="107">
        <f t="shared" si="305"/>
        <v>493.75</v>
      </c>
      <c r="L125" s="282">
        <f>450</f>
        <v>450</v>
      </c>
      <c r="M125" s="107">
        <f t="shared" si="300"/>
        <v>362.5</v>
      </c>
      <c r="N125" s="106">
        <f>G125*0.02*$AU$8</f>
        <v>8.5929137324798521</v>
      </c>
      <c r="O125" s="107">
        <f t="shared" si="306"/>
        <v>7.9399922005682217</v>
      </c>
      <c r="P125" s="107">
        <f t="shared" si="307"/>
        <v>7.2870706686565905</v>
      </c>
      <c r="Q125" s="107">
        <f t="shared" si="308"/>
        <v>6.266880775044668</v>
      </c>
      <c r="R125" s="107">
        <f t="shared" si="309"/>
        <v>5.7567858282387068</v>
      </c>
      <c r="S125" s="107">
        <f t="shared" si="310"/>
        <v>5.2466908814327455</v>
      </c>
      <c r="T125" s="107">
        <f t="shared" si="311"/>
        <v>4.2265009878208231</v>
      </c>
      <c r="U125" s="289"/>
      <c r="V125" s="1022"/>
      <c r="W125" s="1022"/>
      <c r="X125" s="1022"/>
      <c r="Y125" s="1022"/>
      <c r="Z125" s="1022"/>
      <c r="AA125" s="11"/>
      <c r="AB125" s="290"/>
      <c r="AC125" s="290"/>
      <c r="AD125" s="290"/>
      <c r="AE125" s="290"/>
      <c r="AF125" s="290"/>
      <c r="AG125" s="290"/>
      <c r="AH125" s="290"/>
      <c r="AI125" s="650">
        <v>67</v>
      </c>
      <c r="AJ125" s="378">
        <f t="shared" si="312"/>
        <v>69</v>
      </c>
      <c r="AK125" s="288">
        <v>71</v>
      </c>
      <c r="AL125" s="378">
        <f t="shared" si="313"/>
        <v>75.5</v>
      </c>
      <c r="AM125" s="378">
        <f t="shared" si="302"/>
        <v>77.75</v>
      </c>
      <c r="AN125" s="288">
        <v>80</v>
      </c>
      <c r="AO125" s="118">
        <v>80</v>
      </c>
      <c r="AP125" s="11"/>
      <c r="AQ125" s="104" t="s">
        <v>353</v>
      </c>
    </row>
    <row r="126" spans="1:47" x14ac:dyDescent="0.3">
      <c r="A126" s="965"/>
      <c r="B126" s="968"/>
      <c r="C126" s="651">
        <v>10</v>
      </c>
      <c r="D126" s="651" t="s">
        <v>55</v>
      </c>
      <c r="E126" s="651">
        <v>2018</v>
      </c>
      <c r="F126" s="507" t="s">
        <v>19</v>
      </c>
      <c r="G126" s="512">
        <f>768</f>
        <v>768</v>
      </c>
      <c r="H126" s="122">
        <f t="shared" si="303"/>
        <v>737.5</v>
      </c>
      <c r="I126" s="302">
        <f>707</f>
        <v>707</v>
      </c>
      <c r="J126" s="122">
        <f t="shared" si="304"/>
        <v>653.5</v>
      </c>
      <c r="K126" s="122">
        <f t="shared" si="305"/>
        <v>626.75</v>
      </c>
      <c r="L126" s="302">
        <f>600</f>
        <v>600</v>
      </c>
      <c r="M126" s="122">
        <f t="shared" si="300"/>
        <v>546.5</v>
      </c>
      <c r="N126" s="106">
        <f>G126*0.02*$AU$8</f>
        <v>8.9543524376452179</v>
      </c>
      <c r="O126" s="107">
        <f t="shared" si="306"/>
        <v>8.5987433890147766</v>
      </c>
      <c r="P126" s="107">
        <f t="shared" si="307"/>
        <v>8.2431343403843353</v>
      </c>
      <c r="Q126" s="107">
        <f t="shared" si="308"/>
        <v>7.619361091147332</v>
      </c>
      <c r="R126" s="107">
        <f t="shared" si="309"/>
        <v>7.3074744665288298</v>
      </c>
      <c r="S126" s="107">
        <f t="shared" si="310"/>
        <v>6.9955878419103268</v>
      </c>
      <c r="T126" s="107">
        <f t="shared" si="311"/>
        <v>6.3718145926733225</v>
      </c>
      <c r="U126" s="299"/>
      <c r="V126" s="300"/>
      <c r="W126" s="300"/>
      <c r="X126" s="300"/>
      <c r="Y126" s="300"/>
      <c r="Z126" s="300"/>
      <c r="AA126" s="18"/>
      <c r="AB126" s="300"/>
      <c r="AC126" s="300"/>
      <c r="AD126" s="300"/>
      <c r="AE126" s="300"/>
      <c r="AF126" s="300"/>
      <c r="AG126" s="300"/>
      <c r="AH126" s="300"/>
      <c r="AI126" s="652">
        <v>67</v>
      </c>
      <c r="AJ126" s="386">
        <f t="shared" si="312"/>
        <v>69</v>
      </c>
      <c r="AK126" s="308">
        <v>71</v>
      </c>
      <c r="AL126" s="386">
        <f t="shared" si="313"/>
        <v>75.5</v>
      </c>
      <c r="AM126" s="386">
        <f t="shared" si="302"/>
        <v>77.75</v>
      </c>
      <c r="AN126" s="308">
        <v>80</v>
      </c>
      <c r="AO126" s="584">
        <v>80</v>
      </c>
      <c r="AP126" s="18"/>
      <c r="AQ126" s="104" t="s">
        <v>354</v>
      </c>
    </row>
    <row r="127" spans="1:47" x14ac:dyDescent="0.3">
      <c r="A127" s="965"/>
      <c r="B127" s="310" t="s">
        <v>267</v>
      </c>
      <c r="C127" s="318"/>
      <c r="D127" s="318"/>
      <c r="E127" s="318"/>
      <c r="F127" s="318"/>
      <c r="G127" s="312">
        <f t="shared" ref="G127:T127" si="314">MIN(G122:G126)</f>
        <v>650</v>
      </c>
      <c r="H127" s="313">
        <f t="shared" si="314"/>
        <v>549</v>
      </c>
      <c r="I127" s="313">
        <f t="shared" si="314"/>
        <v>442</v>
      </c>
      <c r="J127" s="313">
        <f t="shared" si="314"/>
        <v>300</v>
      </c>
      <c r="K127" s="313">
        <f t="shared" si="314"/>
        <v>260.5</v>
      </c>
      <c r="L127" s="313">
        <f t="shared" si="314"/>
        <v>200</v>
      </c>
      <c r="M127" s="313">
        <f t="shared" si="314"/>
        <v>200</v>
      </c>
      <c r="N127" s="312">
        <f t="shared" si="314"/>
        <v>7.5785534954028542</v>
      </c>
      <c r="O127" s="313">
        <f t="shared" si="314"/>
        <v>6.4009628753479495</v>
      </c>
      <c r="P127" s="313">
        <f t="shared" si="314"/>
        <v>5.1534163768739409</v>
      </c>
      <c r="Q127" s="313">
        <f t="shared" si="314"/>
        <v>3.4977939209551634</v>
      </c>
      <c r="R127" s="313">
        <f t="shared" si="314"/>
        <v>3.0372510546960672</v>
      </c>
      <c r="S127" s="313">
        <f t="shared" si="314"/>
        <v>2.3318626139701091</v>
      </c>
      <c r="T127" s="313">
        <f t="shared" si="314"/>
        <v>2.3318626139701091</v>
      </c>
      <c r="U127" s="317"/>
      <c r="V127" s="318"/>
      <c r="W127" s="318"/>
      <c r="X127" s="318"/>
      <c r="Y127" s="318"/>
      <c r="Z127" s="318"/>
      <c r="AA127" s="321"/>
      <c r="AB127" s="318"/>
      <c r="AC127" s="318"/>
      <c r="AD127" s="318"/>
      <c r="AE127" s="318"/>
      <c r="AF127" s="318"/>
      <c r="AG127" s="318"/>
      <c r="AH127" s="318"/>
      <c r="AI127" s="653">
        <f t="shared" ref="AI127:AP127" si="315">MIN(AI122:AI126)</f>
        <v>66</v>
      </c>
      <c r="AJ127" s="319">
        <f t="shared" si="315"/>
        <v>67</v>
      </c>
      <c r="AK127" s="319">
        <f t="shared" si="315"/>
        <v>68</v>
      </c>
      <c r="AL127" s="319">
        <f t="shared" si="315"/>
        <v>69</v>
      </c>
      <c r="AM127" s="319">
        <f t="shared" si="315"/>
        <v>69.5</v>
      </c>
      <c r="AN127" s="319">
        <f t="shared" si="315"/>
        <v>70</v>
      </c>
      <c r="AO127" s="320">
        <f t="shared" si="315"/>
        <v>70</v>
      </c>
      <c r="AP127" s="321">
        <f t="shared" si="315"/>
        <v>25</v>
      </c>
      <c r="AQ127" s="104"/>
    </row>
    <row r="128" spans="1:47" x14ac:dyDescent="0.3">
      <c r="A128" s="965"/>
      <c r="B128" s="322" t="s">
        <v>268</v>
      </c>
      <c r="C128" s="311"/>
      <c r="D128" s="311"/>
      <c r="E128" s="311"/>
      <c r="F128" s="311"/>
      <c r="G128" s="323">
        <f>MEDIAN(G122:G126)</f>
        <v>737</v>
      </c>
      <c r="H128" s="324">
        <f t="shared" ref="H128:T128" si="316">MEDIAN(H122:H126)</f>
        <v>681</v>
      </c>
      <c r="I128" s="324">
        <f t="shared" si="316"/>
        <v>625</v>
      </c>
      <c r="J128" s="324">
        <f t="shared" si="316"/>
        <v>537.5</v>
      </c>
      <c r="K128" s="324">
        <f t="shared" si="316"/>
        <v>493.75</v>
      </c>
      <c r="L128" s="324">
        <f t="shared" si="316"/>
        <v>450</v>
      </c>
      <c r="M128" s="324">
        <f t="shared" si="316"/>
        <v>362.5</v>
      </c>
      <c r="N128" s="323">
        <f t="shared" si="316"/>
        <v>8.5929137324798521</v>
      </c>
      <c r="O128" s="324">
        <f t="shared" si="316"/>
        <v>7.9399922005682217</v>
      </c>
      <c r="P128" s="324">
        <f t="shared" si="316"/>
        <v>7.2870706686565905</v>
      </c>
      <c r="Q128" s="324">
        <f t="shared" si="316"/>
        <v>6.266880775044668</v>
      </c>
      <c r="R128" s="324">
        <f t="shared" si="316"/>
        <v>5.7567858282387068</v>
      </c>
      <c r="S128" s="324">
        <f t="shared" si="316"/>
        <v>5.2466908814327455</v>
      </c>
      <c r="T128" s="324">
        <f t="shared" si="316"/>
        <v>4.2265009878208231</v>
      </c>
      <c r="U128" s="328"/>
      <c r="V128" s="1023"/>
      <c r="W128" s="1023"/>
      <c r="X128" s="1023"/>
      <c r="Y128" s="1023"/>
      <c r="Z128" s="1023"/>
      <c r="AA128" s="331"/>
      <c r="AB128" s="311"/>
      <c r="AC128" s="311"/>
      <c r="AD128" s="311"/>
      <c r="AE128" s="311"/>
      <c r="AF128" s="311"/>
      <c r="AG128" s="311"/>
      <c r="AH128" s="311"/>
      <c r="AI128" s="654">
        <f t="shared" ref="AI128:AP128" si="317">MEDIAN(AI122:AI126)</f>
        <v>67</v>
      </c>
      <c r="AJ128" s="329">
        <f t="shared" si="317"/>
        <v>69</v>
      </c>
      <c r="AK128" s="329">
        <f t="shared" si="317"/>
        <v>71</v>
      </c>
      <c r="AL128" s="329">
        <f t="shared" si="317"/>
        <v>75.5</v>
      </c>
      <c r="AM128" s="329">
        <f t="shared" si="317"/>
        <v>77.75</v>
      </c>
      <c r="AN128" s="329">
        <f t="shared" si="317"/>
        <v>80</v>
      </c>
      <c r="AO128" s="330">
        <f t="shared" si="317"/>
        <v>80</v>
      </c>
      <c r="AP128" s="331">
        <f t="shared" si="317"/>
        <v>25</v>
      </c>
      <c r="AQ128" s="104"/>
    </row>
    <row r="129" spans="1:43" x14ac:dyDescent="0.3">
      <c r="A129" s="965"/>
      <c r="B129" s="332" t="s">
        <v>269</v>
      </c>
      <c r="C129" s="333"/>
      <c r="D129" s="333"/>
      <c r="E129" s="333"/>
      <c r="F129" s="333"/>
      <c r="G129" s="334">
        <f t="shared" ref="G129:T129" si="318">MAX(G122:G126)</f>
        <v>878</v>
      </c>
      <c r="H129" s="335">
        <f t="shared" si="318"/>
        <v>797.5</v>
      </c>
      <c r="I129" s="335">
        <f t="shared" si="318"/>
        <v>717</v>
      </c>
      <c r="J129" s="335">
        <f t="shared" si="318"/>
        <v>653.5</v>
      </c>
      <c r="K129" s="335">
        <f t="shared" si="318"/>
        <v>626.75</v>
      </c>
      <c r="L129" s="335">
        <f t="shared" si="318"/>
        <v>600</v>
      </c>
      <c r="M129" s="335">
        <f t="shared" si="318"/>
        <v>546.5</v>
      </c>
      <c r="N129" s="334">
        <f t="shared" si="318"/>
        <v>20.473753750657558</v>
      </c>
      <c r="O129" s="335">
        <f t="shared" si="318"/>
        <v>18.59660434641162</v>
      </c>
      <c r="P129" s="335">
        <f t="shared" si="318"/>
        <v>16.719454942165683</v>
      </c>
      <c r="Q129" s="335">
        <f t="shared" si="318"/>
        <v>13.851263926982449</v>
      </c>
      <c r="R129" s="335">
        <f t="shared" si="318"/>
        <v>12.895200255254704</v>
      </c>
      <c r="S129" s="335">
        <f t="shared" si="318"/>
        <v>11.93913658352696</v>
      </c>
      <c r="T129" s="335">
        <f t="shared" si="318"/>
        <v>10.027009240071472</v>
      </c>
      <c r="U129" s="339"/>
      <c r="V129" s="333"/>
      <c r="W129" s="333"/>
      <c r="X129" s="333"/>
      <c r="Y129" s="333"/>
      <c r="Z129" s="333"/>
      <c r="AA129" s="342"/>
      <c r="AB129" s="333"/>
      <c r="AC129" s="333"/>
      <c r="AD129" s="333"/>
      <c r="AE129" s="333"/>
      <c r="AF129" s="333"/>
      <c r="AG129" s="333"/>
      <c r="AH129" s="333"/>
      <c r="AI129" s="655">
        <f t="shared" ref="AI129:AP129" si="319">MAX(AI122:AI126)</f>
        <v>68</v>
      </c>
      <c r="AJ129" s="340">
        <f t="shared" si="319"/>
        <v>69</v>
      </c>
      <c r="AK129" s="340">
        <f t="shared" si="319"/>
        <v>71</v>
      </c>
      <c r="AL129" s="340">
        <f t="shared" si="319"/>
        <v>75.5</v>
      </c>
      <c r="AM129" s="340">
        <f t="shared" si="319"/>
        <v>77.75</v>
      </c>
      <c r="AN129" s="340">
        <f t="shared" si="319"/>
        <v>80</v>
      </c>
      <c r="AO129" s="341">
        <f t="shared" si="319"/>
        <v>80</v>
      </c>
      <c r="AP129" s="342">
        <f t="shared" si="319"/>
        <v>25</v>
      </c>
      <c r="AQ129" s="104"/>
    </row>
    <row r="130" spans="1:43" x14ac:dyDescent="0.3">
      <c r="A130" s="965"/>
      <c r="B130" s="969" t="s">
        <v>43</v>
      </c>
      <c r="C130" s="202">
        <v>7</v>
      </c>
      <c r="D130" s="202" t="s">
        <v>42</v>
      </c>
      <c r="E130" s="202">
        <v>2020</v>
      </c>
      <c r="F130" s="203" t="s">
        <v>19</v>
      </c>
      <c r="G130" s="480">
        <v>1999</v>
      </c>
      <c r="H130" s="93">
        <f t="shared" ref="H130:H135" si="320">G130+((I130-G130)/(2030-2020))*(2025-2020)</f>
        <v>1738</v>
      </c>
      <c r="I130" s="204">
        <v>1477</v>
      </c>
      <c r="J130" s="204">
        <v>1123</v>
      </c>
      <c r="K130" s="93">
        <f t="shared" ref="K130:K146" si="321">J130+((L130-J130)/(2050-2040))*(2045-2040)</f>
        <v>1014</v>
      </c>
      <c r="L130" s="204">
        <v>905</v>
      </c>
      <c r="M130" s="95">
        <f>K130+((L130-K130)/(2050-2045))*(2060-2045)</f>
        <v>687</v>
      </c>
      <c r="N130" s="480">
        <f>G130*0.04*$AU$8</f>
        <v>46.613933653262485</v>
      </c>
      <c r="O130" s="93">
        <f t="shared" ref="O130:O132" si="322">N130+((P130-N130)/(2030-2020))*(2025-2020)</f>
        <v>40.527772230800494</v>
      </c>
      <c r="P130" s="204">
        <f>I130*0.04*$AU$8</f>
        <v>34.44161080833851</v>
      </c>
      <c r="Q130" s="204">
        <f>J130*0.04*$AU$8</f>
        <v>26.186817154884327</v>
      </c>
      <c r="R130" s="93">
        <f t="shared" ref="R130:R132" si="323">Q130+((S130-Q130)/(2050-2040))*(2045-2040)</f>
        <v>23.64508690565691</v>
      </c>
      <c r="S130" s="204">
        <f>L130*0.04*$AU$8</f>
        <v>21.10335665642949</v>
      </c>
      <c r="T130" s="95">
        <f>R130+((S130-R130)/(2050-2045))*(2060-2045)</f>
        <v>16.019896157974649</v>
      </c>
      <c r="U130" s="205"/>
      <c r="V130" s="202"/>
      <c r="W130" s="202"/>
      <c r="X130" s="202"/>
      <c r="Y130" s="202"/>
      <c r="Z130" s="202"/>
      <c r="AA130" s="21"/>
      <c r="AB130" s="202"/>
      <c r="AC130" s="202"/>
      <c r="AD130" s="202"/>
      <c r="AE130" s="202"/>
      <c r="AF130" s="202"/>
      <c r="AG130" s="202"/>
      <c r="AH130" s="202"/>
      <c r="AI130" s="656">
        <v>73</v>
      </c>
      <c r="AJ130" s="101">
        <f t="shared" ref="AJ130:AJ131" si="324">AI130+((AK130-AI130)/(2030-2020))*(2025-2020)</f>
        <v>73</v>
      </c>
      <c r="AK130" s="207">
        <v>73</v>
      </c>
      <c r="AL130" s="207">
        <v>75</v>
      </c>
      <c r="AM130" s="101">
        <f t="shared" ref="AM130:AM135" si="325">AL130+((AN130-AL130)/(2050-2040))*(2045-2040)</f>
        <v>76</v>
      </c>
      <c r="AN130" s="207">
        <v>77</v>
      </c>
      <c r="AO130" s="103">
        <v>77</v>
      </c>
      <c r="AP130" s="657">
        <v>25</v>
      </c>
      <c r="AQ130" s="104"/>
    </row>
    <row r="131" spans="1:43" x14ac:dyDescent="0.3">
      <c r="A131" s="965"/>
      <c r="B131" s="937"/>
      <c r="C131" s="208">
        <v>1</v>
      </c>
      <c r="D131" s="208" t="s">
        <v>18</v>
      </c>
      <c r="E131" s="208">
        <v>2020</v>
      </c>
      <c r="F131" s="203" t="s">
        <v>19</v>
      </c>
      <c r="G131" s="212">
        <f>4000/1.1422</f>
        <v>3502.0136578532652</v>
      </c>
      <c r="H131" s="107">
        <f t="shared" si="320"/>
        <v>2538.9599019436173</v>
      </c>
      <c r="I131" s="209">
        <f>1800/1.1422</f>
        <v>1575.9061460339694</v>
      </c>
      <c r="J131" s="209">
        <f>1275/1.1422</f>
        <v>1116.2668534407283</v>
      </c>
      <c r="K131" s="107">
        <f t="shared" si="321"/>
        <v>886.44720714410778</v>
      </c>
      <c r="L131" s="209">
        <f>750/1.1422</f>
        <v>656.62756084748719</v>
      </c>
      <c r="M131" s="107">
        <v>656.62756084748719</v>
      </c>
      <c r="N131" s="212">
        <f t="shared" ref="N131:N135" si="326">G131*0.02*$AU$8</f>
        <v>40.831073611803689</v>
      </c>
      <c r="O131" s="107">
        <f t="shared" si="322"/>
        <v>29.602528368557675</v>
      </c>
      <c r="P131" s="209">
        <f t="shared" ref="P131:P135" si="327">I131*0.02*$AU$8</f>
        <v>18.373983125311661</v>
      </c>
      <c r="Q131" s="209">
        <f t="shared" ref="Q131:Q135" si="328">J131*0.02*$AU$8</f>
        <v>13.014904713762427</v>
      </c>
      <c r="R131" s="107">
        <f t="shared" si="323"/>
        <v>10.33536550798781</v>
      </c>
      <c r="S131" s="209">
        <f t="shared" ref="S131:S135" si="329">L131*0.02*$AU$8</f>
        <v>7.6558263022131925</v>
      </c>
      <c r="T131" s="107">
        <v>13.13</v>
      </c>
      <c r="U131" s="210"/>
      <c r="V131" s="1024"/>
      <c r="W131" s="1024"/>
      <c r="X131" s="1024"/>
      <c r="Y131" s="1024"/>
      <c r="Z131" s="1024"/>
      <c r="AA131" s="24"/>
      <c r="AB131" s="208"/>
      <c r="AC131" s="208"/>
      <c r="AD131" s="208"/>
      <c r="AE131" s="208"/>
      <c r="AF131" s="208"/>
      <c r="AG131" s="208"/>
      <c r="AH131" s="208"/>
      <c r="AI131" s="658">
        <v>77.5</v>
      </c>
      <c r="AJ131" s="378">
        <f t="shared" si="324"/>
        <v>79</v>
      </c>
      <c r="AK131" s="213">
        <v>80.5</v>
      </c>
      <c r="AL131" s="213">
        <v>82</v>
      </c>
      <c r="AM131" s="378">
        <f t="shared" si="325"/>
        <v>82.75</v>
      </c>
      <c r="AN131" s="213">
        <v>83.5</v>
      </c>
      <c r="AO131" s="118">
        <v>84</v>
      </c>
      <c r="AP131" s="485">
        <v>25</v>
      </c>
      <c r="AQ131" s="104" t="s">
        <v>356</v>
      </c>
    </row>
    <row r="132" spans="1:43" x14ac:dyDescent="0.3">
      <c r="A132" s="965"/>
      <c r="B132" s="937"/>
      <c r="C132" s="208">
        <v>1</v>
      </c>
      <c r="D132" s="208" t="s">
        <v>18</v>
      </c>
      <c r="E132" s="208">
        <v>2020</v>
      </c>
      <c r="F132" s="203" t="s">
        <v>19</v>
      </c>
      <c r="G132" s="212">
        <f>2400/1.1422</f>
        <v>2101.2081947119591</v>
      </c>
      <c r="H132" s="107">
        <f t="shared" si="320"/>
        <v>1400.8054631413061</v>
      </c>
      <c r="I132" s="209">
        <f>800/1.1422</f>
        <v>700.40273157065303</v>
      </c>
      <c r="J132" s="209">
        <f>650/1.1422</f>
        <v>569.07721940115562</v>
      </c>
      <c r="K132" s="107">
        <f t="shared" si="321"/>
        <v>503.41446331640691</v>
      </c>
      <c r="L132" s="209">
        <f>500/1.1422</f>
        <v>437.75170723165814</v>
      </c>
      <c r="M132" s="107">
        <v>437.75170723165814</v>
      </c>
      <c r="N132" s="212">
        <f t="shared" si="326"/>
        <v>24.498644167082212</v>
      </c>
      <c r="O132" s="107">
        <f t="shared" si="322"/>
        <v>16.332429444721477</v>
      </c>
      <c r="P132" s="209">
        <f t="shared" si="327"/>
        <v>8.1662147223607384</v>
      </c>
      <c r="Q132" s="209">
        <f t="shared" si="328"/>
        <v>6.6350494619180997</v>
      </c>
      <c r="R132" s="107">
        <f t="shared" si="323"/>
        <v>5.86946683169678</v>
      </c>
      <c r="S132" s="209">
        <f t="shared" si="329"/>
        <v>5.1038842014754611</v>
      </c>
      <c r="T132" s="107">
        <v>8.76</v>
      </c>
      <c r="U132" s="210"/>
      <c r="V132" s="1024"/>
      <c r="W132" s="1024"/>
      <c r="X132" s="1024"/>
      <c r="Y132" s="1024"/>
      <c r="Z132" s="1024"/>
      <c r="AA132" s="24"/>
      <c r="AB132" s="208"/>
      <c r="AC132" s="208"/>
      <c r="AD132" s="208"/>
      <c r="AE132" s="208"/>
      <c r="AF132" s="208"/>
      <c r="AG132" s="208"/>
      <c r="AH132" s="208"/>
      <c r="AI132" s="658" t="s">
        <v>357</v>
      </c>
      <c r="AJ132" s="378">
        <f>77.5</f>
        <v>77.5</v>
      </c>
      <c r="AK132" s="213">
        <v>80.5</v>
      </c>
      <c r="AL132" s="213">
        <v>82</v>
      </c>
      <c r="AM132" s="378">
        <f t="shared" si="325"/>
        <v>82.75</v>
      </c>
      <c r="AN132" s="213">
        <v>83.5</v>
      </c>
      <c r="AO132" s="118">
        <v>84</v>
      </c>
      <c r="AP132" s="485">
        <v>25</v>
      </c>
      <c r="AQ132" s="104" t="s">
        <v>358</v>
      </c>
    </row>
    <row r="133" spans="1:43" x14ac:dyDescent="0.3">
      <c r="A133" s="965"/>
      <c r="B133" s="937"/>
      <c r="C133" s="208">
        <v>10</v>
      </c>
      <c r="D133" s="208" t="s">
        <v>55</v>
      </c>
      <c r="E133" s="208">
        <v>2018</v>
      </c>
      <c r="F133" s="203" t="s">
        <v>19</v>
      </c>
      <c r="G133" s="212">
        <f>877</f>
        <v>877</v>
      </c>
      <c r="H133" s="107">
        <f t="shared" si="320"/>
        <v>776</v>
      </c>
      <c r="I133" s="209">
        <f>675</f>
        <v>675</v>
      </c>
      <c r="J133" s="107">
        <f t="shared" ref="J133:J135" si="330">I133+((L133-I133)/(2050-2030))*(2040-2030)</f>
        <v>537.5</v>
      </c>
      <c r="K133" s="107">
        <f t="shared" si="321"/>
        <v>468.75</v>
      </c>
      <c r="L133" s="209">
        <f>400</f>
        <v>400</v>
      </c>
      <c r="M133" s="107">
        <v>400</v>
      </c>
      <c r="N133" s="106">
        <f t="shared" si="326"/>
        <v>10.225217562258928</v>
      </c>
      <c r="O133" s="107">
        <f t="shared" ref="O133:O135" si="331">H133*0.02*$AU$8</f>
        <v>9.0476269422040225</v>
      </c>
      <c r="P133" s="107">
        <f t="shared" si="327"/>
        <v>7.8700363221491179</v>
      </c>
      <c r="Q133" s="107">
        <f t="shared" si="328"/>
        <v>6.266880775044668</v>
      </c>
      <c r="R133" s="107">
        <f t="shared" ref="R133:R135" si="332">K133*0.02*$AU$8</f>
        <v>5.4653030014924431</v>
      </c>
      <c r="S133" s="107">
        <f t="shared" si="329"/>
        <v>4.6637252279402182</v>
      </c>
      <c r="T133" s="107">
        <f t="shared" ref="T133:T135" si="333">M133*0.02*$AU$8</f>
        <v>4.6637252279402182</v>
      </c>
      <c r="U133" s="210"/>
      <c r="V133" s="1024"/>
      <c r="W133" s="1024"/>
      <c r="X133" s="1024"/>
      <c r="Y133" s="1024"/>
      <c r="Z133" s="1024"/>
      <c r="AA133" s="24"/>
      <c r="AB133" s="208"/>
      <c r="AC133" s="208"/>
      <c r="AD133" s="208"/>
      <c r="AE133" s="208"/>
      <c r="AF133" s="208"/>
      <c r="AG133" s="208"/>
      <c r="AH133" s="208"/>
      <c r="AI133" s="658">
        <v>81</v>
      </c>
      <c r="AJ133" s="378">
        <f t="shared" ref="AJ133:AJ135" si="334">AI133+((AK133-AI133)/(2030-2020))*(2025-2020)</f>
        <v>82.5</v>
      </c>
      <c r="AK133" s="213">
        <v>84</v>
      </c>
      <c r="AL133" s="378">
        <f t="shared" ref="AL133:AL135" si="335">AK133+((AN133-AK133)/(2050-2030))*(2040-2030)</f>
        <v>87</v>
      </c>
      <c r="AM133" s="378">
        <f t="shared" si="325"/>
        <v>88.5</v>
      </c>
      <c r="AN133" s="213">
        <v>90</v>
      </c>
      <c r="AO133" s="118">
        <v>90</v>
      </c>
      <c r="AP133" s="485"/>
      <c r="AQ133" s="104" t="s">
        <v>359</v>
      </c>
    </row>
    <row r="134" spans="1:43" x14ac:dyDescent="0.3">
      <c r="A134" s="965"/>
      <c r="B134" s="937"/>
      <c r="C134" s="208">
        <v>10</v>
      </c>
      <c r="D134" s="208" t="s">
        <v>55</v>
      </c>
      <c r="E134" s="208">
        <v>2018</v>
      </c>
      <c r="F134" s="203" t="s">
        <v>19</v>
      </c>
      <c r="G134" s="212">
        <f>930</f>
        <v>930</v>
      </c>
      <c r="H134" s="107">
        <f t="shared" si="320"/>
        <v>867</v>
      </c>
      <c r="I134" s="209">
        <f>804</f>
        <v>804</v>
      </c>
      <c r="J134" s="107">
        <f t="shared" si="330"/>
        <v>702</v>
      </c>
      <c r="K134" s="107">
        <f t="shared" si="321"/>
        <v>651</v>
      </c>
      <c r="L134" s="209">
        <f>600</f>
        <v>600</v>
      </c>
      <c r="M134" s="107">
        <f t="shared" ref="M134:M146" si="336">K134+((L134-K134)/(2050-2045))*(2060-2045)</f>
        <v>498</v>
      </c>
      <c r="N134" s="106">
        <f t="shared" si="326"/>
        <v>10.843161154961008</v>
      </c>
      <c r="O134" s="107">
        <f t="shared" si="331"/>
        <v>10.108624431560422</v>
      </c>
      <c r="P134" s="107">
        <f t="shared" si="327"/>
        <v>9.3740877081598395</v>
      </c>
      <c r="Q134" s="107">
        <f t="shared" si="328"/>
        <v>8.1848377750350831</v>
      </c>
      <c r="R134" s="107">
        <f t="shared" si="332"/>
        <v>7.590212808472705</v>
      </c>
      <c r="S134" s="107">
        <f t="shared" si="329"/>
        <v>6.9955878419103268</v>
      </c>
      <c r="T134" s="107">
        <f t="shared" si="333"/>
        <v>5.8063379087855722</v>
      </c>
      <c r="U134" s="210"/>
      <c r="V134" s="1024"/>
      <c r="W134" s="1024"/>
      <c r="X134" s="1024"/>
      <c r="Y134" s="1024"/>
      <c r="Z134" s="1024"/>
      <c r="AA134" s="24"/>
      <c r="AB134" s="208"/>
      <c r="AC134" s="208"/>
      <c r="AD134" s="208"/>
      <c r="AE134" s="208"/>
      <c r="AF134" s="208"/>
      <c r="AG134" s="208"/>
      <c r="AH134" s="208"/>
      <c r="AI134" s="658">
        <v>81</v>
      </c>
      <c r="AJ134" s="378">
        <f t="shared" si="334"/>
        <v>82.5</v>
      </c>
      <c r="AK134" s="213">
        <v>84</v>
      </c>
      <c r="AL134" s="378">
        <f t="shared" si="335"/>
        <v>87</v>
      </c>
      <c r="AM134" s="378">
        <f t="shared" si="325"/>
        <v>88.5</v>
      </c>
      <c r="AN134" s="213">
        <v>90</v>
      </c>
      <c r="AO134" s="118">
        <v>90</v>
      </c>
      <c r="AP134" s="485"/>
      <c r="AQ134" s="104" t="s">
        <v>360</v>
      </c>
    </row>
    <row r="135" spans="1:43" x14ac:dyDescent="0.3">
      <c r="A135" s="965"/>
      <c r="B135" s="938"/>
      <c r="C135" s="214">
        <v>10</v>
      </c>
      <c r="D135" s="214" t="s">
        <v>55</v>
      </c>
      <c r="E135" s="214">
        <v>2018</v>
      </c>
      <c r="F135" s="203" t="s">
        <v>19</v>
      </c>
      <c r="G135" s="597">
        <f>969</f>
        <v>969</v>
      </c>
      <c r="H135" s="122">
        <f t="shared" si="320"/>
        <v>939</v>
      </c>
      <c r="I135" s="215">
        <f>909</f>
        <v>909</v>
      </c>
      <c r="J135" s="122">
        <f t="shared" si="330"/>
        <v>854.5</v>
      </c>
      <c r="K135" s="122">
        <f t="shared" si="321"/>
        <v>827.25</v>
      </c>
      <c r="L135" s="215">
        <f>800</f>
        <v>800</v>
      </c>
      <c r="M135" s="122">
        <f t="shared" si="336"/>
        <v>745.5</v>
      </c>
      <c r="N135" s="106">
        <f t="shared" si="326"/>
        <v>11.297874364685178</v>
      </c>
      <c r="O135" s="107">
        <f t="shared" si="331"/>
        <v>10.948094972589663</v>
      </c>
      <c r="P135" s="107">
        <f t="shared" si="327"/>
        <v>10.598315580494146</v>
      </c>
      <c r="Q135" s="107">
        <f t="shared" si="328"/>
        <v>9.9628830181872914</v>
      </c>
      <c r="R135" s="107">
        <f t="shared" si="332"/>
        <v>9.6451667370338647</v>
      </c>
      <c r="S135" s="107">
        <f t="shared" si="329"/>
        <v>9.3274504558804363</v>
      </c>
      <c r="T135" s="107">
        <f t="shared" si="333"/>
        <v>8.6920178935735812</v>
      </c>
      <c r="U135" s="216"/>
      <c r="V135" s="214"/>
      <c r="W135" s="214"/>
      <c r="X135" s="214"/>
      <c r="Y135" s="214"/>
      <c r="Z135" s="214"/>
      <c r="AA135" s="27"/>
      <c r="AB135" s="214"/>
      <c r="AC135" s="214"/>
      <c r="AD135" s="214"/>
      <c r="AE135" s="214"/>
      <c r="AF135" s="214"/>
      <c r="AG135" s="214"/>
      <c r="AH135" s="214"/>
      <c r="AI135" s="659">
        <v>81</v>
      </c>
      <c r="AJ135" s="386">
        <f t="shared" si="334"/>
        <v>82.5</v>
      </c>
      <c r="AK135" s="660">
        <v>84</v>
      </c>
      <c r="AL135" s="386">
        <f t="shared" si="335"/>
        <v>87</v>
      </c>
      <c r="AM135" s="386">
        <f t="shared" si="325"/>
        <v>88.5</v>
      </c>
      <c r="AN135" s="660">
        <v>90</v>
      </c>
      <c r="AO135" s="584">
        <v>90</v>
      </c>
      <c r="AP135" s="661"/>
      <c r="AQ135" s="104" t="s">
        <v>361</v>
      </c>
    </row>
    <row r="136" spans="1:43" x14ac:dyDescent="0.3">
      <c r="A136" s="965"/>
      <c r="B136" s="217" t="s">
        <v>267</v>
      </c>
      <c r="C136" s="218"/>
      <c r="D136" s="218"/>
      <c r="E136" s="218"/>
      <c r="F136" s="218"/>
      <c r="G136" s="219">
        <f>MIN(G130:G135)</f>
        <v>877</v>
      </c>
      <c r="H136" s="220">
        <f t="shared" ref="H136:J136" si="337">MIN(H130:H135)</f>
        <v>776</v>
      </c>
      <c r="I136" s="220">
        <f t="shared" si="337"/>
        <v>675</v>
      </c>
      <c r="J136" s="220">
        <f t="shared" si="337"/>
        <v>537.5</v>
      </c>
      <c r="K136" s="220"/>
      <c r="L136" s="220">
        <f>MIN(L130:L135)</f>
        <v>400</v>
      </c>
      <c r="M136" s="220"/>
      <c r="N136" s="219">
        <f t="shared" ref="N136:T136" si="338">MIN(N130:N135)</f>
        <v>10.225217562258928</v>
      </c>
      <c r="O136" s="220">
        <f t="shared" si="338"/>
        <v>9.0476269422040225</v>
      </c>
      <c r="P136" s="220">
        <f t="shared" si="338"/>
        <v>7.8700363221491179</v>
      </c>
      <c r="Q136" s="220">
        <f t="shared" si="338"/>
        <v>6.266880775044668</v>
      </c>
      <c r="R136" s="220">
        <f t="shared" si="338"/>
        <v>5.4653030014924431</v>
      </c>
      <c r="S136" s="220">
        <f t="shared" si="338"/>
        <v>4.6637252279402182</v>
      </c>
      <c r="T136" s="220">
        <f t="shared" si="338"/>
        <v>4.6637252279402182</v>
      </c>
      <c r="U136" s="222"/>
      <c r="V136" s="218"/>
      <c r="W136" s="218"/>
      <c r="X136" s="218"/>
      <c r="Y136" s="218"/>
      <c r="Z136" s="218"/>
      <c r="AA136" s="223"/>
      <c r="AB136" s="218"/>
      <c r="AC136" s="218"/>
      <c r="AD136" s="218"/>
      <c r="AE136" s="218"/>
      <c r="AF136" s="218"/>
      <c r="AG136" s="218"/>
      <c r="AH136" s="218"/>
      <c r="AI136" s="662">
        <f t="shared" ref="AI136:AP136" si="339">MIN(AI130:AI135)</f>
        <v>73</v>
      </c>
      <c r="AJ136" s="490">
        <f t="shared" si="339"/>
        <v>73</v>
      </c>
      <c r="AK136" s="490">
        <f t="shared" si="339"/>
        <v>73</v>
      </c>
      <c r="AL136" s="490">
        <f t="shared" si="339"/>
        <v>75</v>
      </c>
      <c r="AM136" s="490">
        <f t="shared" si="339"/>
        <v>76</v>
      </c>
      <c r="AN136" s="490">
        <f t="shared" si="339"/>
        <v>77</v>
      </c>
      <c r="AO136" s="491">
        <f t="shared" si="339"/>
        <v>77</v>
      </c>
      <c r="AP136" s="491">
        <f t="shared" si="339"/>
        <v>25</v>
      </c>
      <c r="AQ136" s="104"/>
    </row>
    <row r="137" spans="1:43" x14ac:dyDescent="0.3">
      <c r="A137" s="965"/>
      <c r="B137" s="224" t="s">
        <v>268</v>
      </c>
      <c r="C137" s="225"/>
      <c r="D137" s="225"/>
      <c r="E137" s="225"/>
      <c r="F137" s="225"/>
      <c r="G137" s="226">
        <f>MEDIAN(G130:G135)</f>
        <v>1484</v>
      </c>
      <c r="H137" s="227">
        <f t="shared" ref="H137:J137" si="340">MEDIAN(H130:H135)</f>
        <v>1169.902731570653</v>
      </c>
      <c r="I137" s="227">
        <f t="shared" si="340"/>
        <v>856.5</v>
      </c>
      <c r="J137" s="227">
        <f t="shared" si="340"/>
        <v>778.25</v>
      </c>
      <c r="K137" s="227"/>
      <c r="L137" s="227">
        <f>MEDIAN(L130:L135)</f>
        <v>628.31378042374354</v>
      </c>
      <c r="M137" s="227"/>
      <c r="N137" s="226">
        <f t="shared" ref="N137:T137" si="341">MEDIAN(N130:N135)</f>
        <v>17.898259265883695</v>
      </c>
      <c r="O137" s="227">
        <f t="shared" si="341"/>
        <v>13.640262208655571</v>
      </c>
      <c r="P137" s="227">
        <f t="shared" si="341"/>
        <v>9.986201644326993</v>
      </c>
      <c r="Q137" s="227">
        <f t="shared" si="341"/>
        <v>9.0738603966111882</v>
      </c>
      <c r="R137" s="227">
        <f t="shared" si="341"/>
        <v>8.617689772753284</v>
      </c>
      <c r="S137" s="227">
        <f t="shared" si="341"/>
        <v>7.3257070720617596</v>
      </c>
      <c r="T137" s="227">
        <f t="shared" si="341"/>
        <v>8.7260089467867914</v>
      </c>
      <c r="U137" s="229"/>
      <c r="V137" s="1025"/>
      <c r="W137" s="1025"/>
      <c r="X137" s="1025"/>
      <c r="Y137" s="1025"/>
      <c r="Z137" s="1025"/>
      <c r="AA137" s="230"/>
      <c r="AB137" s="225"/>
      <c r="AC137" s="225"/>
      <c r="AD137" s="225"/>
      <c r="AE137" s="225"/>
      <c r="AF137" s="225"/>
      <c r="AG137" s="225"/>
      <c r="AH137" s="225"/>
      <c r="AI137" s="663">
        <f t="shared" ref="AI137:AP137" si="342">MEDIAN(AI130:AI135)</f>
        <v>81</v>
      </c>
      <c r="AJ137" s="494">
        <f t="shared" si="342"/>
        <v>80.75</v>
      </c>
      <c r="AK137" s="494">
        <f t="shared" si="342"/>
        <v>82.25</v>
      </c>
      <c r="AL137" s="494">
        <f t="shared" si="342"/>
        <v>84.5</v>
      </c>
      <c r="AM137" s="494">
        <f t="shared" si="342"/>
        <v>85.625</v>
      </c>
      <c r="AN137" s="494">
        <f t="shared" si="342"/>
        <v>86.75</v>
      </c>
      <c r="AO137" s="495">
        <f t="shared" si="342"/>
        <v>87</v>
      </c>
      <c r="AP137" s="495">
        <f t="shared" si="342"/>
        <v>25</v>
      </c>
      <c r="AQ137" s="104"/>
    </row>
    <row r="138" spans="1:43" x14ac:dyDescent="0.3">
      <c r="A138" s="965"/>
      <c r="B138" s="231" t="s">
        <v>269</v>
      </c>
      <c r="C138" s="232"/>
      <c r="D138" s="232"/>
      <c r="E138" s="232"/>
      <c r="F138" s="232"/>
      <c r="G138" s="599">
        <f>MAX(G130:G135)</f>
        <v>3502.0136578532652</v>
      </c>
      <c r="H138" s="233">
        <f t="shared" ref="H138:J138" si="343">MAX(H130:H135)</f>
        <v>2538.9599019436173</v>
      </c>
      <c r="I138" s="233">
        <f t="shared" si="343"/>
        <v>1575.9061460339694</v>
      </c>
      <c r="J138" s="233">
        <f t="shared" si="343"/>
        <v>1123</v>
      </c>
      <c r="K138" s="233"/>
      <c r="L138" s="233">
        <f>MAX(L130:L135)</f>
        <v>905</v>
      </c>
      <c r="M138" s="233"/>
      <c r="N138" s="226">
        <f t="shared" ref="N138:T138" si="344">MAX(N130:N135)</f>
        <v>46.613933653262485</v>
      </c>
      <c r="O138" s="227">
        <f t="shared" si="344"/>
        <v>40.527772230800494</v>
      </c>
      <c r="P138" s="227">
        <f t="shared" si="344"/>
        <v>34.44161080833851</v>
      </c>
      <c r="Q138" s="227">
        <f t="shared" si="344"/>
        <v>26.186817154884327</v>
      </c>
      <c r="R138" s="227">
        <f t="shared" si="344"/>
        <v>23.64508690565691</v>
      </c>
      <c r="S138" s="227">
        <f t="shared" si="344"/>
        <v>21.10335665642949</v>
      </c>
      <c r="T138" s="227">
        <f t="shared" si="344"/>
        <v>16.019896157974649</v>
      </c>
      <c r="U138" s="234"/>
      <c r="V138" s="232"/>
      <c r="W138" s="232"/>
      <c r="X138" s="232"/>
      <c r="Y138" s="232"/>
      <c r="Z138" s="232"/>
      <c r="AA138" s="235"/>
      <c r="AB138" s="232"/>
      <c r="AC138" s="232"/>
      <c r="AD138" s="232"/>
      <c r="AE138" s="232"/>
      <c r="AF138" s="232"/>
      <c r="AG138" s="232"/>
      <c r="AH138" s="232"/>
      <c r="AI138" s="664">
        <f t="shared" ref="AI138:AP138" si="345">MAX(AI130:AI135)</f>
        <v>81</v>
      </c>
      <c r="AJ138" s="498">
        <f t="shared" si="345"/>
        <v>82.5</v>
      </c>
      <c r="AK138" s="498">
        <f t="shared" si="345"/>
        <v>84</v>
      </c>
      <c r="AL138" s="498">
        <f t="shared" si="345"/>
        <v>87</v>
      </c>
      <c r="AM138" s="498">
        <f t="shared" si="345"/>
        <v>88.5</v>
      </c>
      <c r="AN138" s="498">
        <f t="shared" si="345"/>
        <v>90</v>
      </c>
      <c r="AO138" s="665">
        <f t="shared" si="345"/>
        <v>90</v>
      </c>
      <c r="AP138" s="665">
        <f t="shared" si="345"/>
        <v>25</v>
      </c>
      <c r="AQ138" s="104"/>
    </row>
    <row r="139" spans="1:43" x14ac:dyDescent="0.3">
      <c r="A139" s="965"/>
      <c r="B139" s="919" t="s">
        <v>362</v>
      </c>
      <c r="C139" s="236">
        <v>1</v>
      </c>
      <c r="D139" s="236" t="s">
        <v>18</v>
      </c>
      <c r="E139" s="236">
        <v>2020</v>
      </c>
      <c r="F139" s="237" t="s">
        <v>19</v>
      </c>
      <c r="G139" s="238">
        <f>950/1.1422</f>
        <v>831.72824374015056</v>
      </c>
      <c r="H139" s="93">
        <f t="shared" ref="H139:H146" si="346">G139+((I139-G139)/(2030-2020))*(2025-2020)</f>
        <v>689.45893888986166</v>
      </c>
      <c r="I139" s="239">
        <f>625/1.1422</f>
        <v>547.18963403957275</v>
      </c>
      <c r="J139" s="239">
        <f>537.5/1.1422</f>
        <v>470.5830852740325</v>
      </c>
      <c r="K139" s="93">
        <f t="shared" si="321"/>
        <v>432.2798108912624</v>
      </c>
      <c r="L139" s="239">
        <f>450/1.1422</f>
        <v>393.97653650849236</v>
      </c>
      <c r="M139" s="95">
        <f t="shared" si="336"/>
        <v>317.36998774295228</v>
      </c>
      <c r="N139" s="238">
        <f t="shared" ref="N139:N140" si="347">G139*0.02*$AU$8</f>
        <v>9.697379982803378</v>
      </c>
      <c r="O139" s="93">
        <f t="shared" ref="O139:O141" si="348">N139+((P139-N139)/(2030-2020))*(2025-2020)</f>
        <v>8.0386176173238528</v>
      </c>
      <c r="P139" s="239">
        <f t="shared" ref="P139:P140" si="349">I139*0.02*$AU$8</f>
        <v>6.3798552518443277</v>
      </c>
      <c r="Q139" s="239">
        <f t="shared" ref="Q139:Q140" si="350">J139*0.02*$AU$8</f>
        <v>5.4866755165861214</v>
      </c>
      <c r="R139" s="93">
        <f t="shared" ref="R139:R141" si="351">Q139+((S139-Q139)/(2050-2040))*(2045-2040)</f>
        <v>5.0400856489570183</v>
      </c>
      <c r="S139" s="239">
        <f t="shared" ref="S139:S140" si="352">L139*0.02*$AU$8</f>
        <v>4.5934957813279151</v>
      </c>
      <c r="T139" s="95">
        <f>R139+((S139-R139)/(2050-2045))*(2060-2045)</f>
        <v>3.7003160460697089</v>
      </c>
      <c r="U139" s="240"/>
      <c r="V139" s="236"/>
      <c r="W139" s="236"/>
      <c r="X139" s="236"/>
      <c r="Y139" s="236"/>
      <c r="Z139" s="236"/>
      <c r="AA139" s="30"/>
      <c r="AB139" s="236"/>
      <c r="AC139" s="236"/>
      <c r="AD139" s="236"/>
      <c r="AE139" s="236"/>
      <c r="AF139" s="236"/>
      <c r="AG139" s="236"/>
      <c r="AH139" s="236"/>
      <c r="AI139" s="666">
        <v>66.5</v>
      </c>
      <c r="AJ139" s="101">
        <f t="shared" ref="AJ139:AJ141" si="353">AI139+((AK139-AI139)/(2030-2020))*(2025-2020)</f>
        <v>67.25</v>
      </c>
      <c r="AK139" s="242">
        <v>68</v>
      </c>
      <c r="AL139" s="242">
        <v>71.5</v>
      </c>
      <c r="AM139" s="101">
        <f t="shared" ref="AM139:AM141" si="354">AL139+((AN139-AL139)/(2050-2040))*(2045-2040)</f>
        <v>73.25</v>
      </c>
      <c r="AN139" s="242">
        <v>75</v>
      </c>
      <c r="AO139" s="103">
        <v>75</v>
      </c>
      <c r="AP139" s="667">
        <v>25</v>
      </c>
      <c r="AQ139" s="104" t="s">
        <v>363</v>
      </c>
    </row>
    <row r="140" spans="1:43" x14ac:dyDescent="0.3">
      <c r="A140" s="965"/>
      <c r="B140" s="970"/>
      <c r="C140" s="243">
        <v>1</v>
      </c>
      <c r="D140" s="243" t="s">
        <v>18</v>
      </c>
      <c r="E140" s="243">
        <v>2020</v>
      </c>
      <c r="F140" s="237" t="s">
        <v>19</v>
      </c>
      <c r="G140" s="244">
        <f>500/1.1422</f>
        <v>437.75170723165814</v>
      </c>
      <c r="H140" s="107">
        <f t="shared" si="346"/>
        <v>393.97653650849236</v>
      </c>
      <c r="I140" s="245">
        <f>400/1.1422</f>
        <v>350.20136578532652</v>
      </c>
      <c r="J140" s="245">
        <f>300/1.1422</f>
        <v>262.65102433899489</v>
      </c>
      <c r="K140" s="107">
        <f t="shared" si="321"/>
        <v>218.87585361582907</v>
      </c>
      <c r="L140" s="245">
        <f>200/1.1422</f>
        <v>175.10068289266326</v>
      </c>
      <c r="M140" s="107">
        <v>175.1</v>
      </c>
      <c r="N140" s="244">
        <f t="shared" si="347"/>
        <v>5.1038842014754611</v>
      </c>
      <c r="O140" s="107">
        <f t="shared" si="348"/>
        <v>4.5934957813279151</v>
      </c>
      <c r="P140" s="245">
        <f t="shared" si="349"/>
        <v>4.0831073611803692</v>
      </c>
      <c r="Q140" s="245">
        <f t="shared" si="350"/>
        <v>3.0623305208852765</v>
      </c>
      <c r="R140" s="107">
        <f t="shared" si="351"/>
        <v>2.5519421007377305</v>
      </c>
      <c r="S140" s="245">
        <f t="shared" si="352"/>
        <v>2.0415536805901846</v>
      </c>
      <c r="T140" s="109">
        <v>3.5</v>
      </c>
      <c r="U140" s="247"/>
      <c r="V140" s="1026"/>
      <c r="W140" s="1026"/>
      <c r="X140" s="1026"/>
      <c r="Y140" s="1026"/>
      <c r="Z140" s="1026"/>
      <c r="AA140" s="33"/>
      <c r="AB140" s="243"/>
      <c r="AC140" s="243"/>
      <c r="AD140" s="243"/>
      <c r="AE140" s="243"/>
      <c r="AF140" s="243"/>
      <c r="AG140" s="243"/>
      <c r="AH140" s="243"/>
      <c r="AI140" s="668">
        <v>66.5</v>
      </c>
      <c r="AJ140" s="378">
        <f t="shared" si="353"/>
        <v>67.25</v>
      </c>
      <c r="AK140" s="669">
        <v>68</v>
      </c>
      <c r="AL140" s="669">
        <v>71.5</v>
      </c>
      <c r="AM140" s="378">
        <f t="shared" si="354"/>
        <v>73.25</v>
      </c>
      <c r="AN140" s="669">
        <v>75</v>
      </c>
      <c r="AO140" s="118">
        <v>75</v>
      </c>
      <c r="AP140" s="670">
        <v>25</v>
      </c>
      <c r="AQ140" s="104" t="s">
        <v>364</v>
      </c>
    </row>
    <row r="141" spans="1:43" x14ac:dyDescent="0.3">
      <c r="A141" s="965"/>
      <c r="B141" s="970"/>
      <c r="C141" s="243">
        <v>2</v>
      </c>
      <c r="D141" s="243" t="s">
        <v>23</v>
      </c>
      <c r="E141" s="243">
        <v>2019</v>
      </c>
      <c r="F141" s="237" t="s">
        <v>19</v>
      </c>
      <c r="G141" s="244">
        <f>900/1.1297</f>
        <v>796.67168274763219</v>
      </c>
      <c r="H141" s="107">
        <f t="shared" si="346"/>
        <v>708.15260688678416</v>
      </c>
      <c r="I141" s="245">
        <f>700/1.1297</f>
        <v>619.63353102593612</v>
      </c>
      <c r="J141" s="107">
        <f>I141+((L141-I141)/(2050-2030))*(2040-2030)</f>
        <v>508.98468619987614</v>
      </c>
      <c r="K141" s="107">
        <f t="shared" si="321"/>
        <v>453.66026378684614</v>
      </c>
      <c r="L141" s="245">
        <f>450/1.1297</f>
        <v>398.33584137381609</v>
      </c>
      <c r="M141" s="107">
        <f t="shared" si="336"/>
        <v>287.686996547756</v>
      </c>
      <c r="N141" s="244">
        <f>G141*0.015*$AU$8</f>
        <v>6.9664834222794711</v>
      </c>
      <c r="O141" s="107">
        <f t="shared" si="348"/>
        <v>6.1924297086928632</v>
      </c>
      <c r="P141" s="245">
        <f>I141*0.015*$AU$8</f>
        <v>5.4183759951062553</v>
      </c>
      <c r="Q141" s="107">
        <f>P141+((S141-P141)/(2050-2030))*(2040-2030)</f>
        <v>4.4508088531229957</v>
      </c>
      <c r="R141" s="107">
        <f t="shared" si="351"/>
        <v>3.9670252821313658</v>
      </c>
      <c r="S141" s="245">
        <f>L141*0.015*$AU$8</f>
        <v>3.4832417111397356</v>
      </c>
      <c r="T141" s="109">
        <f>R141+((S141-R141)/(2050-2045))*(2060-2045)</f>
        <v>2.515674569156475</v>
      </c>
      <c r="U141" s="244"/>
      <c r="V141" s="1027"/>
      <c r="W141" s="1027"/>
      <c r="X141" s="1027"/>
      <c r="Y141" s="1027"/>
      <c r="Z141" s="1027"/>
      <c r="AA141" s="246"/>
      <c r="AB141" s="245"/>
      <c r="AC141" s="245"/>
      <c r="AD141" s="245"/>
      <c r="AE141" s="245"/>
      <c r="AF141" s="245"/>
      <c r="AG141" s="245"/>
      <c r="AH141" s="245"/>
      <c r="AI141" s="668">
        <v>64</v>
      </c>
      <c r="AJ141" s="378">
        <f t="shared" si="353"/>
        <v>66.5</v>
      </c>
      <c r="AK141" s="669">
        <v>69</v>
      </c>
      <c r="AL141" s="378">
        <f>AK141+((AN141-AK141)/(2050-2030))*(2040-2030)</f>
        <v>71.5</v>
      </c>
      <c r="AM141" s="378">
        <f t="shared" si="354"/>
        <v>72.75</v>
      </c>
      <c r="AN141" s="669">
        <v>74</v>
      </c>
      <c r="AO141" s="118">
        <v>74</v>
      </c>
      <c r="AP141" s="670"/>
      <c r="AQ141" s="104" t="s">
        <v>365</v>
      </c>
    </row>
    <row r="142" spans="1:43" x14ac:dyDescent="0.3">
      <c r="A142" s="965"/>
      <c r="B142" s="970"/>
      <c r="C142" s="243">
        <v>3</v>
      </c>
      <c r="D142" s="243" t="s">
        <v>28</v>
      </c>
      <c r="E142" s="243">
        <v>2021</v>
      </c>
      <c r="F142" s="237" t="s">
        <v>19</v>
      </c>
      <c r="G142" s="244">
        <f>660/1.1827</f>
        <v>558.04515092584757</v>
      </c>
      <c r="H142" s="107">
        <f t="shared" si="346"/>
        <v>376.25771539697297</v>
      </c>
      <c r="I142" s="245">
        <f>230/1.1827</f>
        <v>194.4702798680984</v>
      </c>
      <c r="J142" s="107">
        <v>194.47</v>
      </c>
      <c r="K142" s="107">
        <v>194.47</v>
      </c>
      <c r="L142" s="107">
        <v>194.47</v>
      </c>
      <c r="M142" s="107">
        <v>194.47</v>
      </c>
      <c r="N142" s="106">
        <f t="shared" ref="N142:N143" si="355">G142*0.02*$AU$8</f>
        <v>6.5064231217564545</v>
      </c>
      <c r="O142" s="107">
        <f t="shared" ref="O142:O143" si="356">H142*0.02*$AU$8</f>
        <v>4.3869064987600339</v>
      </c>
      <c r="P142" s="107">
        <f t="shared" ref="P142:P143" si="357">I142*0.02*$AU$8</f>
        <v>2.2673898757636133</v>
      </c>
      <c r="Q142" s="107">
        <f t="shared" ref="Q142:Q143" si="358">J142*0.02*$AU$8</f>
        <v>2.2673866126938358</v>
      </c>
      <c r="R142" s="107">
        <f t="shared" ref="R142:R143" si="359">K142*0.02*$AU$8</f>
        <v>2.2673866126938358</v>
      </c>
      <c r="S142" s="107">
        <f t="shared" ref="S142:S143" si="360">L142*0.02*$AU$8</f>
        <v>2.2673866126938358</v>
      </c>
      <c r="T142" s="109">
        <f t="shared" ref="T142:T143" si="361">M142*0.02*$AU$8</f>
        <v>2.2673866126938358</v>
      </c>
      <c r="U142" s="244"/>
      <c r="V142" s="1027"/>
      <c r="W142" s="1027"/>
      <c r="X142" s="1027"/>
      <c r="Y142" s="1027"/>
      <c r="Z142" s="1027"/>
      <c r="AA142" s="246"/>
      <c r="AB142" s="245"/>
      <c r="AC142" s="245"/>
      <c r="AD142" s="245"/>
      <c r="AE142" s="245"/>
      <c r="AF142" s="245"/>
      <c r="AG142" s="245"/>
      <c r="AH142" s="245"/>
      <c r="AI142" s="668"/>
      <c r="AJ142" s="669"/>
      <c r="AK142" s="669"/>
      <c r="AL142" s="669"/>
      <c r="AM142" s="669"/>
      <c r="AN142" s="669"/>
      <c r="AO142" s="670"/>
      <c r="AP142" s="670"/>
      <c r="AQ142" s="104" t="s">
        <v>366</v>
      </c>
    </row>
    <row r="143" spans="1:43" x14ac:dyDescent="0.3">
      <c r="A143" s="965"/>
      <c r="B143" s="970"/>
      <c r="C143" s="243">
        <v>3</v>
      </c>
      <c r="D143" s="243" t="s">
        <v>28</v>
      </c>
      <c r="E143" s="243">
        <v>2021</v>
      </c>
      <c r="F143" s="237" t="s">
        <v>19</v>
      </c>
      <c r="G143" s="244">
        <f>1050/1.1827</f>
        <v>887.79910374566668</v>
      </c>
      <c r="H143" s="107">
        <f t="shared" si="346"/>
        <v>604.54891350300159</v>
      </c>
      <c r="I143" s="245">
        <f>380/1.1827</f>
        <v>321.29872326033649</v>
      </c>
      <c r="J143" s="107">
        <v>175.1</v>
      </c>
      <c r="K143" s="107">
        <v>175.1</v>
      </c>
      <c r="L143" s="107">
        <v>175.1</v>
      </c>
      <c r="M143" s="107">
        <v>175.1</v>
      </c>
      <c r="N143" s="106">
        <f t="shared" si="355"/>
        <v>10.351127693703452</v>
      </c>
      <c r="O143" s="107">
        <f t="shared" si="356"/>
        <v>7.0486250485694937</v>
      </c>
      <c r="P143" s="107">
        <f t="shared" si="357"/>
        <v>3.7461224034355349</v>
      </c>
      <c r="Q143" s="107">
        <f t="shared" si="358"/>
        <v>2.0415457185308306</v>
      </c>
      <c r="R143" s="107">
        <f t="shared" si="359"/>
        <v>2.0415457185308306</v>
      </c>
      <c r="S143" s="107">
        <f t="shared" si="360"/>
        <v>2.0415457185308306</v>
      </c>
      <c r="T143" s="109">
        <f t="shared" si="361"/>
        <v>2.0415457185308306</v>
      </c>
      <c r="U143" s="247"/>
      <c r="V143" s="1026"/>
      <c r="W143" s="1026"/>
      <c r="X143" s="1026"/>
      <c r="Y143" s="1026"/>
      <c r="Z143" s="1026"/>
      <c r="AA143" s="33"/>
      <c r="AB143" s="243"/>
      <c r="AC143" s="243"/>
      <c r="AD143" s="243"/>
      <c r="AE143" s="243"/>
      <c r="AF143" s="243"/>
      <c r="AG143" s="243"/>
      <c r="AH143" s="243"/>
      <c r="AI143" s="668"/>
      <c r="AJ143" s="669"/>
      <c r="AK143" s="669"/>
      <c r="AL143" s="669"/>
      <c r="AM143" s="669"/>
      <c r="AN143" s="669"/>
      <c r="AO143" s="670"/>
      <c r="AP143" s="670"/>
      <c r="AQ143" s="104" t="s">
        <v>367</v>
      </c>
    </row>
    <row r="144" spans="1:43" x14ac:dyDescent="0.3">
      <c r="A144" s="965"/>
      <c r="B144" s="970"/>
      <c r="C144" s="243">
        <v>5</v>
      </c>
      <c r="D144" s="243" t="s">
        <v>35</v>
      </c>
      <c r="E144" s="243">
        <v>2021</v>
      </c>
      <c r="F144" s="237" t="s">
        <v>19</v>
      </c>
      <c r="G144" s="244">
        <v>800</v>
      </c>
      <c r="H144" s="107">
        <f t="shared" si="346"/>
        <v>650</v>
      </c>
      <c r="I144" s="245">
        <v>500</v>
      </c>
      <c r="J144" s="245">
        <v>440</v>
      </c>
      <c r="K144" s="107">
        <f t="shared" si="321"/>
        <v>420</v>
      </c>
      <c r="L144" s="245">
        <v>400</v>
      </c>
      <c r="M144" s="107">
        <f t="shared" si="336"/>
        <v>360</v>
      </c>
      <c r="N144" s="244">
        <f>G144*0.04*$AU$8</f>
        <v>18.654900911760873</v>
      </c>
      <c r="O144" s="107">
        <f>N144+((P144-N144)/(2030-2020))*(2025-2020)</f>
        <v>15.157106990805708</v>
      </c>
      <c r="P144" s="245">
        <f>I144*0.04*$AU$8</f>
        <v>11.659313069850546</v>
      </c>
      <c r="Q144" s="245">
        <f>J144*0.04*$AU$8</f>
        <v>10.26019550146848</v>
      </c>
      <c r="R144" s="107">
        <f>Q144+((S144-Q144)/(2050-2040))*(2045-2040)</f>
        <v>9.7938229786744593</v>
      </c>
      <c r="S144" s="245">
        <f>L144*0.04*$AU$8</f>
        <v>9.3274504558804363</v>
      </c>
      <c r="T144" s="109">
        <f>R144+((S144-R144)/(2050-2045))*(2060-2045)</f>
        <v>8.3947054102923904</v>
      </c>
      <c r="U144" s="247"/>
      <c r="V144" s="1026"/>
      <c r="W144" s="1026"/>
      <c r="X144" s="1026"/>
      <c r="Y144" s="1026"/>
      <c r="Z144" s="1026"/>
      <c r="AA144" s="33"/>
      <c r="AB144" s="243"/>
      <c r="AC144" s="243"/>
      <c r="AD144" s="243"/>
      <c r="AE144" s="243"/>
      <c r="AF144" s="243"/>
      <c r="AG144" s="243"/>
      <c r="AH144" s="243"/>
      <c r="AI144" s="668"/>
      <c r="AJ144" s="669"/>
      <c r="AK144" s="669"/>
      <c r="AL144" s="669"/>
      <c r="AM144" s="245"/>
      <c r="AN144" s="669"/>
      <c r="AO144" s="670"/>
      <c r="AP144" s="670">
        <v>25</v>
      </c>
      <c r="AQ144" s="104" t="s">
        <v>368</v>
      </c>
    </row>
    <row r="145" spans="1:43" x14ac:dyDescent="0.3">
      <c r="A145" s="965"/>
      <c r="B145" s="970"/>
      <c r="C145" s="243">
        <v>6</v>
      </c>
      <c r="D145" s="243" t="s">
        <v>39</v>
      </c>
      <c r="E145" s="243">
        <v>2020</v>
      </c>
      <c r="F145" s="237" t="s">
        <v>19</v>
      </c>
      <c r="G145" s="244">
        <f t="shared" ref="G145:G146" si="362">1480/1.1422</f>
        <v>1295.7450534057082</v>
      </c>
      <c r="H145" s="107">
        <f t="shared" si="346"/>
        <v>1019.9614778497635</v>
      </c>
      <c r="I145" s="245">
        <f>850/1.1422</f>
        <v>744.17790229381887</v>
      </c>
      <c r="J145" s="245">
        <f>630/1.1422</f>
        <v>551.5671511118893</v>
      </c>
      <c r="K145" s="107">
        <f t="shared" si="321"/>
        <v>455.26177552092452</v>
      </c>
      <c r="L145" s="107">
        <f t="shared" ref="L145:L146" si="363">I145+((J145-I145)/(2040-2030))*(2050-2030)</f>
        <v>358.95639992995973</v>
      </c>
      <c r="M145" s="107">
        <f t="shared" si="336"/>
        <v>166.34564874803016</v>
      </c>
      <c r="N145" s="106">
        <f t="shared" ref="N145:N146" si="364">G145*0.02*$AU$8</f>
        <v>15.107497236367367</v>
      </c>
      <c r="O145" s="107">
        <f t="shared" ref="O145:O146" si="365">H145*0.02*$AU$8</f>
        <v>11.892050189437825</v>
      </c>
      <c r="P145" s="107">
        <f t="shared" ref="P145:P146" si="366">I145*0.02*$AU$8</f>
        <v>8.6766031425082843</v>
      </c>
      <c r="Q145" s="107">
        <f t="shared" ref="Q145:Q146" si="367">J145*0.02*$AU$8</f>
        <v>6.4308940938590817</v>
      </c>
      <c r="R145" s="107">
        <f t="shared" ref="R145:R146" si="368">K145*0.02*$AU$8</f>
        <v>5.30803956953448</v>
      </c>
      <c r="S145" s="107">
        <f t="shared" ref="S145:S146" si="369">L145*0.02*$AU$8</f>
        <v>4.1851850452098791</v>
      </c>
      <c r="T145" s="109">
        <f t="shared" ref="T145:T146" si="370">M145*0.02*$AU$8</f>
        <v>1.939475996560676</v>
      </c>
      <c r="U145" s="247"/>
      <c r="V145" s="1026"/>
      <c r="W145" s="1026"/>
      <c r="X145" s="1026"/>
      <c r="Y145" s="1026"/>
      <c r="Z145" s="1026"/>
      <c r="AA145" s="33"/>
      <c r="AB145" s="243"/>
      <c r="AC145" s="243"/>
      <c r="AD145" s="243"/>
      <c r="AE145" s="243"/>
      <c r="AF145" s="243"/>
      <c r="AG145" s="243"/>
      <c r="AH145" s="243"/>
      <c r="AI145" s="668"/>
      <c r="AJ145" s="669"/>
      <c r="AK145" s="669"/>
      <c r="AL145" s="669"/>
      <c r="AM145" s="245"/>
      <c r="AN145" s="669"/>
      <c r="AO145" s="670"/>
      <c r="AP145" s="670"/>
      <c r="AQ145" s="104" t="s">
        <v>369</v>
      </c>
    </row>
    <row r="146" spans="1:43" x14ac:dyDescent="0.3">
      <c r="A146" s="965"/>
      <c r="B146" s="971"/>
      <c r="C146" s="248">
        <v>6</v>
      </c>
      <c r="D146" s="248" t="s">
        <v>39</v>
      </c>
      <c r="E146" s="248">
        <v>2020</v>
      </c>
      <c r="F146" s="237" t="s">
        <v>19</v>
      </c>
      <c r="G146" s="671">
        <f t="shared" si="362"/>
        <v>1295.7450534057082</v>
      </c>
      <c r="H146" s="122">
        <f t="shared" si="346"/>
        <v>849.23831202941687</v>
      </c>
      <c r="I146" s="249">
        <f>460/1.1422</f>
        <v>402.73157065312552</v>
      </c>
      <c r="J146" s="249">
        <f>360/1.1422</f>
        <v>315.18122920679389</v>
      </c>
      <c r="K146" s="122">
        <f t="shared" si="321"/>
        <v>271.40605848362804</v>
      </c>
      <c r="L146" s="122">
        <f t="shared" si="363"/>
        <v>227.63088776046226</v>
      </c>
      <c r="M146" s="122">
        <f t="shared" si="336"/>
        <v>140.08054631413069</v>
      </c>
      <c r="N146" s="607">
        <f t="shared" si="364"/>
        <v>15.107497236367367</v>
      </c>
      <c r="O146" s="122">
        <f t="shared" si="365"/>
        <v>9.901535350862396</v>
      </c>
      <c r="P146" s="122">
        <f t="shared" si="366"/>
        <v>4.695573465357425</v>
      </c>
      <c r="Q146" s="122">
        <f t="shared" si="367"/>
        <v>3.6747966250623323</v>
      </c>
      <c r="R146" s="122">
        <f t="shared" si="368"/>
        <v>3.1644082049147864</v>
      </c>
      <c r="S146" s="122">
        <f t="shared" si="369"/>
        <v>2.65401978476724</v>
      </c>
      <c r="T146" s="303">
        <f t="shared" si="370"/>
        <v>1.6332429444721486</v>
      </c>
      <c r="U146" s="250"/>
      <c r="V146" s="248"/>
      <c r="W146" s="248"/>
      <c r="X146" s="248"/>
      <c r="Y146" s="248"/>
      <c r="Z146" s="248"/>
      <c r="AA146" s="36"/>
      <c r="AB146" s="248"/>
      <c r="AC146" s="248"/>
      <c r="AD146" s="248"/>
      <c r="AE146" s="248"/>
      <c r="AF146" s="248"/>
      <c r="AG146" s="248"/>
      <c r="AH146" s="248"/>
      <c r="AI146" s="672"/>
      <c r="AJ146" s="673"/>
      <c r="AK146" s="673"/>
      <c r="AL146" s="673"/>
      <c r="AM146" s="249"/>
      <c r="AN146" s="673"/>
      <c r="AO146" s="674"/>
      <c r="AP146" s="674"/>
      <c r="AQ146" s="104" t="s">
        <v>370</v>
      </c>
    </row>
    <row r="147" spans="1:43" x14ac:dyDescent="0.3">
      <c r="A147" s="965"/>
      <c r="B147" s="251" t="s">
        <v>267</v>
      </c>
      <c r="C147" s="252"/>
      <c r="D147" s="252"/>
      <c r="E147" s="252"/>
      <c r="F147" s="252"/>
      <c r="G147" s="253">
        <f t="shared" ref="G147:T147" si="371">MIN(G139:G146)</f>
        <v>437.75170723165814</v>
      </c>
      <c r="H147" s="254">
        <f t="shared" si="371"/>
        <v>376.25771539697297</v>
      </c>
      <c r="I147" s="254">
        <f t="shared" si="371"/>
        <v>194.4702798680984</v>
      </c>
      <c r="J147" s="254">
        <f t="shared" si="371"/>
        <v>175.1</v>
      </c>
      <c r="K147" s="254">
        <f t="shared" si="371"/>
        <v>175.1</v>
      </c>
      <c r="L147" s="254">
        <f t="shared" si="371"/>
        <v>175.1</v>
      </c>
      <c r="M147" s="254">
        <f t="shared" si="371"/>
        <v>140.08054631413069</v>
      </c>
      <c r="N147" s="253">
        <f t="shared" si="371"/>
        <v>5.1038842014754611</v>
      </c>
      <c r="O147" s="254">
        <f t="shared" si="371"/>
        <v>4.3869064987600339</v>
      </c>
      <c r="P147" s="254">
        <f t="shared" si="371"/>
        <v>2.2673898757636133</v>
      </c>
      <c r="Q147" s="254">
        <f t="shared" si="371"/>
        <v>2.0415457185308306</v>
      </c>
      <c r="R147" s="254">
        <f t="shared" si="371"/>
        <v>2.0415457185308306</v>
      </c>
      <c r="S147" s="254">
        <f t="shared" si="371"/>
        <v>2.0415457185308306</v>
      </c>
      <c r="T147" s="254">
        <f t="shared" si="371"/>
        <v>1.6332429444721486</v>
      </c>
      <c r="U147" s="256"/>
      <c r="V147" s="252"/>
      <c r="W147" s="252"/>
      <c r="X147" s="252"/>
      <c r="Y147" s="252"/>
      <c r="Z147" s="252"/>
      <c r="AA147" s="259"/>
      <c r="AB147" s="252"/>
      <c r="AC147" s="252"/>
      <c r="AD147" s="252"/>
      <c r="AE147" s="252"/>
      <c r="AF147" s="252"/>
      <c r="AG147" s="252"/>
      <c r="AH147" s="252"/>
      <c r="AI147" s="675">
        <f t="shared" ref="AI147:AP147" si="372">MIN(AI139:AI146)</f>
        <v>64</v>
      </c>
      <c r="AJ147" s="257">
        <f t="shared" si="372"/>
        <v>66.5</v>
      </c>
      <c r="AK147" s="257">
        <f t="shared" si="372"/>
        <v>68</v>
      </c>
      <c r="AL147" s="257">
        <f t="shared" si="372"/>
        <v>71.5</v>
      </c>
      <c r="AM147" s="257">
        <f t="shared" si="372"/>
        <v>72.75</v>
      </c>
      <c r="AN147" s="257">
        <f t="shared" si="372"/>
        <v>74</v>
      </c>
      <c r="AO147" s="258">
        <f t="shared" si="372"/>
        <v>74</v>
      </c>
      <c r="AP147" s="258">
        <f t="shared" si="372"/>
        <v>25</v>
      </c>
      <c r="AQ147" s="104"/>
    </row>
    <row r="148" spans="1:43" x14ac:dyDescent="0.3">
      <c r="A148" s="965"/>
      <c r="B148" s="260" t="s">
        <v>268</v>
      </c>
      <c r="C148" s="261"/>
      <c r="D148" s="261"/>
      <c r="E148" s="261"/>
      <c r="F148" s="261"/>
      <c r="G148" s="262">
        <f t="shared" ref="G148:T148" si="373">MEDIAN(G139:G146)</f>
        <v>815.86412187007522</v>
      </c>
      <c r="H148" s="263">
        <f t="shared" si="373"/>
        <v>669.72946944493083</v>
      </c>
      <c r="I148" s="263">
        <f t="shared" si="373"/>
        <v>451.36578532656279</v>
      </c>
      <c r="J148" s="263">
        <f t="shared" si="373"/>
        <v>377.59061460339694</v>
      </c>
      <c r="K148" s="263">
        <f t="shared" si="373"/>
        <v>345.70302924181402</v>
      </c>
      <c r="L148" s="263">
        <f t="shared" si="373"/>
        <v>293.29364384521102</v>
      </c>
      <c r="M148" s="263">
        <f t="shared" si="373"/>
        <v>184.785</v>
      </c>
      <c r="N148" s="262">
        <f t="shared" si="373"/>
        <v>10.024253838253415</v>
      </c>
      <c r="O148" s="263">
        <f t="shared" si="373"/>
        <v>7.5436213329466728</v>
      </c>
      <c r="P148" s="263">
        <f t="shared" si="373"/>
        <v>5.0569747302318397</v>
      </c>
      <c r="Q148" s="263">
        <f t="shared" si="373"/>
        <v>4.062802739092664</v>
      </c>
      <c r="R148" s="263">
        <f t="shared" si="373"/>
        <v>3.5657167435230761</v>
      </c>
      <c r="S148" s="263">
        <f t="shared" si="373"/>
        <v>3.0686307479534878</v>
      </c>
      <c r="T148" s="263">
        <f t="shared" si="373"/>
        <v>2.3915305909251554</v>
      </c>
      <c r="U148" s="265"/>
      <c r="V148" s="1028"/>
      <c r="W148" s="1028"/>
      <c r="X148" s="1028"/>
      <c r="Y148" s="1028"/>
      <c r="Z148" s="1028"/>
      <c r="AA148" s="268"/>
      <c r="AB148" s="261"/>
      <c r="AC148" s="261"/>
      <c r="AD148" s="261"/>
      <c r="AE148" s="261"/>
      <c r="AF148" s="261"/>
      <c r="AG148" s="261"/>
      <c r="AH148" s="261"/>
      <c r="AI148" s="676">
        <f t="shared" ref="AI148:AP148" si="374">MEDIAN(AI139:AI146)</f>
        <v>66.5</v>
      </c>
      <c r="AJ148" s="266">
        <f t="shared" si="374"/>
        <v>67.25</v>
      </c>
      <c r="AK148" s="266">
        <f t="shared" si="374"/>
        <v>68</v>
      </c>
      <c r="AL148" s="266">
        <f t="shared" si="374"/>
        <v>71.5</v>
      </c>
      <c r="AM148" s="266">
        <f t="shared" si="374"/>
        <v>73.25</v>
      </c>
      <c r="AN148" s="266">
        <f t="shared" si="374"/>
        <v>75</v>
      </c>
      <c r="AO148" s="267">
        <f t="shared" si="374"/>
        <v>75</v>
      </c>
      <c r="AP148" s="267">
        <f t="shared" si="374"/>
        <v>25</v>
      </c>
      <c r="AQ148" s="104"/>
    </row>
    <row r="149" spans="1:43" x14ac:dyDescent="0.3">
      <c r="A149" s="966"/>
      <c r="B149" s="269" t="s">
        <v>269</v>
      </c>
      <c r="C149" s="274"/>
      <c r="D149" s="274"/>
      <c r="E149" s="274"/>
      <c r="F149" s="274"/>
      <c r="G149" s="270">
        <f t="shared" ref="G149:T149" si="375">MAX(G139:G146)</f>
        <v>1295.7450534057082</v>
      </c>
      <c r="H149" s="271">
        <f t="shared" si="375"/>
        <v>1019.9614778497635</v>
      </c>
      <c r="I149" s="271">
        <f t="shared" si="375"/>
        <v>744.17790229381887</v>
      </c>
      <c r="J149" s="271">
        <f t="shared" si="375"/>
        <v>551.5671511118893</v>
      </c>
      <c r="K149" s="271">
        <f t="shared" si="375"/>
        <v>455.26177552092452</v>
      </c>
      <c r="L149" s="271">
        <f t="shared" si="375"/>
        <v>400</v>
      </c>
      <c r="M149" s="271">
        <f t="shared" si="375"/>
        <v>360</v>
      </c>
      <c r="N149" s="270">
        <f t="shared" si="375"/>
        <v>18.654900911760873</v>
      </c>
      <c r="O149" s="271">
        <f t="shared" si="375"/>
        <v>15.157106990805708</v>
      </c>
      <c r="P149" s="271">
        <f t="shared" si="375"/>
        <v>11.659313069850546</v>
      </c>
      <c r="Q149" s="271">
        <f t="shared" si="375"/>
        <v>10.26019550146848</v>
      </c>
      <c r="R149" s="271">
        <f t="shared" si="375"/>
        <v>9.7938229786744593</v>
      </c>
      <c r="S149" s="271">
        <f t="shared" si="375"/>
        <v>9.3274504558804363</v>
      </c>
      <c r="T149" s="271">
        <f t="shared" si="375"/>
        <v>8.3947054102923904</v>
      </c>
      <c r="U149" s="273"/>
      <c r="V149" s="274"/>
      <c r="W149" s="274"/>
      <c r="X149" s="274"/>
      <c r="Y149" s="274"/>
      <c r="Z149" s="274"/>
      <c r="AA149" s="277"/>
      <c r="AB149" s="274"/>
      <c r="AC149" s="274"/>
      <c r="AD149" s="274"/>
      <c r="AE149" s="274"/>
      <c r="AF149" s="274"/>
      <c r="AG149" s="274"/>
      <c r="AH149" s="274"/>
      <c r="AI149" s="677">
        <f>MAX(AI139:AI146)</f>
        <v>66.5</v>
      </c>
      <c r="AJ149" s="275">
        <f t="shared" ref="AJ149:AO149" si="376">MAX(AJ139:AJ146)</f>
        <v>67.25</v>
      </c>
      <c r="AK149" s="275">
        <f t="shared" si="376"/>
        <v>69</v>
      </c>
      <c r="AL149" s="275">
        <f t="shared" si="376"/>
        <v>71.5</v>
      </c>
      <c r="AM149" s="275">
        <f t="shared" si="376"/>
        <v>73.25</v>
      </c>
      <c r="AN149" s="275">
        <f t="shared" si="376"/>
        <v>75</v>
      </c>
      <c r="AO149" s="276">
        <f t="shared" si="376"/>
        <v>75</v>
      </c>
      <c r="AP149" s="276">
        <f>MAX(AP139:AP146)</f>
        <v>25</v>
      </c>
      <c r="AQ149" s="104"/>
    </row>
    <row r="151" spans="1:43" x14ac:dyDescent="0.3">
      <c r="B151" t="s">
        <v>371</v>
      </c>
      <c r="C151" s="12"/>
      <c r="D151" s="12"/>
      <c r="E151" s="14"/>
      <c r="F151" s="14"/>
    </row>
    <row r="152" spans="1:43" x14ac:dyDescent="0.3">
      <c r="B152" s="616">
        <v>1</v>
      </c>
      <c r="C152" s="616" t="s">
        <v>18</v>
      </c>
      <c r="D152" s="616">
        <v>2020</v>
      </c>
      <c r="E152" s="617" t="s">
        <v>19</v>
      </c>
      <c r="F152" s="617"/>
      <c r="N152" s="616">
        <v>7</v>
      </c>
      <c r="O152" s="616" t="s">
        <v>42</v>
      </c>
      <c r="P152" s="616">
        <v>2020</v>
      </c>
      <c r="Q152" s="617" t="s">
        <v>19</v>
      </c>
      <c r="R152" s="617"/>
      <c r="S152" s="83"/>
      <c r="T152" s="14"/>
      <c r="AM152" s="14"/>
    </row>
    <row r="153" spans="1:43" x14ac:dyDescent="0.3">
      <c r="B153" t="s">
        <v>326</v>
      </c>
      <c r="N153" t="s">
        <v>330</v>
      </c>
    </row>
    <row r="169" spans="2:35" x14ac:dyDescent="0.3">
      <c r="B169" s="618">
        <v>2</v>
      </c>
      <c r="C169" s="618" t="s">
        <v>23</v>
      </c>
      <c r="D169" s="618">
        <v>2019</v>
      </c>
      <c r="E169" s="617" t="s">
        <v>19</v>
      </c>
      <c r="F169" s="617"/>
      <c r="Z169" s="82"/>
      <c r="AI169" s="83"/>
    </row>
    <row r="170" spans="2:35" x14ac:dyDescent="0.3">
      <c r="B170" t="s">
        <v>372</v>
      </c>
    </row>
    <row r="179" spans="2:6" x14ac:dyDescent="0.3">
      <c r="B179" s="685">
        <v>3</v>
      </c>
      <c r="C179" s="685" t="s">
        <v>28</v>
      </c>
      <c r="D179" s="685">
        <v>2021</v>
      </c>
      <c r="E179" s="617" t="s">
        <v>19</v>
      </c>
      <c r="F179" s="617"/>
    </row>
    <row r="180" spans="2:6" x14ac:dyDescent="0.3">
      <c r="B180" t="s">
        <v>373</v>
      </c>
    </row>
    <row r="210" spans="2:6" x14ac:dyDescent="0.3">
      <c r="B210" t="s">
        <v>328</v>
      </c>
    </row>
    <row r="211" spans="2:6" x14ac:dyDescent="0.3">
      <c r="B211" s="618">
        <v>4</v>
      </c>
      <c r="C211" s="618" t="s">
        <v>31</v>
      </c>
      <c r="D211" s="618">
        <v>2022</v>
      </c>
      <c r="E211" s="617" t="s">
        <v>19</v>
      </c>
      <c r="F211" s="617"/>
    </row>
    <row r="220" spans="2:6" x14ac:dyDescent="0.3">
      <c r="B220" t="s">
        <v>335</v>
      </c>
    </row>
    <row r="221" spans="2:6" x14ac:dyDescent="0.3">
      <c r="B221" s="618">
        <v>5</v>
      </c>
      <c r="C221" s="618" t="s">
        <v>35</v>
      </c>
      <c r="D221" s="618">
        <v>2021</v>
      </c>
      <c r="E221" s="617" t="s">
        <v>19</v>
      </c>
      <c r="F221" s="617"/>
    </row>
    <row r="222" spans="2:6" x14ac:dyDescent="0.3">
      <c r="B222" t="s">
        <v>336</v>
      </c>
    </row>
    <row r="232" spans="2:6" x14ac:dyDescent="0.3">
      <c r="B232" s="13" t="s">
        <v>374</v>
      </c>
      <c r="C232" s="12"/>
      <c r="D232" s="12"/>
      <c r="E232" t="s">
        <v>375</v>
      </c>
    </row>
    <row r="233" spans="2:6" x14ac:dyDescent="0.3">
      <c r="B233" s="616">
        <v>6</v>
      </c>
      <c r="C233" s="616" t="s">
        <v>39</v>
      </c>
      <c r="D233" s="616">
        <v>2020</v>
      </c>
      <c r="E233" s="617" t="s">
        <v>19</v>
      </c>
      <c r="F233" s="617"/>
    </row>
    <row r="234" spans="2:6" x14ac:dyDescent="0.3">
      <c r="B234" t="s">
        <v>334</v>
      </c>
    </row>
    <row r="246" spans="1:13" x14ac:dyDescent="0.3">
      <c r="B246" s="81" t="s">
        <v>376</v>
      </c>
      <c r="C246" s="81"/>
      <c r="D246" s="81"/>
      <c r="E246" s="686" t="s">
        <v>377</v>
      </c>
      <c r="F246" s="686"/>
      <c r="G246" s="686"/>
      <c r="H246" s="686"/>
      <c r="I246" s="686"/>
      <c r="J246" s="686"/>
      <c r="K246" s="686"/>
      <c r="L246" s="686" t="s">
        <v>378</v>
      </c>
      <c r="M246" s="686"/>
    </row>
    <row r="247" spans="1:13" x14ac:dyDescent="0.3">
      <c r="E247" s="686" t="s">
        <v>379</v>
      </c>
      <c r="F247" s="686"/>
      <c r="G247" s="686"/>
      <c r="H247" s="686"/>
      <c r="I247" s="686"/>
      <c r="J247" s="686"/>
      <c r="K247" s="686"/>
      <c r="L247" s="686"/>
      <c r="M247" s="686"/>
    </row>
    <row r="250" spans="1:13" x14ac:dyDescent="0.3">
      <c r="A250" t="s">
        <v>380</v>
      </c>
    </row>
    <row r="256" spans="1:13" x14ac:dyDescent="0.3">
      <c r="A256" t="s">
        <v>381</v>
      </c>
    </row>
    <row r="294" spans="1:1" x14ac:dyDescent="0.3">
      <c r="A294" t="s">
        <v>382</v>
      </c>
    </row>
    <row r="331" spans="2:39" x14ac:dyDescent="0.3">
      <c r="Q331" t="s">
        <v>383</v>
      </c>
    </row>
    <row r="332" spans="2:39" x14ac:dyDescent="0.3">
      <c r="B332" s="616">
        <v>9</v>
      </c>
      <c r="C332" s="616" t="s">
        <v>50</v>
      </c>
      <c r="D332" s="616">
        <v>2021</v>
      </c>
      <c r="E332" s="617" t="s">
        <v>19</v>
      </c>
      <c r="F332" s="617"/>
      <c r="Q332" s="616">
        <v>10</v>
      </c>
      <c r="R332" s="616"/>
      <c r="S332" s="616" t="s">
        <v>55</v>
      </c>
      <c r="T332" s="616"/>
      <c r="U332" s="616">
        <v>2018</v>
      </c>
      <c r="V332" s="617" t="s">
        <v>19</v>
      </c>
      <c r="AM332" s="12"/>
    </row>
    <row r="333" spans="2:39" x14ac:dyDescent="0.3">
      <c r="B333" t="s">
        <v>232</v>
      </c>
      <c r="Q333" t="s">
        <v>384</v>
      </c>
    </row>
  </sheetData>
  <mergeCells count="30">
    <mergeCell ref="U1:AA1"/>
    <mergeCell ref="AI1:AO1"/>
    <mergeCell ref="AP1:AP2"/>
    <mergeCell ref="AQ1:AQ2"/>
    <mergeCell ref="A3:A38"/>
    <mergeCell ref="B3:B7"/>
    <mergeCell ref="B11:B15"/>
    <mergeCell ref="B19:B24"/>
    <mergeCell ref="B28:B35"/>
    <mergeCell ref="A1:A2"/>
    <mergeCell ref="B1:B2"/>
    <mergeCell ref="C1:F1"/>
    <mergeCell ref="G1:M1"/>
    <mergeCell ref="N1:T1"/>
    <mergeCell ref="AB1:AH1"/>
    <mergeCell ref="A40:A75"/>
    <mergeCell ref="B40:B44"/>
    <mergeCell ref="B48:B52"/>
    <mergeCell ref="B56:B61"/>
    <mergeCell ref="B65:B72"/>
    <mergeCell ref="A77:A112"/>
    <mergeCell ref="B77:B81"/>
    <mergeCell ref="B85:B89"/>
    <mergeCell ref="B93:B98"/>
    <mergeCell ref="B102:B109"/>
    <mergeCell ref="A114:A149"/>
    <mergeCell ref="B114:B118"/>
    <mergeCell ref="B122:B126"/>
    <mergeCell ref="B130:B135"/>
    <mergeCell ref="B139:B146"/>
  </mergeCells>
  <hyperlinks>
    <hyperlink ref="F3" r:id="rId1" xr:uid="{00000000-0004-0000-0400-000000000000}"/>
    <hyperlink ref="F4" r:id="rId2" xr:uid="{00000000-0004-0000-0400-000001000000}"/>
    <hyperlink ref="F5" r:id="rId3" xr:uid="{00000000-0004-0000-0400-000002000000}"/>
    <hyperlink ref="F6" r:id="rId4" xr:uid="{00000000-0004-0000-0400-000003000000}"/>
    <hyperlink ref="F7" r:id="rId5" xr:uid="{00000000-0004-0000-0400-000004000000}"/>
    <hyperlink ref="F11" r:id="rId6" xr:uid="{00000000-0004-0000-0400-000005000000}"/>
    <hyperlink ref="F12" r:id="rId7" xr:uid="{00000000-0004-0000-0400-000006000000}"/>
    <hyperlink ref="F13" r:id="rId8" xr:uid="{00000000-0004-0000-0400-000007000000}"/>
    <hyperlink ref="F14" r:id="rId9" xr:uid="{00000000-0004-0000-0400-000008000000}"/>
    <hyperlink ref="F15" r:id="rId10" xr:uid="{00000000-0004-0000-0400-000009000000}"/>
    <hyperlink ref="F19" r:id="rId11" xr:uid="{00000000-0004-0000-0400-00000A000000}"/>
    <hyperlink ref="F20" r:id="rId12" xr:uid="{00000000-0004-0000-0400-00000B000000}"/>
    <hyperlink ref="F21" r:id="rId13" xr:uid="{00000000-0004-0000-0400-00000C000000}"/>
    <hyperlink ref="F22" r:id="rId14" xr:uid="{00000000-0004-0000-0400-00000D000000}"/>
    <hyperlink ref="F23" r:id="rId15" xr:uid="{00000000-0004-0000-0400-00000E000000}"/>
    <hyperlink ref="F24" r:id="rId16" xr:uid="{00000000-0004-0000-0400-00000F000000}"/>
    <hyperlink ref="F28" r:id="rId17" xr:uid="{00000000-0004-0000-0400-000010000000}"/>
    <hyperlink ref="F29" r:id="rId18" xr:uid="{00000000-0004-0000-0400-000011000000}"/>
    <hyperlink ref="F30" r:id="rId19" xr:uid="{00000000-0004-0000-0400-000012000000}"/>
    <hyperlink ref="F31" r:id="rId20" xr:uid="{00000000-0004-0000-0400-000013000000}"/>
    <hyperlink ref="F32" r:id="rId21" xr:uid="{00000000-0004-0000-0400-000014000000}"/>
    <hyperlink ref="F33" r:id="rId22" xr:uid="{00000000-0004-0000-0400-000015000000}"/>
    <hyperlink ref="F34" r:id="rId23" xr:uid="{00000000-0004-0000-0400-000016000000}"/>
    <hyperlink ref="F35" r:id="rId24" xr:uid="{00000000-0004-0000-0400-000017000000}"/>
    <hyperlink ref="F40" r:id="rId25" xr:uid="{00000000-0004-0000-0400-000018000000}"/>
    <hyperlink ref="F41" r:id="rId26" xr:uid="{00000000-0004-0000-0400-000019000000}"/>
    <hyperlink ref="F42" r:id="rId27" xr:uid="{00000000-0004-0000-0400-00001A000000}"/>
    <hyperlink ref="F43" r:id="rId28" xr:uid="{00000000-0004-0000-0400-00001B000000}"/>
    <hyperlink ref="F44" r:id="rId29" xr:uid="{00000000-0004-0000-0400-00001C000000}"/>
    <hyperlink ref="F48" r:id="rId30" xr:uid="{00000000-0004-0000-0400-00001D000000}"/>
    <hyperlink ref="F49" r:id="rId31" xr:uid="{00000000-0004-0000-0400-00001E000000}"/>
    <hyperlink ref="F50" r:id="rId32" xr:uid="{00000000-0004-0000-0400-00001F000000}"/>
    <hyperlink ref="F51" r:id="rId33" xr:uid="{00000000-0004-0000-0400-000020000000}"/>
    <hyperlink ref="F52" r:id="rId34" xr:uid="{00000000-0004-0000-0400-000021000000}"/>
    <hyperlink ref="F56" r:id="rId35" xr:uid="{00000000-0004-0000-0400-000022000000}"/>
    <hyperlink ref="F57" r:id="rId36" xr:uid="{00000000-0004-0000-0400-000023000000}"/>
    <hyperlink ref="F58" r:id="rId37" xr:uid="{00000000-0004-0000-0400-000024000000}"/>
    <hyperlink ref="F59" r:id="rId38" xr:uid="{00000000-0004-0000-0400-000025000000}"/>
    <hyperlink ref="F60" r:id="rId39" xr:uid="{00000000-0004-0000-0400-000026000000}"/>
    <hyperlink ref="F61" r:id="rId40" xr:uid="{00000000-0004-0000-0400-000027000000}"/>
    <hyperlink ref="F65" r:id="rId41" xr:uid="{00000000-0004-0000-0400-000028000000}"/>
    <hyperlink ref="F66" r:id="rId42" xr:uid="{00000000-0004-0000-0400-000029000000}"/>
    <hyperlink ref="F67" r:id="rId43" xr:uid="{00000000-0004-0000-0400-00002A000000}"/>
    <hyperlink ref="F68" r:id="rId44" xr:uid="{00000000-0004-0000-0400-00002B000000}"/>
    <hyperlink ref="F69" r:id="rId45" xr:uid="{00000000-0004-0000-0400-00002C000000}"/>
    <hyperlink ref="F70" r:id="rId46" xr:uid="{00000000-0004-0000-0400-00002D000000}"/>
    <hyperlink ref="F71" r:id="rId47" xr:uid="{00000000-0004-0000-0400-00002E000000}"/>
    <hyperlink ref="F72" r:id="rId48" xr:uid="{00000000-0004-0000-0400-00002F000000}"/>
    <hyperlink ref="F77" r:id="rId49" xr:uid="{00000000-0004-0000-0400-000030000000}"/>
    <hyperlink ref="F78" r:id="rId50" xr:uid="{00000000-0004-0000-0400-000031000000}"/>
    <hyperlink ref="F79" r:id="rId51" xr:uid="{00000000-0004-0000-0400-000032000000}"/>
    <hyperlink ref="F80" r:id="rId52" xr:uid="{00000000-0004-0000-0400-000033000000}"/>
    <hyperlink ref="F81" r:id="rId53" xr:uid="{00000000-0004-0000-0400-000034000000}"/>
    <hyperlink ref="F85" r:id="rId54" xr:uid="{00000000-0004-0000-0400-000035000000}"/>
    <hyperlink ref="F86" r:id="rId55" xr:uid="{00000000-0004-0000-0400-000036000000}"/>
    <hyperlink ref="F87" r:id="rId56" xr:uid="{00000000-0004-0000-0400-000037000000}"/>
    <hyperlink ref="F88" r:id="rId57" xr:uid="{00000000-0004-0000-0400-000038000000}"/>
    <hyperlink ref="F89" r:id="rId58" xr:uid="{00000000-0004-0000-0400-000039000000}"/>
    <hyperlink ref="F93" r:id="rId59" xr:uid="{00000000-0004-0000-0400-00003A000000}"/>
    <hyperlink ref="F94" r:id="rId60" xr:uid="{00000000-0004-0000-0400-00003B000000}"/>
    <hyperlink ref="F95" r:id="rId61" xr:uid="{00000000-0004-0000-0400-00003C000000}"/>
    <hyperlink ref="F96" r:id="rId62" xr:uid="{00000000-0004-0000-0400-00003D000000}"/>
    <hyperlink ref="F97" r:id="rId63" xr:uid="{00000000-0004-0000-0400-00003E000000}"/>
    <hyperlink ref="F98" r:id="rId64" xr:uid="{00000000-0004-0000-0400-00003F000000}"/>
    <hyperlink ref="F102" r:id="rId65" xr:uid="{00000000-0004-0000-0400-000040000000}"/>
    <hyperlink ref="F103" r:id="rId66" xr:uid="{00000000-0004-0000-0400-000041000000}"/>
    <hyperlink ref="F104" r:id="rId67" xr:uid="{00000000-0004-0000-0400-000042000000}"/>
    <hyperlink ref="F105" r:id="rId68" xr:uid="{00000000-0004-0000-0400-000043000000}"/>
    <hyperlink ref="F106" r:id="rId69" xr:uid="{00000000-0004-0000-0400-000044000000}"/>
    <hyperlink ref="F107" r:id="rId70" xr:uid="{00000000-0004-0000-0400-000045000000}"/>
    <hyperlink ref="F108" r:id="rId71" xr:uid="{00000000-0004-0000-0400-000046000000}"/>
    <hyperlink ref="F109" r:id="rId72" xr:uid="{00000000-0004-0000-0400-000047000000}"/>
    <hyperlink ref="F114" r:id="rId73" xr:uid="{00000000-0004-0000-0400-000048000000}"/>
    <hyperlink ref="F115" r:id="rId74" xr:uid="{00000000-0004-0000-0400-000049000000}"/>
    <hyperlink ref="F116" r:id="rId75" xr:uid="{00000000-0004-0000-0400-00004A000000}"/>
    <hyperlink ref="F117" r:id="rId76" xr:uid="{00000000-0004-0000-0400-00004B000000}"/>
    <hyperlink ref="F118" r:id="rId77" xr:uid="{00000000-0004-0000-0400-00004C000000}"/>
    <hyperlink ref="F122" r:id="rId78" xr:uid="{00000000-0004-0000-0400-00004D000000}"/>
    <hyperlink ref="F123" r:id="rId79" xr:uid="{00000000-0004-0000-0400-00004E000000}"/>
    <hyperlink ref="F124" r:id="rId80" xr:uid="{00000000-0004-0000-0400-00004F000000}"/>
    <hyperlink ref="F125" r:id="rId81" xr:uid="{00000000-0004-0000-0400-000050000000}"/>
    <hyperlink ref="F126" r:id="rId82" xr:uid="{00000000-0004-0000-0400-000051000000}"/>
    <hyperlink ref="F130" r:id="rId83" xr:uid="{00000000-0004-0000-0400-000052000000}"/>
    <hyperlink ref="F131" r:id="rId84" xr:uid="{00000000-0004-0000-0400-000053000000}"/>
    <hyperlink ref="F132" r:id="rId85" xr:uid="{00000000-0004-0000-0400-000054000000}"/>
    <hyperlink ref="F133" r:id="rId86" xr:uid="{00000000-0004-0000-0400-000055000000}"/>
    <hyperlink ref="F134" r:id="rId87" xr:uid="{00000000-0004-0000-0400-000056000000}"/>
    <hyperlink ref="F135" r:id="rId88" xr:uid="{00000000-0004-0000-0400-000057000000}"/>
    <hyperlink ref="F139" r:id="rId89" xr:uid="{00000000-0004-0000-0400-000058000000}"/>
    <hyperlink ref="F140" r:id="rId90" xr:uid="{00000000-0004-0000-0400-000059000000}"/>
    <hyperlink ref="F141" r:id="rId91" xr:uid="{00000000-0004-0000-0400-00005A000000}"/>
    <hyperlink ref="F142" r:id="rId92" xr:uid="{00000000-0004-0000-0400-00005B000000}"/>
    <hyperlink ref="F143" r:id="rId93" xr:uid="{00000000-0004-0000-0400-00005C000000}"/>
    <hyperlink ref="F144" r:id="rId94" xr:uid="{00000000-0004-0000-0400-00005D000000}"/>
    <hyperlink ref="F145" r:id="rId95" xr:uid="{00000000-0004-0000-0400-00005E000000}"/>
    <hyperlink ref="F146" r:id="rId96" xr:uid="{00000000-0004-0000-0400-00005F000000}"/>
    <hyperlink ref="E152" r:id="rId97" xr:uid="{00000000-0004-0000-0400-000060000000}"/>
    <hyperlink ref="Q152" r:id="rId98" xr:uid="{00000000-0004-0000-0400-000061000000}"/>
    <hyperlink ref="E169" r:id="rId99" xr:uid="{00000000-0004-0000-0400-000062000000}"/>
    <hyperlink ref="E179" r:id="rId100" xr:uid="{00000000-0004-0000-0400-000063000000}"/>
    <hyperlink ref="E211" r:id="rId101" xr:uid="{00000000-0004-0000-0400-000064000000}"/>
    <hyperlink ref="E221" r:id="rId102" xr:uid="{00000000-0004-0000-0400-000065000000}"/>
    <hyperlink ref="E233" r:id="rId103" xr:uid="{00000000-0004-0000-0400-000066000000}"/>
    <hyperlink ref="E332" r:id="rId104" xr:uid="{00000000-0004-0000-0400-000067000000}"/>
    <hyperlink ref="V332" r:id="rId105" xr:uid="{00000000-0004-0000-0400-000068000000}"/>
  </hyperlinks>
  <pageMargins left="0.7" right="0.7" top="0.78740157500000008" bottom="0.78740157500000008" header="0.3" footer="0.3"/>
  <pageSetup paperSize="9" orientation="portrait" verticalDpi="0"/>
  <drawing r:id="rId106"/>
  <legacyDrawing r:id="rId10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BG353"/>
  <sheetViews>
    <sheetView zoomScale="84" workbookViewId="0">
      <selection activeCell="H226" sqref="H226"/>
    </sheetView>
  </sheetViews>
  <sheetFormatPr baseColWidth="10" defaultRowHeight="14.4" x14ac:dyDescent="0.3"/>
  <cols>
    <col min="2" max="2" width="12.44140625" customWidth="1"/>
    <col min="7" max="10" width="11.6640625" bestFit="1" customWidth="1"/>
    <col min="11" max="11" width="11.6640625" customWidth="1"/>
    <col min="12" max="12" width="11" bestFit="1" customWidth="1"/>
    <col min="13" max="13" width="11.6640625" customWidth="1"/>
    <col min="14" max="16" width="11.6640625" bestFit="1" customWidth="1"/>
    <col min="17" max="17" width="11" bestFit="1" customWidth="1"/>
    <col min="18" max="18" width="11.6640625" customWidth="1"/>
    <col min="19" max="19" width="11" bestFit="1" customWidth="1"/>
    <col min="20" max="20" width="11.6640625" customWidth="1"/>
    <col min="25" max="25" width="11.6640625" customWidth="1"/>
    <col min="27" max="27" width="11.6640625" customWidth="1"/>
    <col min="32" max="32" width="11.6640625" customWidth="1"/>
    <col min="34" max="34" width="11.6640625" customWidth="1"/>
    <col min="39" max="39" width="11.6640625" customWidth="1"/>
    <col min="41" max="41" width="11.6640625" customWidth="1"/>
  </cols>
  <sheetData>
    <row r="1" spans="1:59" x14ac:dyDescent="0.3">
      <c r="A1" s="914" t="s">
        <v>245</v>
      </c>
      <c r="B1" s="914" t="s">
        <v>1</v>
      </c>
      <c r="C1" s="949" t="s">
        <v>246</v>
      </c>
      <c r="D1" s="950"/>
      <c r="E1" s="950"/>
      <c r="F1" s="951"/>
      <c r="G1" s="949" t="s">
        <v>247</v>
      </c>
      <c r="H1" s="950"/>
      <c r="I1" s="950"/>
      <c r="J1" s="950"/>
      <c r="K1" s="950"/>
      <c r="L1" s="950"/>
      <c r="M1" s="951"/>
      <c r="N1" s="914" t="s">
        <v>248</v>
      </c>
      <c r="O1" s="915"/>
      <c r="P1" s="915"/>
      <c r="Q1" s="915"/>
      <c r="R1" s="915"/>
      <c r="S1" s="915"/>
      <c r="T1" s="916"/>
      <c r="U1" s="914" t="s">
        <v>249</v>
      </c>
      <c r="V1" s="915"/>
      <c r="W1" s="915"/>
      <c r="X1" s="915"/>
      <c r="Y1" s="915"/>
      <c r="Z1" s="915"/>
      <c r="AA1" s="916"/>
      <c r="AB1" s="914" t="s">
        <v>250</v>
      </c>
      <c r="AC1" s="915"/>
      <c r="AD1" s="915"/>
      <c r="AE1" s="915"/>
      <c r="AF1" s="915"/>
      <c r="AG1" s="915"/>
      <c r="AH1" s="916"/>
      <c r="AI1" s="914" t="s">
        <v>251</v>
      </c>
      <c r="AJ1" s="915"/>
      <c r="AK1" s="915"/>
      <c r="AL1" s="915"/>
      <c r="AM1" s="915"/>
      <c r="AN1" s="915"/>
      <c r="AO1" s="916"/>
      <c r="AP1" s="914" t="s">
        <v>252</v>
      </c>
      <c r="AQ1" s="916"/>
      <c r="AR1" s="933" t="s">
        <v>253</v>
      </c>
    </row>
    <row r="2" spans="1:59" x14ac:dyDescent="0.3">
      <c r="A2" s="946"/>
      <c r="B2" s="946"/>
      <c r="C2" s="86" t="s">
        <v>254</v>
      </c>
      <c r="D2" s="87" t="s">
        <v>255</v>
      </c>
      <c r="E2" s="85" t="s">
        <v>256</v>
      </c>
      <c r="F2" s="622" t="s">
        <v>19</v>
      </c>
      <c r="G2" s="85">
        <v>2020</v>
      </c>
      <c r="H2" s="85">
        <v>2025</v>
      </c>
      <c r="I2" s="85">
        <v>2030</v>
      </c>
      <c r="J2" s="85">
        <v>2040</v>
      </c>
      <c r="K2" s="85">
        <v>2045</v>
      </c>
      <c r="L2" s="85">
        <v>2050</v>
      </c>
      <c r="M2" s="85">
        <v>2060</v>
      </c>
      <c r="N2" s="88">
        <v>2020</v>
      </c>
      <c r="O2" s="85">
        <v>2025</v>
      </c>
      <c r="P2" s="85">
        <v>2030</v>
      </c>
      <c r="Q2" s="85">
        <v>2040</v>
      </c>
      <c r="R2" s="85">
        <v>2045</v>
      </c>
      <c r="S2" s="85">
        <v>2050</v>
      </c>
      <c r="T2" s="85">
        <v>2060</v>
      </c>
      <c r="U2" s="88">
        <v>2020</v>
      </c>
      <c r="V2" s="85">
        <v>2025</v>
      </c>
      <c r="W2" s="85">
        <v>2030</v>
      </c>
      <c r="X2" s="85">
        <v>2040</v>
      </c>
      <c r="Y2" s="85">
        <v>2045</v>
      </c>
      <c r="Z2" s="85">
        <v>2050</v>
      </c>
      <c r="AA2" s="85">
        <v>2060</v>
      </c>
      <c r="AB2" s="88">
        <v>2020</v>
      </c>
      <c r="AC2" s="85">
        <v>2025</v>
      </c>
      <c r="AD2" s="85">
        <v>2030</v>
      </c>
      <c r="AE2" s="85">
        <v>2040</v>
      </c>
      <c r="AF2" s="85">
        <v>2045</v>
      </c>
      <c r="AG2" s="85">
        <v>2050</v>
      </c>
      <c r="AH2" s="85">
        <v>2060</v>
      </c>
      <c r="AI2" s="88">
        <v>2020</v>
      </c>
      <c r="AJ2" s="85">
        <v>2025</v>
      </c>
      <c r="AK2" s="85">
        <v>2030</v>
      </c>
      <c r="AL2" s="85">
        <v>2040</v>
      </c>
      <c r="AM2" s="85">
        <v>2045</v>
      </c>
      <c r="AN2" s="85">
        <v>2050</v>
      </c>
      <c r="AO2" s="85">
        <v>2060</v>
      </c>
      <c r="AP2" s="88" t="s">
        <v>257</v>
      </c>
      <c r="AQ2" s="89" t="s">
        <v>258</v>
      </c>
      <c r="AR2" s="934"/>
    </row>
    <row r="3" spans="1:59" x14ac:dyDescent="0.3">
      <c r="A3" s="981" t="s">
        <v>259</v>
      </c>
      <c r="B3" s="983" t="s">
        <v>52</v>
      </c>
      <c r="C3" s="687">
        <v>1</v>
      </c>
      <c r="D3" s="90" t="s">
        <v>18</v>
      </c>
      <c r="E3" s="90">
        <v>2020</v>
      </c>
      <c r="F3" s="688" t="s">
        <v>19</v>
      </c>
      <c r="G3" s="94">
        <f>(5385)/1.1422/3.805</f>
        <v>1239.0501673810666</v>
      </c>
      <c r="H3" s="93">
        <f>G3+((I3-G3)/(2030-2020))*(2025-2020)</f>
        <v>1177.0401357916148</v>
      </c>
      <c r="I3" s="94">
        <f>(4846)/1.1422/3.805</f>
        <v>1115.0301042021633</v>
      </c>
      <c r="J3" s="94">
        <f>(4362)/1.1422/3.805</f>
        <v>1003.6651495109029</v>
      </c>
      <c r="K3" s="93">
        <f>J3+((L3-J3)/(2050-2040))*(2045-2040)</f>
        <v>947.86762572447606</v>
      </c>
      <c r="L3" s="94">
        <f>(3877)/1.1422/3.805</f>
        <v>892.07010193804922</v>
      </c>
      <c r="M3" s="95">
        <f>K3+((L3-K3)/(2050-2045))*(2060-2045)</f>
        <v>780.47505436519555</v>
      </c>
      <c r="N3" s="447">
        <f t="shared" ref="N3:N4" si="0">G3*0.04</f>
        <v>49.562006695242665</v>
      </c>
      <c r="O3" s="93">
        <f>N3+((P3-N3)/(2030-2020))*(2025-2020)</f>
        <v>47.081605431664599</v>
      </c>
      <c r="P3" s="94">
        <f>I3*0.04</f>
        <v>44.601204168086532</v>
      </c>
      <c r="Q3" s="94">
        <f>J3*0.04</f>
        <v>40.146605980436114</v>
      </c>
      <c r="R3" s="93">
        <f>Q3+((S3-Q3)/(2050-2040))*(2045-2040)</f>
        <v>37.914705028979043</v>
      </c>
      <c r="S3" s="94">
        <f>L3*0.04</f>
        <v>35.682804077521972</v>
      </c>
      <c r="T3" s="93">
        <f>R3+((S3-R3)/(2050-2045))*(2060-2045)</f>
        <v>31.21900217460783</v>
      </c>
      <c r="U3" s="96"/>
      <c r="V3" s="97"/>
      <c r="W3" s="97"/>
      <c r="X3" s="97"/>
      <c r="Y3" s="94"/>
      <c r="Z3" s="97"/>
      <c r="AA3" s="94"/>
      <c r="AB3" s="96">
        <v>30</v>
      </c>
      <c r="AC3" s="100">
        <v>30</v>
      </c>
      <c r="AD3" s="97">
        <v>30</v>
      </c>
      <c r="AE3" s="97">
        <v>30</v>
      </c>
      <c r="AF3" s="101">
        <f>AE3+((AG3-AE3)/(2050-2040))*(2045-2040)</f>
        <v>30</v>
      </c>
      <c r="AG3" s="102">
        <v>30</v>
      </c>
      <c r="AH3" s="101">
        <f>AF3+((AG3-AF3)/(2050-2045))*(2060-2045)</f>
        <v>30</v>
      </c>
      <c r="AI3" s="96"/>
      <c r="AJ3" s="97"/>
      <c r="AK3" s="97"/>
      <c r="AL3" s="97"/>
      <c r="AM3" s="94"/>
      <c r="AN3" s="97"/>
      <c r="AO3" s="94"/>
      <c r="AP3" s="96"/>
      <c r="AQ3" s="43"/>
      <c r="AR3" s="104"/>
    </row>
    <row r="4" spans="1:59" x14ac:dyDescent="0.3">
      <c r="A4" s="981"/>
      <c r="B4" s="984"/>
      <c r="C4" s="689">
        <v>2</v>
      </c>
      <c r="D4" s="105" t="s">
        <v>23</v>
      </c>
      <c r="E4" s="105">
        <v>2019</v>
      </c>
      <c r="F4" s="690" t="s">
        <v>19</v>
      </c>
      <c r="G4" s="108">
        <f>((1400*10^6)/1.1297)/(260*10^3)/3.805</f>
        <v>1252.6706378771578</v>
      </c>
      <c r="H4" s="108"/>
      <c r="I4" s="108"/>
      <c r="J4" s="108"/>
      <c r="K4" s="108"/>
      <c r="L4" s="108"/>
      <c r="M4" s="108"/>
      <c r="N4" s="113">
        <f t="shared" si="0"/>
        <v>50.106825515086314</v>
      </c>
      <c r="O4" s="108"/>
      <c r="P4" s="108"/>
      <c r="Q4" s="108"/>
      <c r="R4" s="108"/>
      <c r="S4" s="108"/>
      <c r="T4" s="108"/>
      <c r="U4" s="110"/>
      <c r="V4" s="111"/>
      <c r="W4" s="111"/>
      <c r="X4" s="111"/>
      <c r="Y4" s="108"/>
      <c r="Z4" s="111"/>
      <c r="AA4" s="108"/>
      <c r="AB4" s="110"/>
      <c r="AC4" s="111"/>
      <c r="AD4" s="111"/>
      <c r="AE4" s="111"/>
      <c r="AF4" s="117"/>
      <c r="AG4" s="117"/>
      <c r="AH4" s="117"/>
      <c r="AI4" s="110"/>
      <c r="AJ4" s="111"/>
      <c r="AK4" s="111"/>
      <c r="AL4" s="111"/>
      <c r="AM4" s="108"/>
      <c r="AN4" s="111"/>
      <c r="AO4" s="108"/>
      <c r="AP4" s="110"/>
      <c r="AQ4" s="46"/>
      <c r="AR4" s="104"/>
      <c r="BD4" t="s">
        <v>123</v>
      </c>
    </row>
    <row r="5" spans="1:59" x14ac:dyDescent="0.3">
      <c r="A5" s="981"/>
      <c r="B5" s="984"/>
      <c r="C5" s="689">
        <v>9</v>
      </c>
      <c r="D5" s="105" t="s">
        <v>50</v>
      </c>
      <c r="E5" s="105">
        <v>2021</v>
      </c>
      <c r="F5" s="690" t="s">
        <v>19</v>
      </c>
      <c r="G5" s="108"/>
      <c r="H5" s="108"/>
      <c r="I5" s="108"/>
      <c r="J5" s="108"/>
      <c r="K5" s="108"/>
      <c r="L5" s="108"/>
      <c r="M5" s="108"/>
      <c r="N5" s="113"/>
      <c r="O5" s="108"/>
      <c r="P5" s="108"/>
      <c r="Q5" s="108"/>
      <c r="R5" s="108"/>
      <c r="S5" s="108"/>
      <c r="T5" s="108"/>
      <c r="U5" s="110"/>
      <c r="V5" s="111"/>
      <c r="W5" s="111"/>
      <c r="X5" s="111"/>
      <c r="Y5" s="108"/>
      <c r="Z5" s="111"/>
      <c r="AA5" s="108"/>
      <c r="AB5" s="110"/>
      <c r="AC5" s="111"/>
      <c r="AD5" s="111"/>
      <c r="AE5" s="111"/>
      <c r="AF5" s="117"/>
      <c r="AG5" s="117"/>
      <c r="AH5" s="117"/>
      <c r="AI5" s="110"/>
      <c r="AJ5" s="111"/>
      <c r="AK5" s="111"/>
      <c r="AL5" s="111"/>
      <c r="AM5" s="108"/>
      <c r="AN5" s="111"/>
      <c r="AO5" s="108"/>
      <c r="AP5" s="110"/>
      <c r="AQ5" s="46"/>
      <c r="AR5" s="104" t="s">
        <v>385</v>
      </c>
      <c r="BD5" t="s">
        <v>128</v>
      </c>
      <c r="BE5" s="76">
        <v>1.3486719798104709</v>
      </c>
      <c r="BF5" s="76"/>
      <c r="BG5" s="76"/>
    </row>
    <row r="6" spans="1:59" x14ac:dyDescent="0.3">
      <c r="A6" s="981"/>
      <c r="B6" s="984"/>
      <c r="C6" s="689">
        <v>11</v>
      </c>
      <c r="D6" s="105" t="s">
        <v>57</v>
      </c>
      <c r="E6" s="105">
        <v>2022</v>
      </c>
      <c r="F6" s="690" t="s">
        <v>19</v>
      </c>
      <c r="G6" s="107">
        <f t="shared" ref="G6:G7" si="1">H6+((I6-H6)/(2030-2025))*(2020-2025)</f>
        <v>2272.7657055889067</v>
      </c>
      <c r="H6" s="107">
        <f t="shared" ref="H6:H7" si="2">I6+((J6-I6)/(2040-2030))*(2025-2030)</f>
        <v>1922.9305825653166</v>
      </c>
      <c r="I6" s="108">
        <f>1860.5/1.1827</f>
        <v>1573.0954595417265</v>
      </c>
      <c r="J6" s="108">
        <f>1033/1.1827</f>
        <v>873.42521349454637</v>
      </c>
      <c r="K6" s="107">
        <f t="shared" ref="K6:K7" si="3">J6+((L6-J6)/(2050-2040))*(2045-2040)</f>
        <v>691.80688255686141</v>
      </c>
      <c r="L6" s="108">
        <f>603.4/1.1827</f>
        <v>510.18855161917639</v>
      </c>
      <c r="M6" s="107">
        <v>510.18855161917639</v>
      </c>
      <c r="N6" s="106">
        <f t="shared" ref="N6:N7" si="4">O6+((P6-O6)/(2030-2025))*(2020-2025)</f>
        <v>90.910628223556273</v>
      </c>
      <c r="O6" s="107">
        <f t="shared" ref="O6:O7" si="5">P6+((Q6-P6)/(2040-2030))*(2025-2030)</f>
        <v>76.917223302612669</v>
      </c>
      <c r="P6" s="108">
        <f t="shared" ref="P6:P7" si="6">I6*0.04</f>
        <v>62.923818381669065</v>
      </c>
      <c r="Q6" s="108">
        <f t="shared" ref="Q6:Q7" si="7">J6*0.04</f>
        <v>34.937008539781857</v>
      </c>
      <c r="R6" s="107">
        <f t="shared" ref="R6:R7" si="8">Q6+((S6-Q6)/(2050-2040))*(2045-2040)</f>
        <v>27.672275302274457</v>
      </c>
      <c r="S6" s="108">
        <f t="shared" ref="S6:S7" si="9">L6*0.04</f>
        <v>20.407542064767057</v>
      </c>
      <c r="T6" s="107">
        <v>20.41</v>
      </c>
      <c r="U6" s="110"/>
      <c r="V6" s="111"/>
      <c r="W6" s="111"/>
      <c r="X6" s="111"/>
      <c r="Y6" s="108"/>
      <c r="Z6" s="111"/>
      <c r="AA6" s="108"/>
      <c r="AB6" s="110"/>
      <c r="AC6" s="111"/>
      <c r="AD6" s="111"/>
      <c r="AE6" s="111"/>
      <c r="AF6" s="117"/>
      <c r="AG6" s="117"/>
      <c r="AH6" s="117"/>
      <c r="AI6" s="106">
        <f t="shared" ref="AI6:AI7" si="10">AJ6+((AK6-AJ6)/(2030-2025))*(2020-2025)</f>
        <v>92</v>
      </c>
      <c r="AJ6" s="297">
        <f t="shared" ref="AJ6:AJ7" si="11">AK6+((AL6-AK6)/(2040-2030))*(2025-2030)</f>
        <v>93.5</v>
      </c>
      <c r="AK6" s="111">
        <v>95</v>
      </c>
      <c r="AL6" s="111">
        <v>98</v>
      </c>
      <c r="AM6" s="378">
        <f t="shared" ref="AM6:AM7" si="12">AL6+((AN6-AL6)/(2050-2040))*(2045-2040)</f>
        <v>99</v>
      </c>
      <c r="AN6" s="111">
        <v>100</v>
      </c>
      <c r="AO6" s="117">
        <v>100</v>
      </c>
      <c r="AP6" s="110"/>
      <c r="AQ6" s="46"/>
      <c r="AR6" s="104" t="s">
        <v>386</v>
      </c>
      <c r="BD6" t="s">
        <v>132</v>
      </c>
      <c r="BE6" s="76">
        <v>1.3374192380309164</v>
      </c>
    </row>
    <row r="7" spans="1:59" x14ac:dyDescent="0.3">
      <c r="A7" s="981"/>
      <c r="B7" s="984"/>
      <c r="C7" s="689">
        <v>11</v>
      </c>
      <c r="D7" s="105" t="s">
        <v>57</v>
      </c>
      <c r="E7" s="105">
        <v>2022</v>
      </c>
      <c r="F7" s="690" t="s">
        <v>19</v>
      </c>
      <c r="G7" s="107">
        <f t="shared" si="1"/>
        <v>4788.2810518305578</v>
      </c>
      <c r="H7" s="107">
        <f t="shared" si="2"/>
        <v>3951.5092584763679</v>
      </c>
      <c r="I7" s="108">
        <f>(3683.8)/1.1827</f>
        <v>3114.737465122178</v>
      </c>
      <c r="J7" s="108">
        <f>(1704.5)/1.1827</f>
        <v>1441.1938784137988</v>
      </c>
      <c r="K7" s="107">
        <f t="shared" si="3"/>
        <v>1141.4982666779401</v>
      </c>
      <c r="L7" s="108">
        <f>(995.6)/1.1827</f>
        <v>841.80265494208163</v>
      </c>
      <c r="M7" s="107">
        <v>841.80265494208163</v>
      </c>
      <c r="N7" s="106">
        <f t="shared" si="4"/>
        <v>191.5312420732223</v>
      </c>
      <c r="O7" s="107">
        <f t="shared" si="5"/>
        <v>158.06037033905471</v>
      </c>
      <c r="P7" s="108">
        <f t="shared" si="6"/>
        <v>124.58949860488713</v>
      </c>
      <c r="Q7" s="108">
        <f t="shared" si="7"/>
        <v>57.64775513655195</v>
      </c>
      <c r="R7" s="107">
        <f t="shared" si="8"/>
        <v>45.659930667117607</v>
      </c>
      <c r="S7" s="108">
        <f t="shared" si="9"/>
        <v>33.672106197683263</v>
      </c>
      <c r="T7" s="107">
        <v>33.67</v>
      </c>
      <c r="U7" s="110"/>
      <c r="V7" s="111"/>
      <c r="W7" s="111"/>
      <c r="X7" s="111"/>
      <c r="Y7" s="108"/>
      <c r="Z7" s="111"/>
      <c r="AA7" s="108"/>
      <c r="AB7" s="110"/>
      <c r="AC7" s="111"/>
      <c r="AD7" s="111"/>
      <c r="AE7" s="111"/>
      <c r="AF7" s="117"/>
      <c r="AG7" s="117"/>
      <c r="AH7" s="117"/>
      <c r="AI7" s="106">
        <f t="shared" si="10"/>
        <v>92</v>
      </c>
      <c r="AJ7" s="297">
        <f t="shared" si="11"/>
        <v>93.5</v>
      </c>
      <c r="AK7" s="111">
        <v>95</v>
      </c>
      <c r="AL7" s="111">
        <v>98</v>
      </c>
      <c r="AM7" s="378">
        <f t="shared" si="12"/>
        <v>99</v>
      </c>
      <c r="AN7" s="111">
        <v>100</v>
      </c>
      <c r="AO7" s="117">
        <v>100</v>
      </c>
      <c r="AP7" s="110"/>
      <c r="AQ7" s="46"/>
      <c r="AR7" s="116" t="s">
        <v>387</v>
      </c>
      <c r="BD7" t="s">
        <v>130</v>
      </c>
      <c r="BE7" s="76">
        <v>0.58296565349252727</v>
      </c>
    </row>
    <row r="8" spans="1:59" x14ac:dyDescent="0.3">
      <c r="A8" s="981"/>
      <c r="B8" s="985"/>
      <c r="C8" s="691">
        <v>4</v>
      </c>
      <c r="D8" s="120" t="s">
        <v>31</v>
      </c>
      <c r="E8" s="120">
        <v>2022</v>
      </c>
      <c r="F8" s="692" t="s">
        <v>19</v>
      </c>
      <c r="G8" s="121">
        <f>870.56</f>
        <v>870.56</v>
      </c>
      <c r="H8" s="121">
        <f>870.56</f>
        <v>870.56</v>
      </c>
      <c r="I8" s="121">
        <f>870.56</f>
        <v>870.56</v>
      </c>
      <c r="J8" s="121">
        <v>696.45</v>
      </c>
      <c r="K8" s="121">
        <v>609.39</v>
      </c>
      <c r="L8" s="121">
        <v>522.34</v>
      </c>
      <c r="M8" s="122">
        <v>522.34</v>
      </c>
      <c r="N8" s="587">
        <f t="shared" ref="N8:S8" si="13">G8*0.025</f>
        <v>21.763999999999999</v>
      </c>
      <c r="O8" s="121">
        <f t="shared" si="13"/>
        <v>21.763999999999999</v>
      </c>
      <c r="P8" s="121">
        <f t="shared" si="13"/>
        <v>21.763999999999999</v>
      </c>
      <c r="Q8" s="121">
        <f t="shared" si="13"/>
        <v>17.411250000000003</v>
      </c>
      <c r="R8" s="121">
        <f t="shared" si="13"/>
        <v>15.23475</v>
      </c>
      <c r="S8" s="121">
        <f t="shared" si="13"/>
        <v>13.058500000000002</v>
      </c>
      <c r="T8" s="107">
        <v>13.06</v>
      </c>
      <c r="U8" s="123"/>
      <c r="V8" s="124"/>
      <c r="W8" s="124"/>
      <c r="X8" s="124"/>
      <c r="Y8" s="121"/>
      <c r="Z8" s="124"/>
      <c r="AA8" s="121"/>
      <c r="AB8" s="123">
        <v>20</v>
      </c>
      <c r="AC8" s="124">
        <v>20</v>
      </c>
      <c r="AD8" s="124">
        <v>20</v>
      </c>
      <c r="AE8" s="124">
        <v>20</v>
      </c>
      <c r="AF8" s="639">
        <v>20</v>
      </c>
      <c r="AG8" s="639">
        <v>20</v>
      </c>
      <c r="AH8" s="386">
        <f>AF8+((AG8-AF8)/(2050-2045))*(2060-2045)</f>
        <v>20</v>
      </c>
      <c r="AI8" s="587"/>
      <c r="AJ8" s="124"/>
      <c r="AK8" s="124"/>
      <c r="AL8" s="124"/>
      <c r="AM8" s="121"/>
      <c r="AN8" s="124"/>
      <c r="AO8" s="121"/>
      <c r="AP8" s="123"/>
      <c r="AQ8" s="51"/>
      <c r="AR8" s="116"/>
    </row>
    <row r="9" spans="1:59" x14ac:dyDescent="0.3">
      <c r="A9" s="981"/>
      <c r="B9" s="693" t="s">
        <v>267</v>
      </c>
      <c r="C9" s="139"/>
      <c r="D9" s="134"/>
      <c r="E9" s="134"/>
      <c r="F9" s="140"/>
      <c r="G9" s="128">
        <f>MIN(G3:G4, G6:G8)</f>
        <v>870.56</v>
      </c>
      <c r="H9" s="128">
        <f t="shared" ref="H9:M9" si="14">MIN(H3:H4, H6:H8)</f>
        <v>870.56</v>
      </c>
      <c r="I9" s="128">
        <f t="shared" si="14"/>
        <v>870.56</v>
      </c>
      <c r="J9" s="128">
        <f t="shared" si="14"/>
        <v>696.45</v>
      </c>
      <c r="K9" s="128">
        <f t="shared" si="14"/>
        <v>609.39</v>
      </c>
      <c r="L9" s="128">
        <f t="shared" si="14"/>
        <v>510.18855161917639</v>
      </c>
      <c r="M9" s="128">
        <f t="shared" si="14"/>
        <v>510.18855161917639</v>
      </c>
      <c r="N9" s="127">
        <f>MIN(N3:N8)</f>
        <v>21.763999999999999</v>
      </c>
      <c r="O9" s="128">
        <f t="shared" ref="O9:T9" si="15">MIN(O3:O8)</f>
        <v>21.763999999999999</v>
      </c>
      <c r="P9" s="128">
        <f t="shared" si="15"/>
        <v>21.763999999999999</v>
      </c>
      <c r="Q9" s="128">
        <f t="shared" si="15"/>
        <v>17.411250000000003</v>
      </c>
      <c r="R9" s="128">
        <f t="shared" si="15"/>
        <v>15.23475</v>
      </c>
      <c r="S9" s="128">
        <f t="shared" si="15"/>
        <v>13.058500000000002</v>
      </c>
      <c r="T9" s="128">
        <f t="shared" si="15"/>
        <v>13.06</v>
      </c>
      <c r="U9" s="131"/>
      <c r="V9" s="126"/>
      <c r="W9" s="126"/>
      <c r="X9" s="126"/>
      <c r="Y9" s="128"/>
      <c r="Z9" s="126"/>
      <c r="AA9" s="128"/>
      <c r="AB9" s="131">
        <f>MIN(AB3:AB8)</f>
        <v>20</v>
      </c>
      <c r="AC9" s="126">
        <f t="shared" ref="AC9:AO9" si="16">MIN(AC3:AC8)</f>
        <v>20</v>
      </c>
      <c r="AD9" s="126">
        <f t="shared" si="16"/>
        <v>20</v>
      </c>
      <c r="AE9" s="126">
        <f t="shared" si="16"/>
        <v>20</v>
      </c>
      <c r="AF9" s="641">
        <f t="shared" si="16"/>
        <v>20</v>
      </c>
      <c r="AG9" s="641">
        <f t="shared" si="16"/>
        <v>20</v>
      </c>
      <c r="AH9" s="641">
        <f t="shared" si="16"/>
        <v>20</v>
      </c>
      <c r="AI9" s="131">
        <f t="shared" si="16"/>
        <v>92</v>
      </c>
      <c r="AJ9" s="126">
        <f t="shared" si="16"/>
        <v>93.5</v>
      </c>
      <c r="AK9" s="126">
        <f t="shared" si="16"/>
        <v>95</v>
      </c>
      <c r="AL9" s="126">
        <f t="shared" si="16"/>
        <v>98</v>
      </c>
      <c r="AM9" s="126">
        <f t="shared" si="16"/>
        <v>99</v>
      </c>
      <c r="AN9" s="126">
        <f t="shared" si="16"/>
        <v>100</v>
      </c>
      <c r="AO9" s="126">
        <f t="shared" si="16"/>
        <v>100</v>
      </c>
      <c r="AP9" s="131"/>
      <c r="AQ9" s="132"/>
      <c r="AR9" s="104"/>
    </row>
    <row r="10" spans="1:59" x14ac:dyDescent="0.3">
      <c r="A10" s="981"/>
      <c r="B10" s="694" t="s">
        <v>268</v>
      </c>
      <c r="C10" s="139"/>
      <c r="D10" s="134"/>
      <c r="E10" s="134"/>
      <c r="F10" s="140"/>
      <c r="G10" s="136">
        <f>MEDIAN(G3:G4, G6:G8)</f>
        <v>1252.6706378771578</v>
      </c>
      <c r="H10" s="136">
        <f t="shared" ref="H10:M10" si="17">MEDIAN(H3:H4, H6:H8)</f>
        <v>1549.9853591784658</v>
      </c>
      <c r="I10" s="136">
        <f t="shared" si="17"/>
        <v>1344.0627818719449</v>
      </c>
      <c r="J10" s="136">
        <f t="shared" si="17"/>
        <v>938.54518150272463</v>
      </c>
      <c r="K10" s="136">
        <f t="shared" si="17"/>
        <v>819.83725414066873</v>
      </c>
      <c r="L10" s="136">
        <f t="shared" si="17"/>
        <v>682.07132747104083</v>
      </c>
      <c r="M10" s="136">
        <f t="shared" si="17"/>
        <v>651.40752718259773</v>
      </c>
      <c r="N10" s="135">
        <f>MEDIAN(N3:N8)</f>
        <v>50.106825515086314</v>
      </c>
      <c r="O10" s="136">
        <f t="shared" ref="O10:T10" si="18">MEDIAN(O3:O8)</f>
        <v>61.999414367138634</v>
      </c>
      <c r="P10" s="136">
        <f t="shared" si="18"/>
        <v>53.762511274877795</v>
      </c>
      <c r="Q10" s="136">
        <f t="shared" si="18"/>
        <v>37.541807260108982</v>
      </c>
      <c r="R10" s="136">
        <f t="shared" si="18"/>
        <v>32.79349016562675</v>
      </c>
      <c r="S10" s="136">
        <f t="shared" si="18"/>
        <v>27.03982413122516</v>
      </c>
      <c r="T10" s="136">
        <f t="shared" si="18"/>
        <v>25.814501087303917</v>
      </c>
      <c r="U10" s="139"/>
      <c r="V10" s="134"/>
      <c r="W10" s="134"/>
      <c r="X10" s="134"/>
      <c r="Y10" s="136"/>
      <c r="Z10" s="134"/>
      <c r="AA10" s="136"/>
      <c r="AB10" s="139">
        <f t="shared" ref="AB10:AO10" si="19">MEDIAN(AB3:AB8)</f>
        <v>25</v>
      </c>
      <c r="AC10" s="134">
        <f t="shared" si="19"/>
        <v>25</v>
      </c>
      <c r="AD10" s="134">
        <f t="shared" si="19"/>
        <v>25</v>
      </c>
      <c r="AE10" s="134">
        <f t="shared" si="19"/>
        <v>25</v>
      </c>
      <c r="AF10" s="644">
        <f t="shared" si="19"/>
        <v>25</v>
      </c>
      <c r="AG10" s="644">
        <f t="shared" si="19"/>
        <v>25</v>
      </c>
      <c r="AH10" s="644">
        <f t="shared" si="19"/>
        <v>25</v>
      </c>
      <c r="AI10" s="139">
        <f t="shared" si="19"/>
        <v>92</v>
      </c>
      <c r="AJ10" s="134">
        <f t="shared" si="19"/>
        <v>93.5</v>
      </c>
      <c r="AK10" s="134">
        <f t="shared" si="19"/>
        <v>95</v>
      </c>
      <c r="AL10" s="134">
        <f t="shared" si="19"/>
        <v>98</v>
      </c>
      <c r="AM10" s="134">
        <f t="shared" si="19"/>
        <v>99</v>
      </c>
      <c r="AN10" s="134">
        <f t="shared" si="19"/>
        <v>100</v>
      </c>
      <c r="AO10" s="134">
        <f t="shared" si="19"/>
        <v>100</v>
      </c>
      <c r="AP10" s="139"/>
      <c r="AQ10" s="140"/>
      <c r="AR10" s="104"/>
      <c r="BE10" s="76"/>
    </row>
    <row r="11" spans="1:59" x14ac:dyDescent="0.3">
      <c r="A11" s="981"/>
      <c r="B11" s="695" t="s">
        <v>269</v>
      </c>
      <c r="C11" s="139"/>
      <c r="D11" s="134"/>
      <c r="E11" s="134"/>
      <c r="F11" s="140"/>
      <c r="G11" s="143">
        <f>MAX(G3:G4, G6:G8)</f>
        <v>4788.2810518305578</v>
      </c>
      <c r="H11" s="143">
        <f t="shared" ref="H11:M11" si="20">MAX(H3:H4, H6:H8)</f>
        <v>3951.5092584763679</v>
      </c>
      <c r="I11" s="143">
        <f t="shared" si="20"/>
        <v>3114.737465122178</v>
      </c>
      <c r="J11" s="143">
        <f t="shared" si="20"/>
        <v>1441.1938784137988</v>
      </c>
      <c r="K11" s="143">
        <f t="shared" si="20"/>
        <v>1141.4982666779401</v>
      </c>
      <c r="L11" s="143">
        <f t="shared" si="20"/>
        <v>892.07010193804922</v>
      </c>
      <c r="M11" s="143">
        <f t="shared" si="20"/>
        <v>841.80265494208163</v>
      </c>
      <c r="N11" s="591">
        <f>MAX(N3:N8)</f>
        <v>191.5312420732223</v>
      </c>
      <c r="O11" s="143">
        <f t="shared" ref="O11:T11" si="21">MAX(O3:O8)</f>
        <v>158.06037033905471</v>
      </c>
      <c r="P11" s="143">
        <f t="shared" si="21"/>
        <v>124.58949860488713</v>
      </c>
      <c r="Q11" s="143">
        <f t="shared" si="21"/>
        <v>57.64775513655195</v>
      </c>
      <c r="R11" s="143">
        <f t="shared" si="21"/>
        <v>45.659930667117607</v>
      </c>
      <c r="S11" s="143">
        <f t="shared" si="21"/>
        <v>35.682804077521972</v>
      </c>
      <c r="T11" s="143">
        <f t="shared" si="21"/>
        <v>33.67</v>
      </c>
      <c r="U11" s="145"/>
      <c r="V11" s="142"/>
      <c r="W11" s="142"/>
      <c r="X11" s="142"/>
      <c r="Y11" s="143"/>
      <c r="Z11" s="142"/>
      <c r="AA11" s="143"/>
      <c r="AB11" s="145">
        <f t="shared" ref="AB11:AO11" si="22">MAX(AB3:AB8)</f>
        <v>30</v>
      </c>
      <c r="AC11" s="142">
        <f t="shared" si="22"/>
        <v>30</v>
      </c>
      <c r="AD11" s="142">
        <f t="shared" si="22"/>
        <v>30</v>
      </c>
      <c r="AE11" s="142">
        <f t="shared" si="22"/>
        <v>30</v>
      </c>
      <c r="AF11" s="647">
        <f t="shared" si="22"/>
        <v>30</v>
      </c>
      <c r="AG11" s="647">
        <f t="shared" si="22"/>
        <v>30</v>
      </c>
      <c r="AH11" s="647">
        <f t="shared" si="22"/>
        <v>30</v>
      </c>
      <c r="AI11" s="145">
        <f t="shared" si="22"/>
        <v>92</v>
      </c>
      <c r="AJ11" s="142">
        <f t="shared" si="22"/>
        <v>93.5</v>
      </c>
      <c r="AK11" s="142">
        <f t="shared" si="22"/>
        <v>95</v>
      </c>
      <c r="AL11" s="142">
        <f t="shared" si="22"/>
        <v>98</v>
      </c>
      <c r="AM11" s="142">
        <f t="shared" si="22"/>
        <v>99</v>
      </c>
      <c r="AN11" s="142">
        <f t="shared" si="22"/>
        <v>100</v>
      </c>
      <c r="AO11" s="142">
        <f t="shared" si="22"/>
        <v>100</v>
      </c>
      <c r="AP11" s="145"/>
      <c r="AQ11" s="146"/>
      <c r="AR11" s="104"/>
    </row>
    <row r="12" spans="1:59" x14ac:dyDescent="0.3">
      <c r="A12" s="981"/>
      <c r="B12" s="986" t="s">
        <v>388</v>
      </c>
      <c r="C12" s="687">
        <v>11</v>
      </c>
      <c r="D12" s="90" t="s">
        <v>57</v>
      </c>
      <c r="E12" s="90">
        <v>2022</v>
      </c>
      <c r="F12" s="688" t="s">
        <v>19</v>
      </c>
      <c r="G12" s="93">
        <f t="shared" ref="G12:G13" si="23">H12+((I12-H12)/(2030-2025))*(2020-2025)</f>
        <v>490.99518051915112</v>
      </c>
      <c r="H12" s="93">
        <f t="shared" ref="H12:H13" si="24">I12+((J12-I12)/(2040-2030))*(2025-2030)</f>
        <v>400.0591866069164</v>
      </c>
      <c r="I12" s="94">
        <f>(365.6)/1.1827</f>
        <v>309.12319269468168</v>
      </c>
      <c r="J12" s="94">
        <f>(150.5)/1.1827</f>
        <v>127.25120487021222</v>
      </c>
      <c r="K12" s="93">
        <f t="shared" ref="K12:K13" si="25">J12+((L12-J12)/(2050-2040))*(2045-2040)</f>
        <v>89.160395704743379</v>
      </c>
      <c r="L12" s="94">
        <f>(60.4)/1.1827</f>
        <v>51.069586539274539</v>
      </c>
      <c r="M12" s="93">
        <v>51.07</v>
      </c>
      <c r="N12" s="92">
        <f t="shared" ref="N12:N13" si="26">O12+((P12-O12)/(2030-2025))*(2020-2025)</f>
        <v>14.729855415574532</v>
      </c>
      <c r="O12" s="93">
        <f t="shared" ref="O12:O13" si="27">P12+((Q12-P12)/(2040-2030))*(2025-2030)</f>
        <v>12.001775598207491</v>
      </c>
      <c r="P12" s="94">
        <f>I12*0.03</f>
        <v>9.2736957808404501</v>
      </c>
      <c r="Q12" s="94">
        <f>J12*0.03</f>
        <v>3.8175361461063666</v>
      </c>
      <c r="R12" s="107">
        <f t="shared" ref="R12:R13" si="28">Q12+((S12-Q12)/(2050-2040))*(2045-2040)</f>
        <v>2.6748118711423015</v>
      </c>
      <c r="S12" s="94">
        <f>L12*0.03</f>
        <v>1.5320875961782361</v>
      </c>
      <c r="T12" s="93">
        <v>1.53</v>
      </c>
      <c r="U12" s="96"/>
      <c r="V12" s="97"/>
      <c r="W12" s="97"/>
      <c r="X12" s="97"/>
      <c r="Y12" s="94"/>
      <c r="Z12" s="97"/>
      <c r="AA12" s="94"/>
      <c r="AB12" s="96"/>
      <c r="AC12" s="97"/>
      <c r="AD12" s="97"/>
      <c r="AE12" s="97"/>
      <c r="AF12" s="102"/>
      <c r="AG12" s="102"/>
      <c r="AH12" s="102"/>
      <c r="AI12" s="92">
        <f t="shared" ref="AI12:AI13" si="29">AJ12+((AK12-AJ12)/(2030-2025))*(2020-2025)</f>
        <v>98</v>
      </c>
      <c r="AJ12" s="100">
        <f t="shared" ref="AJ12:AJ13" si="30">AK12+((AL12-AK12)/(2040-2030))*(2025-2030)</f>
        <v>98</v>
      </c>
      <c r="AK12" s="97">
        <v>98</v>
      </c>
      <c r="AL12" s="97">
        <v>98</v>
      </c>
      <c r="AM12" s="101">
        <f t="shared" ref="AM12:AM13" si="31">AL12+((AN12-AL12)/(2050-2040))*(2045-2040)</f>
        <v>98</v>
      </c>
      <c r="AN12" s="97">
        <v>98</v>
      </c>
      <c r="AO12" s="101">
        <f t="shared" ref="AO12:AO13" si="32">AM12+((AN12-AM12)/(2050-2045))*(2060-2045)</f>
        <v>98</v>
      </c>
      <c r="AP12" s="96"/>
      <c r="AQ12" s="43"/>
      <c r="AR12" s="104" t="s">
        <v>386</v>
      </c>
    </row>
    <row r="13" spans="1:59" x14ac:dyDescent="0.3">
      <c r="A13" s="981"/>
      <c r="B13" s="985"/>
      <c r="C13" s="691">
        <v>11</v>
      </c>
      <c r="D13" s="120" t="s">
        <v>57</v>
      </c>
      <c r="E13" s="120">
        <v>2022</v>
      </c>
      <c r="F13" s="692" t="s">
        <v>19</v>
      </c>
      <c r="G13" s="122">
        <f t="shared" si="23"/>
        <v>1253.4877821932864</v>
      </c>
      <c r="H13" s="122">
        <f t="shared" si="24"/>
        <v>1021.3071784898958</v>
      </c>
      <c r="I13" s="121">
        <f>(933.3)/1.1827</f>
        <v>789.12657478650533</v>
      </c>
      <c r="J13" s="121">
        <f>(384.1)/1.1827</f>
        <v>324.76536737972435</v>
      </c>
      <c r="K13" s="122">
        <f t="shared" si="25"/>
        <v>242.91874524393336</v>
      </c>
      <c r="L13" s="121">
        <f>(190.5)/1.1827</f>
        <v>161.07212310814236</v>
      </c>
      <c r="M13" s="122">
        <v>161.07</v>
      </c>
      <c r="N13" s="607">
        <f t="shared" si="26"/>
        <v>50.139511287731452</v>
      </c>
      <c r="O13" s="122">
        <f t="shared" si="27"/>
        <v>40.85228713959583</v>
      </c>
      <c r="P13" s="121">
        <f>I13*0.04</f>
        <v>31.565062991460213</v>
      </c>
      <c r="Q13" s="121">
        <f>J13*0.04</f>
        <v>12.990614695188974</v>
      </c>
      <c r="R13" s="122">
        <f t="shared" si="28"/>
        <v>9.716749809757335</v>
      </c>
      <c r="S13" s="121">
        <f>L13*0.04</f>
        <v>6.4428849243256945</v>
      </c>
      <c r="T13" s="122">
        <v>6.44</v>
      </c>
      <c r="U13" s="123"/>
      <c r="V13" s="124"/>
      <c r="W13" s="124"/>
      <c r="X13" s="124"/>
      <c r="Y13" s="121"/>
      <c r="Z13" s="124"/>
      <c r="AA13" s="121"/>
      <c r="AB13" s="123"/>
      <c r="AC13" s="124"/>
      <c r="AD13" s="124"/>
      <c r="AE13" s="124"/>
      <c r="AF13" s="639"/>
      <c r="AG13" s="639"/>
      <c r="AH13" s="639"/>
      <c r="AI13" s="607">
        <f t="shared" si="29"/>
        <v>98</v>
      </c>
      <c r="AJ13" s="306">
        <f t="shared" si="30"/>
        <v>98</v>
      </c>
      <c r="AK13" s="124">
        <v>98</v>
      </c>
      <c r="AL13" s="124">
        <v>98</v>
      </c>
      <c r="AM13" s="386">
        <f t="shared" si="31"/>
        <v>98</v>
      </c>
      <c r="AN13" s="124">
        <v>98</v>
      </c>
      <c r="AO13" s="386">
        <f t="shared" si="32"/>
        <v>98</v>
      </c>
      <c r="AP13" s="123"/>
      <c r="AQ13" s="51"/>
      <c r="AR13" s="116" t="s">
        <v>387</v>
      </c>
    </row>
    <row r="14" spans="1:59" x14ac:dyDescent="0.3">
      <c r="A14" s="981"/>
      <c r="B14" s="693" t="s">
        <v>267</v>
      </c>
      <c r="C14" s="139"/>
      <c r="D14" s="134"/>
      <c r="E14" s="134"/>
      <c r="F14" s="140"/>
      <c r="G14" s="128">
        <f>MIN(G12:G13)</f>
        <v>490.99518051915112</v>
      </c>
      <c r="H14" s="126">
        <f t="shared" ref="H14:M14" si="33">MIN(H12:H13)</f>
        <v>400.0591866069164</v>
      </c>
      <c r="I14" s="128">
        <f t="shared" si="33"/>
        <v>309.12319269468168</v>
      </c>
      <c r="J14" s="128">
        <f t="shared" si="33"/>
        <v>127.25120487021222</v>
      </c>
      <c r="K14" s="128">
        <f t="shared" si="33"/>
        <v>89.160395704743379</v>
      </c>
      <c r="L14" s="128">
        <f t="shared" si="33"/>
        <v>51.069586539274539</v>
      </c>
      <c r="M14" s="128">
        <f t="shared" si="33"/>
        <v>51.07</v>
      </c>
      <c r="N14" s="127">
        <f t="shared" ref="N14:AO14" si="34">MIN(N12:N13)</f>
        <v>14.729855415574532</v>
      </c>
      <c r="O14" s="128">
        <f t="shared" si="34"/>
        <v>12.001775598207491</v>
      </c>
      <c r="P14" s="128">
        <f t="shared" si="34"/>
        <v>9.2736957808404501</v>
      </c>
      <c r="Q14" s="128">
        <f t="shared" si="34"/>
        <v>3.8175361461063666</v>
      </c>
      <c r="R14" s="128">
        <f t="shared" si="34"/>
        <v>2.6748118711423015</v>
      </c>
      <c r="S14" s="128">
        <f t="shared" si="34"/>
        <v>1.5320875961782361</v>
      </c>
      <c r="T14" s="128">
        <f t="shared" si="34"/>
        <v>1.53</v>
      </c>
      <c r="U14" s="131"/>
      <c r="V14" s="126"/>
      <c r="W14" s="126"/>
      <c r="X14" s="126"/>
      <c r="Y14" s="128"/>
      <c r="Z14" s="126"/>
      <c r="AA14" s="128"/>
      <c r="AB14" s="131"/>
      <c r="AC14" s="126"/>
      <c r="AD14" s="126"/>
      <c r="AE14" s="126"/>
      <c r="AF14" s="641"/>
      <c r="AG14" s="641"/>
      <c r="AH14" s="641"/>
      <c r="AI14" s="131">
        <f t="shared" si="34"/>
        <v>98</v>
      </c>
      <c r="AJ14" s="126">
        <f t="shared" si="34"/>
        <v>98</v>
      </c>
      <c r="AK14" s="126">
        <f t="shared" si="34"/>
        <v>98</v>
      </c>
      <c r="AL14" s="126">
        <f t="shared" si="34"/>
        <v>98</v>
      </c>
      <c r="AM14" s="126">
        <f t="shared" si="34"/>
        <v>98</v>
      </c>
      <c r="AN14" s="126">
        <f t="shared" si="34"/>
        <v>98</v>
      </c>
      <c r="AO14" s="126">
        <f t="shared" si="34"/>
        <v>98</v>
      </c>
      <c r="AP14" s="131"/>
      <c r="AQ14" s="132"/>
      <c r="AR14" s="104"/>
    </row>
    <row r="15" spans="1:59" x14ac:dyDescent="0.3">
      <c r="A15" s="981"/>
      <c r="B15" s="694" t="s">
        <v>268</v>
      </c>
      <c r="C15" s="139"/>
      <c r="D15" s="134"/>
      <c r="E15" s="134"/>
      <c r="F15" s="140"/>
      <c r="G15" s="136">
        <f>MEDIAN(G12:G13)</f>
        <v>872.24148135621886</v>
      </c>
      <c r="H15" s="134">
        <f t="shared" ref="H15:M15" si="35">MEDIAN(H12:H13)</f>
        <v>710.68318254840619</v>
      </c>
      <c r="I15" s="136">
        <f t="shared" si="35"/>
        <v>549.12488374059353</v>
      </c>
      <c r="J15" s="136">
        <f t="shared" si="35"/>
        <v>226.00828612496827</v>
      </c>
      <c r="K15" s="136">
        <f t="shared" si="35"/>
        <v>166.03957047433835</v>
      </c>
      <c r="L15" s="136">
        <f t="shared" si="35"/>
        <v>106.07085482370846</v>
      </c>
      <c r="M15" s="136">
        <f t="shared" si="35"/>
        <v>106.07</v>
      </c>
      <c r="N15" s="135">
        <f t="shared" ref="N15:AO15" si="36">MEDIAN(N12:N13)</f>
        <v>32.434683351652993</v>
      </c>
      <c r="O15" s="136">
        <f t="shared" si="36"/>
        <v>26.427031368901659</v>
      </c>
      <c r="P15" s="136">
        <f t="shared" si="36"/>
        <v>20.419379386150332</v>
      </c>
      <c r="Q15" s="136">
        <f t="shared" si="36"/>
        <v>8.4040754206476702</v>
      </c>
      <c r="R15" s="136">
        <f t="shared" si="36"/>
        <v>6.1957808404498182</v>
      </c>
      <c r="S15" s="136">
        <f t="shared" si="36"/>
        <v>3.9874862602519654</v>
      </c>
      <c r="T15" s="136">
        <f t="shared" si="36"/>
        <v>3.9850000000000003</v>
      </c>
      <c r="U15" s="139"/>
      <c r="V15" s="134"/>
      <c r="W15" s="134"/>
      <c r="X15" s="134"/>
      <c r="Y15" s="136"/>
      <c r="Z15" s="134"/>
      <c r="AA15" s="136"/>
      <c r="AB15" s="139"/>
      <c r="AC15" s="134"/>
      <c r="AD15" s="134"/>
      <c r="AE15" s="134"/>
      <c r="AF15" s="644"/>
      <c r="AG15" s="644"/>
      <c r="AH15" s="644"/>
      <c r="AI15" s="139">
        <f t="shared" si="36"/>
        <v>98</v>
      </c>
      <c r="AJ15" s="134">
        <f t="shared" si="36"/>
        <v>98</v>
      </c>
      <c r="AK15" s="134">
        <f t="shared" si="36"/>
        <v>98</v>
      </c>
      <c r="AL15" s="134">
        <f t="shared" si="36"/>
        <v>98</v>
      </c>
      <c r="AM15" s="134">
        <f t="shared" si="36"/>
        <v>98</v>
      </c>
      <c r="AN15" s="134">
        <f t="shared" si="36"/>
        <v>98</v>
      </c>
      <c r="AO15" s="134">
        <f t="shared" si="36"/>
        <v>98</v>
      </c>
      <c r="AP15" s="139"/>
      <c r="AQ15" s="140"/>
      <c r="AR15" s="104"/>
    </row>
    <row r="16" spans="1:59" x14ac:dyDescent="0.3">
      <c r="A16" s="981"/>
      <c r="B16" s="695" t="s">
        <v>269</v>
      </c>
      <c r="C16" s="139"/>
      <c r="D16" s="134"/>
      <c r="E16" s="134"/>
      <c r="F16" s="140"/>
      <c r="G16" s="143">
        <f>MAX(G12:G13)</f>
        <v>1253.4877821932864</v>
      </c>
      <c r="H16" s="142">
        <f t="shared" ref="H16:M16" si="37">MAX(H12:H13)</f>
        <v>1021.3071784898958</v>
      </c>
      <c r="I16" s="143">
        <f t="shared" si="37"/>
        <v>789.12657478650533</v>
      </c>
      <c r="J16" s="143">
        <f t="shared" si="37"/>
        <v>324.76536737972435</v>
      </c>
      <c r="K16" s="143">
        <f t="shared" si="37"/>
        <v>242.91874524393336</v>
      </c>
      <c r="L16" s="143">
        <f t="shared" si="37"/>
        <v>161.07212310814236</v>
      </c>
      <c r="M16" s="143">
        <f t="shared" si="37"/>
        <v>161.07</v>
      </c>
      <c r="N16" s="591">
        <f t="shared" ref="N16:AO16" si="38">MAX(N12:N13)</f>
        <v>50.139511287731452</v>
      </c>
      <c r="O16" s="143">
        <f t="shared" si="38"/>
        <v>40.85228713959583</v>
      </c>
      <c r="P16" s="143">
        <f t="shared" si="38"/>
        <v>31.565062991460213</v>
      </c>
      <c r="Q16" s="143">
        <f t="shared" si="38"/>
        <v>12.990614695188974</v>
      </c>
      <c r="R16" s="143">
        <f t="shared" si="38"/>
        <v>9.716749809757335</v>
      </c>
      <c r="S16" s="143">
        <f t="shared" si="38"/>
        <v>6.4428849243256945</v>
      </c>
      <c r="T16" s="143">
        <f t="shared" si="38"/>
        <v>6.44</v>
      </c>
      <c r="U16" s="145"/>
      <c r="V16" s="142"/>
      <c r="W16" s="142"/>
      <c r="X16" s="142"/>
      <c r="Y16" s="143"/>
      <c r="Z16" s="142"/>
      <c r="AA16" s="143"/>
      <c r="AB16" s="145"/>
      <c r="AC16" s="142"/>
      <c r="AD16" s="142"/>
      <c r="AE16" s="142"/>
      <c r="AF16" s="647"/>
      <c r="AG16" s="647"/>
      <c r="AH16" s="647"/>
      <c r="AI16" s="145">
        <f t="shared" si="38"/>
        <v>98</v>
      </c>
      <c r="AJ16" s="142">
        <f t="shared" si="38"/>
        <v>98</v>
      </c>
      <c r="AK16" s="142">
        <f t="shared" si="38"/>
        <v>98</v>
      </c>
      <c r="AL16" s="142">
        <f t="shared" si="38"/>
        <v>98</v>
      </c>
      <c r="AM16" s="142">
        <f t="shared" si="38"/>
        <v>98</v>
      </c>
      <c r="AN16" s="142">
        <f t="shared" si="38"/>
        <v>98</v>
      </c>
      <c r="AO16" s="142">
        <f t="shared" si="38"/>
        <v>98</v>
      </c>
      <c r="AP16" s="145"/>
      <c r="AQ16" s="146"/>
      <c r="AR16" s="104"/>
    </row>
    <row r="17" spans="1:44" ht="15" customHeight="1" x14ac:dyDescent="0.3">
      <c r="A17" s="981"/>
      <c r="B17" s="987" t="s">
        <v>389</v>
      </c>
      <c r="C17" s="150">
        <v>4</v>
      </c>
      <c r="D17" s="147" t="s">
        <v>31</v>
      </c>
      <c r="E17" s="147">
        <v>2022</v>
      </c>
      <c r="F17" s="696" t="s">
        <v>19</v>
      </c>
      <c r="G17" s="149">
        <f>718.95</f>
        <v>718.95</v>
      </c>
      <c r="H17" s="149">
        <f>673.78</f>
        <v>673.78</v>
      </c>
      <c r="I17" s="149">
        <f>628.6</f>
        <v>628.6</v>
      </c>
      <c r="J17" s="149">
        <f>554.59</f>
        <v>554.59</v>
      </c>
      <c r="K17" s="149">
        <f>517.59</f>
        <v>517.59</v>
      </c>
      <c r="L17" s="149">
        <f>480.58</f>
        <v>480.58</v>
      </c>
      <c r="M17" s="93">
        <f>K17+((L17-K17)/(2050-2045))*(2060-2045)</f>
        <v>406.55999999999989</v>
      </c>
      <c r="N17" s="464">
        <f t="shared" ref="N17:S17" si="39">G17*0.03</f>
        <v>21.5685</v>
      </c>
      <c r="O17" s="149">
        <f t="shared" si="39"/>
        <v>20.2134</v>
      </c>
      <c r="P17" s="149">
        <f t="shared" si="39"/>
        <v>18.858000000000001</v>
      </c>
      <c r="Q17" s="149">
        <f t="shared" si="39"/>
        <v>16.637699999999999</v>
      </c>
      <c r="R17" s="149">
        <f t="shared" si="39"/>
        <v>15.527700000000001</v>
      </c>
      <c r="S17" s="149">
        <f t="shared" si="39"/>
        <v>14.417399999999999</v>
      </c>
      <c r="T17" s="93">
        <f>R17+((S17-R17)/(2050-2045))*(2060-2045)</f>
        <v>12.196799999999994</v>
      </c>
      <c r="U17" s="150"/>
      <c r="V17" s="147"/>
      <c r="W17" s="147"/>
      <c r="X17" s="147"/>
      <c r="Y17" s="149"/>
      <c r="Z17" s="147"/>
      <c r="AA17" s="149"/>
      <c r="AB17" s="150">
        <v>20</v>
      </c>
      <c r="AC17" s="147">
        <v>20</v>
      </c>
      <c r="AD17" s="147">
        <v>20</v>
      </c>
      <c r="AE17" s="147">
        <v>20</v>
      </c>
      <c r="AF17" s="697">
        <v>20</v>
      </c>
      <c r="AG17" s="697">
        <v>20</v>
      </c>
      <c r="AH17" s="101">
        <f>AF17+((AG17-AF17)/(2050-2045))*(2060-2045)</f>
        <v>20</v>
      </c>
      <c r="AI17" s="150">
        <v>80</v>
      </c>
      <c r="AJ17" s="147">
        <v>80</v>
      </c>
      <c r="AK17" s="147">
        <v>80</v>
      </c>
      <c r="AL17" s="147">
        <v>80</v>
      </c>
      <c r="AM17" s="697">
        <v>80</v>
      </c>
      <c r="AN17" s="147">
        <v>80</v>
      </c>
      <c r="AO17" s="101">
        <f>AM17+((AN17-AM17)/(2050-2045))*(2060-2045)</f>
        <v>80</v>
      </c>
      <c r="AP17" s="150"/>
      <c r="AQ17" s="152"/>
      <c r="AR17" s="104"/>
    </row>
    <row r="18" spans="1:44" x14ac:dyDescent="0.3">
      <c r="A18" s="981"/>
      <c r="B18" s="988"/>
      <c r="C18" s="155">
        <v>9</v>
      </c>
      <c r="D18" s="153" t="s">
        <v>50</v>
      </c>
      <c r="E18" s="153">
        <v>2021</v>
      </c>
      <c r="F18" s="698" t="s">
        <v>19</v>
      </c>
      <c r="G18" s="154">
        <v>600</v>
      </c>
      <c r="H18" s="107">
        <f t="shared" ref="H18:H19" si="40">G18+((I18-G18)/(2030-2020))*(2025-2020)</f>
        <v>541.66666666666674</v>
      </c>
      <c r="I18" s="107">
        <f>G18+((L18-G18)/(2050-2020))*(2030-2020)</f>
        <v>483.33333333333337</v>
      </c>
      <c r="J18" s="107">
        <f t="shared" ref="J18:J19" si="41">I18+((L18-I18)/(2050-2030))*(2040-2030)</f>
        <v>366.66666666666669</v>
      </c>
      <c r="K18" s="107">
        <f t="shared" ref="K18:K19" si="42">J18+((L18-J18)/(2050-2040))*(2045-2040)</f>
        <v>308.33333333333337</v>
      </c>
      <c r="L18" s="154">
        <v>250</v>
      </c>
      <c r="M18" s="107">
        <v>250</v>
      </c>
      <c r="N18" s="158">
        <f>18</f>
        <v>18</v>
      </c>
      <c r="O18" s="107">
        <f t="shared" ref="O18:O19" si="43">N18+((P18-N18)/(2030-2020))*(2025-2020)</f>
        <v>16.333333333333336</v>
      </c>
      <c r="P18" s="107">
        <f>N18+((S18-N18)/(2050-2020))*(2030-2020)</f>
        <v>14.666666666666668</v>
      </c>
      <c r="Q18" s="107">
        <f t="shared" ref="Q18:Q19" si="44">P18+((S18-P18)/(2050-2030))*(2040-2030)</f>
        <v>11.333333333333334</v>
      </c>
      <c r="R18" s="107">
        <f t="shared" ref="R18:R19" si="45">Q18+((S18-Q18)/(2050-2040))*(2045-2040)</f>
        <v>9.6666666666666679</v>
      </c>
      <c r="S18" s="154">
        <f>8</f>
        <v>8</v>
      </c>
      <c r="T18" s="107">
        <v>8</v>
      </c>
      <c r="U18" s="155"/>
      <c r="V18" s="153"/>
      <c r="W18" s="153"/>
      <c r="X18" s="153"/>
      <c r="Y18" s="154"/>
      <c r="Z18" s="153"/>
      <c r="AA18" s="154"/>
      <c r="AB18" s="155"/>
      <c r="AC18" s="153"/>
      <c r="AD18" s="153"/>
      <c r="AE18" s="153"/>
      <c r="AF18" s="161"/>
      <c r="AG18" s="161"/>
      <c r="AH18" s="161"/>
      <c r="AI18" s="155"/>
      <c r="AJ18" s="153"/>
      <c r="AK18" s="153"/>
      <c r="AL18" s="153"/>
      <c r="AM18" s="161"/>
      <c r="AN18" s="153"/>
      <c r="AO18" s="161"/>
      <c r="AP18" s="155"/>
      <c r="AQ18" s="157"/>
      <c r="AR18" s="104"/>
    </row>
    <row r="19" spans="1:44" x14ac:dyDescent="0.3">
      <c r="A19" s="981"/>
      <c r="B19" s="988"/>
      <c r="C19" s="155">
        <v>2</v>
      </c>
      <c r="D19" s="153" t="s">
        <v>23</v>
      </c>
      <c r="E19" s="153">
        <v>2019</v>
      </c>
      <c r="F19" s="698" t="s">
        <v>19</v>
      </c>
      <c r="G19" s="154">
        <f>845/1.1297</f>
        <v>747.98619102416581</v>
      </c>
      <c r="H19" s="107">
        <f t="shared" si="40"/>
        <v>699.30069930069931</v>
      </c>
      <c r="I19" s="154">
        <f>735/1.1297</f>
        <v>650.61520757723292</v>
      </c>
      <c r="J19" s="107">
        <f t="shared" si="41"/>
        <v>575.37399309551211</v>
      </c>
      <c r="K19" s="107">
        <f t="shared" si="42"/>
        <v>537.7533858546517</v>
      </c>
      <c r="L19" s="154">
        <f>565/1.1297</f>
        <v>500.13277861379129</v>
      </c>
      <c r="M19" s="107">
        <f>K19+((L19-K19)/(2050-2045))*(2060-2045)</f>
        <v>424.89156413207047</v>
      </c>
      <c r="N19" s="158">
        <f>G19*0.04</f>
        <v>29.919447640966634</v>
      </c>
      <c r="O19" s="107">
        <f t="shared" si="43"/>
        <v>27.972027972027973</v>
      </c>
      <c r="P19" s="154">
        <f>I19*0.04</f>
        <v>26.024608303089316</v>
      </c>
      <c r="Q19" s="107">
        <f t="shared" si="44"/>
        <v>23.014959723820482</v>
      </c>
      <c r="R19" s="107">
        <f t="shared" si="45"/>
        <v>21.510135434186068</v>
      </c>
      <c r="S19" s="154">
        <f>L19*0.04</f>
        <v>20.005311144551651</v>
      </c>
      <c r="T19" s="107">
        <f>R19+((S19-R19)/(2050-2045))*(2060-2045)</f>
        <v>16.995662565282817</v>
      </c>
      <c r="U19" s="155"/>
      <c r="V19" s="153"/>
      <c r="W19" s="153"/>
      <c r="X19" s="153"/>
      <c r="Y19" s="154"/>
      <c r="Z19" s="153"/>
      <c r="AA19" s="154"/>
      <c r="AB19" s="155">
        <v>30</v>
      </c>
      <c r="AC19" s="297">
        <v>30</v>
      </c>
      <c r="AD19" s="153">
        <v>30</v>
      </c>
      <c r="AE19" s="297">
        <v>30</v>
      </c>
      <c r="AF19" s="378">
        <f>AE19+((AG19-AE19)/(2050-2040))*(2045-2040)</f>
        <v>30</v>
      </c>
      <c r="AG19" s="161">
        <v>30</v>
      </c>
      <c r="AH19" s="386">
        <f>AF19+((AG19-AF19)/(2050-2045))*(2060-2045)</f>
        <v>30</v>
      </c>
      <c r="AI19" s="155">
        <v>77</v>
      </c>
      <c r="AJ19" s="297">
        <v>77</v>
      </c>
      <c r="AK19" s="153">
        <v>77</v>
      </c>
      <c r="AL19" s="297">
        <v>77</v>
      </c>
      <c r="AM19" s="386">
        <f>AL19+((AN19-AL19)/(2050-2040))*(2045-2040)</f>
        <v>77</v>
      </c>
      <c r="AN19" s="153">
        <v>77</v>
      </c>
      <c r="AO19" s="378">
        <f>AM19+((AN19-AM19)/(2050-2045))*(2060-2045)</f>
        <v>77</v>
      </c>
      <c r="AP19" s="155"/>
      <c r="AQ19" s="157"/>
      <c r="AR19" s="104"/>
    </row>
    <row r="20" spans="1:44" x14ac:dyDescent="0.3">
      <c r="A20" s="981"/>
      <c r="B20" s="699" t="s">
        <v>267</v>
      </c>
      <c r="C20" s="175"/>
      <c r="D20" s="168"/>
      <c r="E20" s="168"/>
      <c r="F20" s="178"/>
      <c r="G20" s="170">
        <f t="shared" ref="G20:T20" si="46">MIN(G17:G19)</f>
        <v>600</v>
      </c>
      <c r="H20" s="170">
        <f t="shared" si="46"/>
        <v>541.66666666666674</v>
      </c>
      <c r="I20" s="170">
        <f t="shared" si="46"/>
        <v>483.33333333333337</v>
      </c>
      <c r="J20" s="170">
        <f t="shared" si="46"/>
        <v>366.66666666666669</v>
      </c>
      <c r="K20" s="170">
        <f t="shared" si="46"/>
        <v>308.33333333333337</v>
      </c>
      <c r="L20" s="170">
        <f t="shared" si="46"/>
        <v>250</v>
      </c>
      <c r="M20" s="170">
        <f t="shared" si="46"/>
        <v>250</v>
      </c>
      <c r="N20" s="169">
        <f t="shared" si="46"/>
        <v>18</v>
      </c>
      <c r="O20" s="170">
        <f t="shared" si="46"/>
        <v>16.333333333333336</v>
      </c>
      <c r="P20" s="170">
        <f t="shared" si="46"/>
        <v>14.666666666666668</v>
      </c>
      <c r="Q20" s="170">
        <f t="shared" si="46"/>
        <v>11.333333333333334</v>
      </c>
      <c r="R20" s="170">
        <f t="shared" si="46"/>
        <v>9.6666666666666679</v>
      </c>
      <c r="S20" s="170">
        <f t="shared" si="46"/>
        <v>8</v>
      </c>
      <c r="T20" s="170">
        <f t="shared" si="46"/>
        <v>8</v>
      </c>
      <c r="U20" s="175"/>
      <c r="V20" s="168"/>
      <c r="W20" s="168"/>
      <c r="X20" s="168"/>
      <c r="Y20" s="170"/>
      <c r="Z20" s="168"/>
      <c r="AA20" s="170"/>
      <c r="AB20" s="175">
        <f t="shared" ref="AB20:AO20" si="47">MIN(AB17:AB19)</f>
        <v>20</v>
      </c>
      <c r="AC20" s="168">
        <f t="shared" si="47"/>
        <v>20</v>
      </c>
      <c r="AD20" s="168">
        <f t="shared" si="47"/>
        <v>20</v>
      </c>
      <c r="AE20" s="168">
        <f t="shared" si="47"/>
        <v>20</v>
      </c>
      <c r="AF20" s="176">
        <f t="shared" si="47"/>
        <v>20</v>
      </c>
      <c r="AG20" s="176">
        <f t="shared" si="47"/>
        <v>20</v>
      </c>
      <c r="AH20" s="176">
        <f t="shared" si="47"/>
        <v>20</v>
      </c>
      <c r="AI20" s="175">
        <f t="shared" si="47"/>
        <v>77</v>
      </c>
      <c r="AJ20" s="168">
        <f t="shared" si="47"/>
        <v>77</v>
      </c>
      <c r="AK20" s="168">
        <f t="shared" si="47"/>
        <v>77</v>
      </c>
      <c r="AL20" s="168">
        <f t="shared" si="47"/>
        <v>77</v>
      </c>
      <c r="AM20" s="168">
        <f t="shared" si="47"/>
        <v>77</v>
      </c>
      <c r="AN20" s="168">
        <f t="shared" si="47"/>
        <v>77</v>
      </c>
      <c r="AO20" s="168">
        <f t="shared" si="47"/>
        <v>77</v>
      </c>
      <c r="AP20" s="175"/>
      <c r="AQ20" s="178"/>
      <c r="AR20" s="104"/>
    </row>
    <row r="21" spans="1:44" x14ac:dyDescent="0.3">
      <c r="A21" s="981"/>
      <c r="B21" s="700" t="s">
        <v>268</v>
      </c>
      <c r="C21" s="187"/>
      <c r="D21" s="180"/>
      <c r="E21" s="180"/>
      <c r="F21" s="190"/>
      <c r="G21" s="182">
        <f t="shared" ref="G21:T21" si="48">MEDIAN(G17:G19)</f>
        <v>718.95</v>
      </c>
      <c r="H21" s="182">
        <f t="shared" si="48"/>
        <v>673.78</v>
      </c>
      <c r="I21" s="182">
        <f t="shared" si="48"/>
        <v>628.6</v>
      </c>
      <c r="J21" s="182">
        <f t="shared" si="48"/>
        <v>554.59</v>
      </c>
      <c r="K21" s="182">
        <f t="shared" si="48"/>
        <v>517.59</v>
      </c>
      <c r="L21" s="182">
        <f t="shared" si="48"/>
        <v>480.58</v>
      </c>
      <c r="M21" s="182">
        <f t="shared" si="48"/>
        <v>406.55999999999989</v>
      </c>
      <c r="N21" s="181">
        <f t="shared" si="48"/>
        <v>21.5685</v>
      </c>
      <c r="O21" s="182">
        <f t="shared" si="48"/>
        <v>20.2134</v>
      </c>
      <c r="P21" s="182">
        <f t="shared" si="48"/>
        <v>18.858000000000001</v>
      </c>
      <c r="Q21" s="182">
        <f t="shared" si="48"/>
        <v>16.637699999999999</v>
      </c>
      <c r="R21" s="182">
        <f t="shared" si="48"/>
        <v>15.527700000000001</v>
      </c>
      <c r="S21" s="182">
        <f t="shared" si="48"/>
        <v>14.417399999999999</v>
      </c>
      <c r="T21" s="182">
        <f t="shared" si="48"/>
        <v>12.196799999999994</v>
      </c>
      <c r="U21" s="187"/>
      <c r="V21" s="180"/>
      <c r="W21" s="180"/>
      <c r="X21" s="180"/>
      <c r="Y21" s="182"/>
      <c r="Z21" s="180"/>
      <c r="AA21" s="182"/>
      <c r="AB21" s="187">
        <f t="shared" ref="AB21:AO21" si="49">MEDIAN(AB17:AB19)</f>
        <v>25</v>
      </c>
      <c r="AC21" s="180">
        <f t="shared" si="49"/>
        <v>25</v>
      </c>
      <c r="AD21" s="180">
        <f t="shared" si="49"/>
        <v>25</v>
      </c>
      <c r="AE21" s="180">
        <f t="shared" si="49"/>
        <v>25</v>
      </c>
      <c r="AF21" s="199">
        <f t="shared" si="49"/>
        <v>25</v>
      </c>
      <c r="AG21" s="199">
        <f t="shared" si="49"/>
        <v>25</v>
      </c>
      <c r="AH21" s="199">
        <f t="shared" si="49"/>
        <v>25</v>
      </c>
      <c r="AI21" s="187">
        <f t="shared" si="49"/>
        <v>78.5</v>
      </c>
      <c r="AJ21" s="180">
        <f t="shared" si="49"/>
        <v>78.5</v>
      </c>
      <c r="AK21" s="180">
        <f t="shared" si="49"/>
        <v>78.5</v>
      </c>
      <c r="AL21" s="180">
        <f t="shared" si="49"/>
        <v>78.5</v>
      </c>
      <c r="AM21" s="180">
        <f t="shared" si="49"/>
        <v>78.5</v>
      </c>
      <c r="AN21" s="180">
        <f t="shared" si="49"/>
        <v>78.5</v>
      </c>
      <c r="AO21" s="180">
        <f t="shared" si="49"/>
        <v>78.5</v>
      </c>
      <c r="AP21" s="187"/>
      <c r="AQ21" s="190"/>
      <c r="AR21" s="104"/>
    </row>
    <row r="22" spans="1:44" x14ac:dyDescent="0.3">
      <c r="A22" s="981"/>
      <c r="B22" s="701" t="s">
        <v>269</v>
      </c>
      <c r="C22" s="198"/>
      <c r="D22" s="192"/>
      <c r="E22" s="192"/>
      <c r="F22" s="201"/>
      <c r="G22" s="194">
        <f t="shared" ref="G22:T22" si="50">MAX(G17:G19)</f>
        <v>747.98619102416581</v>
      </c>
      <c r="H22" s="194">
        <f t="shared" si="50"/>
        <v>699.30069930069931</v>
      </c>
      <c r="I22" s="194">
        <f t="shared" si="50"/>
        <v>650.61520757723292</v>
      </c>
      <c r="J22" s="194">
        <f t="shared" si="50"/>
        <v>575.37399309551211</v>
      </c>
      <c r="K22" s="194">
        <f t="shared" si="50"/>
        <v>537.7533858546517</v>
      </c>
      <c r="L22" s="194">
        <f t="shared" si="50"/>
        <v>500.13277861379129</v>
      </c>
      <c r="M22" s="194">
        <f t="shared" si="50"/>
        <v>424.89156413207047</v>
      </c>
      <c r="N22" s="193">
        <f t="shared" si="50"/>
        <v>29.919447640966634</v>
      </c>
      <c r="O22" s="194">
        <f t="shared" si="50"/>
        <v>27.972027972027973</v>
      </c>
      <c r="P22" s="194">
        <f t="shared" si="50"/>
        <v>26.024608303089316</v>
      </c>
      <c r="Q22" s="194">
        <f t="shared" si="50"/>
        <v>23.014959723820482</v>
      </c>
      <c r="R22" s="194">
        <f t="shared" si="50"/>
        <v>21.510135434186068</v>
      </c>
      <c r="S22" s="194">
        <f t="shared" si="50"/>
        <v>20.005311144551651</v>
      </c>
      <c r="T22" s="194">
        <f t="shared" si="50"/>
        <v>16.995662565282817</v>
      </c>
      <c r="U22" s="198"/>
      <c r="V22" s="192"/>
      <c r="W22" s="192"/>
      <c r="X22" s="192"/>
      <c r="Y22" s="194"/>
      <c r="Z22" s="192"/>
      <c r="AA22" s="194"/>
      <c r="AB22" s="198">
        <f t="shared" ref="AB22:AO22" si="51">MAX(AB17:AB19)</f>
        <v>30</v>
      </c>
      <c r="AC22" s="192">
        <f t="shared" si="51"/>
        <v>30</v>
      </c>
      <c r="AD22" s="192">
        <f t="shared" si="51"/>
        <v>30</v>
      </c>
      <c r="AE22" s="192">
        <f t="shared" si="51"/>
        <v>30</v>
      </c>
      <c r="AF22" s="702">
        <f t="shared" si="51"/>
        <v>30</v>
      </c>
      <c r="AG22" s="702">
        <f t="shared" si="51"/>
        <v>30</v>
      </c>
      <c r="AH22" s="702">
        <f t="shared" si="51"/>
        <v>30</v>
      </c>
      <c r="AI22" s="198">
        <f t="shared" si="51"/>
        <v>80</v>
      </c>
      <c r="AJ22" s="192">
        <f t="shared" si="51"/>
        <v>80</v>
      </c>
      <c r="AK22" s="192">
        <f t="shared" si="51"/>
        <v>80</v>
      </c>
      <c r="AL22" s="192">
        <f t="shared" si="51"/>
        <v>80</v>
      </c>
      <c r="AM22" s="192">
        <f t="shared" si="51"/>
        <v>80</v>
      </c>
      <c r="AN22" s="192">
        <f t="shared" si="51"/>
        <v>80</v>
      </c>
      <c r="AO22" s="192">
        <f t="shared" si="51"/>
        <v>80</v>
      </c>
      <c r="AP22" s="198"/>
      <c r="AQ22" s="201"/>
      <c r="AR22" s="104"/>
    </row>
    <row r="23" spans="1:44" ht="15" customHeight="1" x14ac:dyDescent="0.3">
      <c r="A23" s="981"/>
      <c r="B23" s="989" t="s">
        <v>61</v>
      </c>
      <c r="C23" s="205">
        <v>2</v>
      </c>
      <c r="D23" s="202" t="s">
        <v>23</v>
      </c>
      <c r="E23" s="202">
        <v>2019</v>
      </c>
      <c r="F23" s="703" t="s">
        <v>19</v>
      </c>
      <c r="G23" s="204"/>
      <c r="H23" s="204"/>
      <c r="I23" s="204"/>
      <c r="J23" s="204"/>
      <c r="K23" s="204"/>
      <c r="L23" s="204"/>
      <c r="M23" s="204"/>
      <c r="N23" s="480">
        <f>G23*0.015</f>
        <v>0</v>
      </c>
      <c r="O23" s="93">
        <f t="shared" ref="O23:O25" si="52">P23+((Q23-P23)/(2040-2030))*(2025-2030)</f>
        <v>0</v>
      </c>
      <c r="P23" s="204">
        <f>I23*0.015</f>
        <v>0</v>
      </c>
      <c r="Q23" s="93">
        <f>S23+((U23-S23)/(2050-2030))*(2040-2030)</f>
        <v>0</v>
      </c>
      <c r="R23" s="93">
        <f t="shared" ref="R23:R25" si="53">Q23+((S23-Q23)/(2050-2040))*(2045-2040)</f>
        <v>0</v>
      </c>
      <c r="S23" s="204">
        <f>L23*0.015</f>
        <v>0</v>
      </c>
      <c r="T23" s="93">
        <f>R23+((S23-R23)/(2050-2045))*(2060-2045)</f>
        <v>0</v>
      </c>
      <c r="U23" s="205"/>
      <c r="V23" s="202"/>
      <c r="W23" s="202"/>
      <c r="X23" s="202"/>
      <c r="Y23" s="204"/>
      <c r="Z23" s="202"/>
      <c r="AA23" s="204"/>
      <c r="AB23" s="205"/>
      <c r="AC23" s="202"/>
      <c r="AD23" s="202"/>
      <c r="AE23" s="202"/>
      <c r="AF23" s="207"/>
      <c r="AG23" s="207"/>
      <c r="AH23" s="207"/>
      <c r="AI23" s="205"/>
      <c r="AJ23" s="202"/>
      <c r="AK23" s="202"/>
      <c r="AL23" s="202"/>
      <c r="AM23" s="204"/>
      <c r="AN23" s="202"/>
      <c r="AO23" s="207"/>
      <c r="AP23" s="205"/>
      <c r="AQ23" s="21"/>
      <c r="AR23" s="104"/>
    </row>
    <row r="24" spans="1:44" x14ac:dyDescent="0.3">
      <c r="A24" s="981"/>
      <c r="B24" s="990"/>
      <c r="C24" s="210">
        <v>11</v>
      </c>
      <c r="D24" s="208" t="s">
        <v>57</v>
      </c>
      <c r="E24" s="208">
        <v>2022</v>
      </c>
      <c r="F24" s="704" t="s">
        <v>19</v>
      </c>
      <c r="G24" s="107">
        <f t="shared" ref="G24:G25" si="54">H24+((I24-H24)/(2030-2025))*(2020-2025)</f>
        <v>1296.2712437642681</v>
      </c>
      <c r="H24" s="107">
        <f t="shared" ref="H24:H25" si="55">I24+((J24-I24)/(2040-2030))*(2025-2030)</f>
        <v>1065.4012006425974</v>
      </c>
      <c r="I24" s="209">
        <f>(987)/1.1827</f>
        <v>834.53115752092663</v>
      </c>
      <c r="J24" s="209">
        <f>(440.9)/1.1827</f>
        <v>372.79107127758516</v>
      </c>
      <c r="K24" s="107">
        <f t="shared" ref="K24:K25" si="56">J24+((L24-J24)/(2050-2040))*(2045-2040)</f>
        <v>310.13782024181955</v>
      </c>
      <c r="L24" s="209">
        <f>(292.7)/1.1827</f>
        <v>247.48456920605392</v>
      </c>
      <c r="M24" s="107">
        <v>247.48</v>
      </c>
      <c r="N24" s="106">
        <f t="shared" ref="N24:N25" si="57">O24+((P24-O24)/(2030-2025))*(2020-2025)</f>
        <v>25.925424875285358</v>
      </c>
      <c r="O24" s="107">
        <f t="shared" si="52"/>
        <v>21.308024012851945</v>
      </c>
      <c r="P24" s="209">
        <f t="shared" ref="P24:P25" si="58">I24*0.02</f>
        <v>16.690623150418531</v>
      </c>
      <c r="Q24" s="209">
        <f t="shared" ref="Q24:Q25" si="59">J24*0.02</f>
        <v>7.4558214255517035</v>
      </c>
      <c r="R24" s="107">
        <f t="shared" si="53"/>
        <v>6.202756404836391</v>
      </c>
      <c r="S24" s="209">
        <f t="shared" ref="S24:S25" si="60">L24*0.02</f>
        <v>4.9496913841210786</v>
      </c>
      <c r="T24" s="107">
        <v>4.95</v>
      </c>
      <c r="U24" s="210"/>
      <c r="V24" s="208"/>
      <c r="W24" s="208"/>
      <c r="X24" s="208"/>
      <c r="Y24" s="209"/>
      <c r="Z24" s="208"/>
      <c r="AA24" s="209"/>
      <c r="AB24" s="210"/>
      <c r="AC24" s="208"/>
      <c r="AD24" s="208"/>
      <c r="AE24" s="208"/>
      <c r="AF24" s="213"/>
      <c r="AG24" s="213"/>
      <c r="AH24" s="213"/>
      <c r="AI24" s="106">
        <f t="shared" ref="AI24:AI25" si="61">AJ24+((AK24-AJ24)/(2030-2025))*(2020-2025)</f>
        <v>88</v>
      </c>
      <c r="AJ24" s="297">
        <f t="shared" ref="AJ24:AJ25" si="62">AK24+((AL24-AK24)/(2040-2030))*(2025-2030)</f>
        <v>88</v>
      </c>
      <c r="AK24" s="208">
        <v>88</v>
      </c>
      <c r="AL24" s="208">
        <v>88</v>
      </c>
      <c r="AM24" s="378">
        <f t="shared" ref="AM24:AM25" si="63">AL24+((AN24-AL24)/(2050-2040))*(2045-2040)</f>
        <v>88</v>
      </c>
      <c r="AN24" s="208">
        <v>88</v>
      </c>
      <c r="AO24" s="378">
        <f t="shared" ref="AO24:AO25" si="64">AM24+((AN24-AM24)/(2050-2045))*(2060-2045)</f>
        <v>88</v>
      </c>
      <c r="AP24" s="210"/>
      <c r="AQ24" s="24"/>
      <c r="AR24" t="s">
        <v>390</v>
      </c>
    </row>
    <row r="25" spans="1:44" x14ac:dyDescent="0.3">
      <c r="A25" s="981"/>
      <c r="B25" s="990"/>
      <c r="C25" s="210">
        <v>11</v>
      </c>
      <c r="D25" s="208" t="s">
        <v>57</v>
      </c>
      <c r="E25" s="208">
        <v>2022</v>
      </c>
      <c r="F25" s="704" t="s">
        <v>19</v>
      </c>
      <c r="G25" s="107">
        <f t="shared" si="54"/>
        <v>2592.4579352329415</v>
      </c>
      <c r="H25" s="107">
        <f t="shared" si="55"/>
        <v>2130.7178489896</v>
      </c>
      <c r="I25" s="209">
        <f>(1973.9)/1.1827</f>
        <v>1668.9777627462586</v>
      </c>
      <c r="J25" s="209">
        <f>(881.7)/1.1827</f>
        <v>745.49759025957553</v>
      </c>
      <c r="K25" s="107">
        <f t="shared" si="56"/>
        <v>620.23336433584166</v>
      </c>
      <c r="L25" s="209">
        <f>(585.4)/1.1827</f>
        <v>494.96913841210784</v>
      </c>
      <c r="M25" s="107">
        <v>494.97</v>
      </c>
      <c r="N25" s="106">
        <f t="shared" si="57"/>
        <v>51.849158704658841</v>
      </c>
      <c r="O25" s="107">
        <f t="shared" si="52"/>
        <v>42.614356979792007</v>
      </c>
      <c r="P25" s="209">
        <f t="shared" si="58"/>
        <v>33.379555254925172</v>
      </c>
      <c r="Q25" s="209">
        <f t="shared" si="59"/>
        <v>14.909951805191511</v>
      </c>
      <c r="R25" s="107">
        <f t="shared" si="53"/>
        <v>12.404667286716833</v>
      </c>
      <c r="S25" s="209">
        <f t="shared" si="60"/>
        <v>9.8993827682421571</v>
      </c>
      <c r="T25" s="107">
        <v>9.9</v>
      </c>
      <c r="U25" s="210"/>
      <c r="V25" s="208"/>
      <c r="W25" s="208"/>
      <c r="X25" s="208"/>
      <c r="Y25" s="209"/>
      <c r="Z25" s="208"/>
      <c r="AA25" s="209"/>
      <c r="AB25" s="210"/>
      <c r="AC25" s="208"/>
      <c r="AD25" s="208"/>
      <c r="AE25" s="208"/>
      <c r="AF25" s="213"/>
      <c r="AG25" s="213"/>
      <c r="AH25" s="213"/>
      <c r="AI25" s="106">
        <f t="shared" si="61"/>
        <v>87</v>
      </c>
      <c r="AJ25" s="297">
        <f t="shared" si="62"/>
        <v>87</v>
      </c>
      <c r="AK25" s="208">
        <v>87</v>
      </c>
      <c r="AL25" s="208">
        <v>87</v>
      </c>
      <c r="AM25" s="378">
        <f t="shared" si="63"/>
        <v>87</v>
      </c>
      <c r="AN25" s="208">
        <v>87</v>
      </c>
      <c r="AO25" s="378">
        <f t="shared" si="64"/>
        <v>87</v>
      </c>
      <c r="AP25" s="210"/>
      <c r="AQ25" s="24"/>
      <c r="AR25" t="s">
        <v>391</v>
      </c>
    </row>
    <row r="26" spans="1:44" x14ac:dyDescent="0.3">
      <c r="A26" s="981"/>
      <c r="B26" s="991"/>
      <c r="C26" s="216">
        <v>4</v>
      </c>
      <c r="D26" s="214" t="s">
        <v>31</v>
      </c>
      <c r="E26" s="214">
        <v>2022</v>
      </c>
      <c r="F26" s="705" t="s">
        <v>19</v>
      </c>
      <c r="G26" s="215">
        <f>1586.29</f>
        <v>1586.29</v>
      </c>
      <c r="H26" s="215">
        <v>1441.86</v>
      </c>
      <c r="I26" s="215">
        <v>1297.43</v>
      </c>
      <c r="J26" s="215">
        <v>1061.17</v>
      </c>
      <c r="K26" s="215">
        <v>937.36</v>
      </c>
      <c r="L26" s="215">
        <v>813.55</v>
      </c>
      <c r="M26" s="107">
        <f>K26+((L26-K26)/(2050-2045))*(2060-2045)</f>
        <v>565.92999999999984</v>
      </c>
      <c r="N26" s="597">
        <f t="shared" ref="N26:S26" si="65">G26*0.03</f>
        <v>47.588699999999996</v>
      </c>
      <c r="O26" s="215">
        <f t="shared" si="65"/>
        <v>43.255799999999994</v>
      </c>
      <c r="P26" s="215">
        <f t="shared" si="65"/>
        <v>38.922899999999998</v>
      </c>
      <c r="Q26" s="215">
        <f t="shared" si="65"/>
        <v>31.835100000000001</v>
      </c>
      <c r="R26" s="215">
        <f t="shared" si="65"/>
        <v>28.120799999999999</v>
      </c>
      <c r="S26" s="215">
        <f t="shared" si="65"/>
        <v>24.406499999999998</v>
      </c>
      <c r="T26" s="122">
        <f>R26+((S26-R26)/(2050-2045))*(2060-2045)</f>
        <v>16.977899999999995</v>
      </c>
      <c r="U26" s="216">
        <v>0.02</v>
      </c>
      <c r="V26" s="214">
        <v>0.02</v>
      </c>
      <c r="W26" s="214">
        <v>0.02</v>
      </c>
      <c r="X26" s="214">
        <v>0.02</v>
      </c>
      <c r="Y26" s="215">
        <v>0.02</v>
      </c>
      <c r="Z26" s="214">
        <v>0.02</v>
      </c>
      <c r="AA26" s="122">
        <f>Y26+((Z26-Y26)/(2050-2045))*(2060-2045)</f>
        <v>0.02</v>
      </c>
      <c r="AB26" s="216">
        <v>30</v>
      </c>
      <c r="AC26" s="214">
        <v>30</v>
      </c>
      <c r="AD26" s="214">
        <v>30</v>
      </c>
      <c r="AE26" s="214">
        <v>30</v>
      </c>
      <c r="AF26" s="660">
        <v>30</v>
      </c>
      <c r="AG26" s="660">
        <v>30</v>
      </c>
      <c r="AH26" s="386">
        <f>AF26+((AG26-AF26)/(2050-2045))*(2060-2045)</f>
        <v>30</v>
      </c>
      <c r="AI26" s="597"/>
      <c r="AJ26" s="214"/>
      <c r="AK26" s="214"/>
      <c r="AL26" s="214"/>
      <c r="AM26" s="215"/>
      <c r="AN26" s="214"/>
      <c r="AO26" s="215"/>
      <c r="AP26" s="216"/>
      <c r="AQ26" s="27"/>
      <c r="AR26" t="s">
        <v>392</v>
      </c>
    </row>
    <row r="27" spans="1:44" x14ac:dyDescent="0.3">
      <c r="A27" s="981"/>
      <c r="B27" s="706" t="s">
        <v>267</v>
      </c>
      <c r="C27" s="229"/>
      <c r="D27" s="225"/>
      <c r="E27" s="225"/>
      <c r="F27" s="230"/>
      <c r="G27" s="220">
        <f>MIN(G23:G26)</f>
        <v>1296.2712437642681</v>
      </c>
      <c r="H27" s="220">
        <f t="shared" ref="H27:M27" si="66">MIN(H23:H26)</f>
        <v>1065.4012006425974</v>
      </c>
      <c r="I27" s="220">
        <f t="shared" si="66"/>
        <v>834.53115752092663</v>
      </c>
      <c r="J27" s="220">
        <f t="shared" si="66"/>
        <v>372.79107127758516</v>
      </c>
      <c r="K27" s="220">
        <f t="shared" si="66"/>
        <v>310.13782024181955</v>
      </c>
      <c r="L27" s="220">
        <f t="shared" si="66"/>
        <v>247.48456920605392</v>
      </c>
      <c r="M27" s="220">
        <f t="shared" si="66"/>
        <v>247.48</v>
      </c>
      <c r="N27" s="219">
        <f t="shared" ref="N27:AO27" si="67">MIN(N23:N26)</f>
        <v>0</v>
      </c>
      <c r="O27" s="220">
        <f t="shared" si="67"/>
        <v>0</v>
      </c>
      <c r="P27" s="220">
        <f t="shared" si="67"/>
        <v>0</v>
      </c>
      <c r="Q27" s="220">
        <f t="shared" si="67"/>
        <v>0</v>
      </c>
      <c r="R27" s="220">
        <f t="shared" si="67"/>
        <v>0</v>
      </c>
      <c r="S27" s="220">
        <f t="shared" si="67"/>
        <v>0</v>
      </c>
      <c r="T27" s="220">
        <f t="shared" si="67"/>
        <v>0</v>
      </c>
      <c r="U27" s="222">
        <f t="shared" si="67"/>
        <v>0.02</v>
      </c>
      <c r="V27" s="218">
        <f t="shared" si="67"/>
        <v>0.02</v>
      </c>
      <c r="W27" s="218">
        <f t="shared" si="67"/>
        <v>0.02</v>
      </c>
      <c r="X27" s="218">
        <f t="shared" si="67"/>
        <v>0.02</v>
      </c>
      <c r="Y27" s="218">
        <f t="shared" si="67"/>
        <v>0.02</v>
      </c>
      <c r="Z27" s="218">
        <f t="shared" si="67"/>
        <v>0.02</v>
      </c>
      <c r="AA27" s="218">
        <f t="shared" si="67"/>
        <v>0.02</v>
      </c>
      <c r="AB27" s="222">
        <f t="shared" si="67"/>
        <v>30</v>
      </c>
      <c r="AC27" s="218">
        <f t="shared" si="67"/>
        <v>30</v>
      </c>
      <c r="AD27" s="218">
        <f t="shared" si="67"/>
        <v>30</v>
      </c>
      <c r="AE27" s="218">
        <f t="shared" si="67"/>
        <v>30</v>
      </c>
      <c r="AF27" s="490">
        <f t="shared" si="67"/>
        <v>30</v>
      </c>
      <c r="AG27" s="490">
        <f t="shared" si="67"/>
        <v>30</v>
      </c>
      <c r="AH27" s="490">
        <f t="shared" si="67"/>
        <v>30</v>
      </c>
      <c r="AI27" s="222">
        <f t="shared" si="67"/>
        <v>87</v>
      </c>
      <c r="AJ27" s="218">
        <f t="shared" si="67"/>
        <v>87</v>
      </c>
      <c r="AK27" s="218">
        <f t="shared" si="67"/>
        <v>87</v>
      </c>
      <c r="AL27" s="218">
        <f t="shared" si="67"/>
        <v>87</v>
      </c>
      <c r="AM27" s="218">
        <f t="shared" si="67"/>
        <v>87</v>
      </c>
      <c r="AN27" s="218">
        <f t="shared" si="67"/>
        <v>87</v>
      </c>
      <c r="AO27" s="218">
        <f t="shared" si="67"/>
        <v>87</v>
      </c>
      <c r="AP27" s="222"/>
      <c r="AQ27" s="223"/>
      <c r="AR27" s="104"/>
    </row>
    <row r="28" spans="1:44" ht="16.2" customHeight="1" x14ac:dyDescent="0.3">
      <c r="A28" s="981"/>
      <c r="B28" s="707" t="s">
        <v>268</v>
      </c>
      <c r="C28" s="229"/>
      <c r="D28" s="225"/>
      <c r="E28" s="225"/>
      <c r="F28" s="230"/>
      <c r="G28" s="227">
        <f>MEDIAN(G23:G26)</f>
        <v>1586.29</v>
      </c>
      <c r="H28" s="227">
        <f t="shared" ref="H28:M28" si="68">MEDIAN(H23:H26)</f>
        <v>1441.86</v>
      </c>
      <c r="I28" s="227">
        <f t="shared" si="68"/>
        <v>1297.43</v>
      </c>
      <c r="J28" s="227">
        <f t="shared" si="68"/>
        <v>745.49759025957553</v>
      </c>
      <c r="K28" s="227">
        <f t="shared" si="68"/>
        <v>620.23336433584166</v>
      </c>
      <c r="L28" s="227">
        <f t="shared" si="68"/>
        <v>494.96913841210784</v>
      </c>
      <c r="M28" s="227">
        <f t="shared" si="68"/>
        <v>494.97</v>
      </c>
      <c r="N28" s="226">
        <f t="shared" ref="N28:AO28" si="69">MEDIAN(N23:N26)</f>
        <v>36.757062437642674</v>
      </c>
      <c r="O28" s="227">
        <f t="shared" si="69"/>
        <v>31.961190496321976</v>
      </c>
      <c r="P28" s="227">
        <f t="shared" si="69"/>
        <v>25.035089202671852</v>
      </c>
      <c r="Q28" s="227">
        <f t="shared" si="69"/>
        <v>11.182886615371608</v>
      </c>
      <c r="R28" s="227">
        <f t="shared" si="69"/>
        <v>9.3037118457766113</v>
      </c>
      <c r="S28" s="227">
        <f t="shared" si="69"/>
        <v>7.4245370761816183</v>
      </c>
      <c r="T28" s="227">
        <f t="shared" si="69"/>
        <v>7.4250000000000007</v>
      </c>
      <c r="U28" s="229">
        <f t="shared" si="69"/>
        <v>0.02</v>
      </c>
      <c r="V28" s="225">
        <f t="shared" si="69"/>
        <v>0.02</v>
      </c>
      <c r="W28" s="225">
        <f t="shared" si="69"/>
        <v>0.02</v>
      </c>
      <c r="X28" s="225">
        <f t="shared" si="69"/>
        <v>0.02</v>
      </c>
      <c r="Y28" s="225">
        <f t="shared" si="69"/>
        <v>0.02</v>
      </c>
      <c r="Z28" s="225">
        <f t="shared" si="69"/>
        <v>0.02</v>
      </c>
      <c r="AA28" s="225">
        <f t="shared" si="69"/>
        <v>0.02</v>
      </c>
      <c r="AB28" s="229">
        <f t="shared" si="69"/>
        <v>30</v>
      </c>
      <c r="AC28" s="225">
        <f t="shared" si="69"/>
        <v>30</v>
      </c>
      <c r="AD28" s="225">
        <f t="shared" si="69"/>
        <v>30</v>
      </c>
      <c r="AE28" s="225">
        <f t="shared" si="69"/>
        <v>30</v>
      </c>
      <c r="AF28" s="494">
        <f t="shared" si="69"/>
        <v>30</v>
      </c>
      <c r="AG28" s="494">
        <f t="shared" si="69"/>
        <v>30</v>
      </c>
      <c r="AH28" s="494">
        <f t="shared" si="69"/>
        <v>30</v>
      </c>
      <c r="AI28" s="229">
        <f t="shared" si="69"/>
        <v>87.5</v>
      </c>
      <c r="AJ28" s="225">
        <f t="shared" si="69"/>
        <v>87.5</v>
      </c>
      <c r="AK28" s="225">
        <f t="shared" si="69"/>
        <v>87.5</v>
      </c>
      <c r="AL28" s="225">
        <f t="shared" si="69"/>
        <v>87.5</v>
      </c>
      <c r="AM28" s="225">
        <f t="shared" si="69"/>
        <v>87.5</v>
      </c>
      <c r="AN28" s="225">
        <f t="shared" si="69"/>
        <v>87.5</v>
      </c>
      <c r="AO28" s="225">
        <f t="shared" si="69"/>
        <v>87.5</v>
      </c>
      <c r="AP28" s="229"/>
      <c r="AQ28" s="230"/>
      <c r="AR28" s="104"/>
    </row>
    <row r="29" spans="1:44" x14ac:dyDescent="0.3">
      <c r="A29" s="981"/>
      <c r="B29" s="708" t="s">
        <v>269</v>
      </c>
      <c r="C29" s="229"/>
      <c r="D29" s="225"/>
      <c r="E29" s="225"/>
      <c r="F29" s="230"/>
      <c r="G29" s="233">
        <f>MAX(G23:G26)</f>
        <v>2592.4579352329415</v>
      </c>
      <c r="H29" s="233">
        <f t="shared" ref="H29:M29" si="70">MAX(H23:H26)</f>
        <v>2130.7178489896</v>
      </c>
      <c r="I29" s="233">
        <f t="shared" si="70"/>
        <v>1668.9777627462586</v>
      </c>
      <c r="J29" s="233">
        <f t="shared" si="70"/>
        <v>1061.17</v>
      </c>
      <c r="K29" s="233">
        <f t="shared" si="70"/>
        <v>937.36</v>
      </c>
      <c r="L29" s="233">
        <f t="shared" si="70"/>
        <v>813.55</v>
      </c>
      <c r="M29" s="233">
        <f t="shared" si="70"/>
        <v>565.92999999999984</v>
      </c>
      <c r="N29" s="599">
        <f t="shared" ref="N29:AO29" si="71">MAX(N23:N26)</f>
        <v>51.849158704658841</v>
      </c>
      <c r="O29" s="233">
        <f t="shared" si="71"/>
        <v>43.255799999999994</v>
      </c>
      <c r="P29" s="233">
        <f t="shared" si="71"/>
        <v>38.922899999999998</v>
      </c>
      <c r="Q29" s="233">
        <f t="shared" si="71"/>
        <v>31.835100000000001</v>
      </c>
      <c r="R29" s="233">
        <f t="shared" si="71"/>
        <v>28.120799999999999</v>
      </c>
      <c r="S29" s="233">
        <f t="shared" si="71"/>
        <v>24.406499999999998</v>
      </c>
      <c r="T29" s="233">
        <f t="shared" si="71"/>
        <v>16.977899999999995</v>
      </c>
      <c r="U29" s="234">
        <f t="shared" si="71"/>
        <v>0.02</v>
      </c>
      <c r="V29" s="232">
        <f t="shared" si="71"/>
        <v>0.02</v>
      </c>
      <c r="W29" s="232">
        <f t="shared" si="71"/>
        <v>0.02</v>
      </c>
      <c r="X29" s="232">
        <f t="shared" si="71"/>
        <v>0.02</v>
      </c>
      <c r="Y29" s="232">
        <f t="shared" si="71"/>
        <v>0.02</v>
      </c>
      <c r="Z29" s="232">
        <f t="shared" si="71"/>
        <v>0.02</v>
      </c>
      <c r="AA29" s="232">
        <f t="shared" si="71"/>
        <v>0.02</v>
      </c>
      <c r="AB29" s="234">
        <f t="shared" si="71"/>
        <v>30</v>
      </c>
      <c r="AC29" s="232">
        <f t="shared" si="71"/>
        <v>30</v>
      </c>
      <c r="AD29" s="232">
        <f t="shared" si="71"/>
        <v>30</v>
      </c>
      <c r="AE29" s="232">
        <f t="shared" si="71"/>
        <v>30</v>
      </c>
      <c r="AF29" s="498">
        <f t="shared" si="71"/>
        <v>30</v>
      </c>
      <c r="AG29" s="498">
        <f t="shared" si="71"/>
        <v>30</v>
      </c>
      <c r="AH29" s="498">
        <f t="shared" si="71"/>
        <v>30</v>
      </c>
      <c r="AI29" s="234">
        <f t="shared" si="71"/>
        <v>88</v>
      </c>
      <c r="AJ29" s="232">
        <f t="shared" si="71"/>
        <v>88</v>
      </c>
      <c r="AK29" s="232">
        <f t="shared" si="71"/>
        <v>88</v>
      </c>
      <c r="AL29" s="232">
        <f t="shared" si="71"/>
        <v>88</v>
      </c>
      <c r="AM29" s="232">
        <f t="shared" si="71"/>
        <v>88</v>
      </c>
      <c r="AN29" s="232">
        <f t="shared" si="71"/>
        <v>88</v>
      </c>
      <c r="AO29" s="232">
        <f t="shared" si="71"/>
        <v>88</v>
      </c>
      <c r="AP29" s="234"/>
      <c r="AQ29" s="235"/>
      <c r="AR29" s="104"/>
    </row>
    <row r="30" spans="1:44" ht="15" customHeight="1" x14ac:dyDescent="0.3">
      <c r="A30" s="981"/>
      <c r="B30" s="989" t="s">
        <v>393</v>
      </c>
      <c r="C30" s="205">
        <v>11</v>
      </c>
      <c r="D30" s="202" t="s">
        <v>57</v>
      </c>
      <c r="E30" s="202">
        <v>2022</v>
      </c>
      <c r="F30" s="703" t="s">
        <v>19</v>
      </c>
      <c r="G30" s="93">
        <f t="shared" ref="G30:G31" si="72">H30+((I30-H30)/(2030-2025))*(2020-2025)</f>
        <v>1061.9768326710068</v>
      </c>
      <c r="H30" s="93">
        <f t="shared" ref="H30:H31" si="73">I30+((J30-I30)/(2040-2030))*(2025-2030)</f>
        <v>862.17975818043442</v>
      </c>
      <c r="I30" s="204">
        <f>(783.4)/1.1827</f>
        <v>662.38268368986212</v>
      </c>
      <c r="J30" s="204">
        <f>(310.8)/1.1827</f>
        <v>262.78853470871735</v>
      </c>
      <c r="K30" s="93">
        <f t="shared" ref="K30:K31" si="74">J30+((L30-J30)/(2050-2040))*(2045-2040)</f>
        <v>215.56607761900733</v>
      </c>
      <c r="L30" s="204">
        <f>(199.1)/1.1827</f>
        <v>168.34362052929734</v>
      </c>
      <c r="M30" s="107">
        <v>168.57</v>
      </c>
      <c r="N30" s="92">
        <f t="shared" ref="N30:N31" si="75">O30+((P30-O30)/(2030-2025))*(2020-2025)</f>
        <v>31.859304980130208</v>
      </c>
      <c r="O30" s="93">
        <f t="shared" ref="O30:O31" si="76">P30+((Q30-P30)/(2040-2030))*(2025-2030)</f>
        <v>25.865392745413036</v>
      </c>
      <c r="P30" s="204">
        <f>I30*0.03</f>
        <v>19.871480510695864</v>
      </c>
      <c r="Q30" s="204">
        <f>J30*0.03</f>
        <v>7.8836560412615206</v>
      </c>
      <c r="R30" s="93">
        <f t="shared" ref="R30:R31" si="77">Q30+((S30-Q30)/(2050-2040))*(2045-2040)</f>
        <v>6.4669823285702197</v>
      </c>
      <c r="S30" s="204">
        <f>L30*0.03</f>
        <v>5.0503086158789197</v>
      </c>
      <c r="T30" s="93">
        <v>5.05</v>
      </c>
      <c r="U30" s="205"/>
      <c r="V30" s="202"/>
      <c r="W30" s="202"/>
      <c r="X30" s="202"/>
      <c r="Y30" s="204"/>
      <c r="Z30" s="202"/>
      <c r="AA30" s="204"/>
      <c r="AB30" s="205"/>
      <c r="AC30" s="202"/>
      <c r="AD30" s="202"/>
      <c r="AE30" s="202"/>
      <c r="AF30" s="207"/>
      <c r="AG30" s="207"/>
      <c r="AH30" s="207"/>
      <c r="AI30" s="92">
        <f t="shared" ref="AI30:AI31" si="78">AJ30+((AK30-AJ30)/(2030-2025))*(2020-2025)</f>
        <v>98</v>
      </c>
      <c r="AJ30" s="100">
        <f t="shared" ref="AJ30:AJ31" si="79">AK30+((AL30-AK30)/(2040-2030))*(2025-2030)</f>
        <v>98</v>
      </c>
      <c r="AK30" s="202">
        <v>98</v>
      </c>
      <c r="AL30" s="202">
        <v>98</v>
      </c>
      <c r="AM30" s="101">
        <f t="shared" ref="AM30:AM31" si="80">AL30+((AN30-AL30)/(2050-2040))*(2045-2040)</f>
        <v>98</v>
      </c>
      <c r="AN30" s="202">
        <v>98</v>
      </c>
      <c r="AO30" s="101">
        <f t="shared" ref="AO30:AO31" si="81">AM30+((AN30-AM30)/(2050-2045))*(2060-2045)</f>
        <v>98</v>
      </c>
      <c r="AP30" s="205"/>
      <c r="AQ30" s="21"/>
      <c r="AR30" t="s">
        <v>390</v>
      </c>
    </row>
    <row r="31" spans="1:44" x14ac:dyDescent="0.3">
      <c r="A31" s="981"/>
      <c r="B31" s="990"/>
      <c r="C31" s="210">
        <v>11</v>
      </c>
      <c r="D31" s="208" t="s">
        <v>57</v>
      </c>
      <c r="E31" s="208">
        <v>2022</v>
      </c>
      <c r="F31" s="704" t="s">
        <v>19</v>
      </c>
      <c r="G31" s="107">
        <f t="shared" si="72"/>
        <v>2066.8808658155067</v>
      </c>
      <c r="H31" s="107">
        <f t="shared" si="73"/>
        <v>1678.0248583749049</v>
      </c>
      <c r="I31" s="209">
        <f>(1524.7)/1.1827</f>
        <v>1289.1688509343028</v>
      </c>
      <c r="J31" s="209">
        <f>(604.9)/1.1827</f>
        <v>511.45683605309881</v>
      </c>
      <c r="K31" s="107">
        <f t="shared" si="74"/>
        <v>405.38598122939038</v>
      </c>
      <c r="L31" s="209">
        <f>(354)/1.1827</f>
        <v>299.31512640568189</v>
      </c>
      <c r="M31" s="107">
        <v>299.32</v>
      </c>
      <c r="N31" s="106">
        <f t="shared" si="75"/>
        <v>82.675234632620288</v>
      </c>
      <c r="O31" s="107">
        <f t="shared" si="76"/>
        <v>67.120994334996197</v>
      </c>
      <c r="P31" s="209">
        <f>I31*0.04</f>
        <v>51.566754037372114</v>
      </c>
      <c r="Q31" s="209">
        <f>J31*0.04</f>
        <v>20.458273442123954</v>
      </c>
      <c r="R31" s="107">
        <f t="shared" si="77"/>
        <v>16.215439249175617</v>
      </c>
      <c r="S31" s="209">
        <f>L31*0.04</f>
        <v>11.972605056227277</v>
      </c>
      <c r="T31" s="107">
        <v>11.97</v>
      </c>
      <c r="U31" s="210"/>
      <c r="V31" s="208"/>
      <c r="W31" s="208"/>
      <c r="X31" s="208"/>
      <c r="Y31" s="209"/>
      <c r="Z31" s="208"/>
      <c r="AA31" s="209"/>
      <c r="AB31" s="210"/>
      <c r="AC31" s="208"/>
      <c r="AD31" s="208"/>
      <c r="AE31" s="208"/>
      <c r="AF31" s="213"/>
      <c r="AG31" s="213"/>
      <c r="AH31" s="213"/>
      <c r="AI31" s="106">
        <f t="shared" si="78"/>
        <v>98</v>
      </c>
      <c r="AJ31" s="297">
        <f t="shared" si="79"/>
        <v>98</v>
      </c>
      <c r="AK31" s="208">
        <v>98</v>
      </c>
      <c r="AL31" s="208">
        <v>98</v>
      </c>
      <c r="AM31" s="378">
        <f t="shared" si="80"/>
        <v>98</v>
      </c>
      <c r="AN31" s="208">
        <v>98</v>
      </c>
      <c r="AO31" s="378">
        <f t="shared" si="81"/>
        <v>98</v>
      </c>
      <c r="AP31" s="210"/>
      <c r="AQ31" s="24"/>
      <c r="AR31" t="s">
        <v>391</v>
      </c>
    </row>
    <row r="32" spans="1:44" x14ac:dyDescent="0.3">
      <c r="A32" s="981"/>
      <c r="B32" s="991"/>
      <c r="C32" s="216">
        <v>4</v>
      </c>
      <c r="D32" s="214" t="s">
        <v>31</v>
      </c>
      <c r="E32" s="214">
        <v>2022</v>
      </c>
      <c r="F32" s="705" t="s">
        <v>19</v>
      </c>
      <c r="G32" s="215">
        <v>1062.107</v>
      </c>
      <c r="H32" s="215">
        <v>1062.107</v>
      </c>
      <c r="I32" s="215">
        <v>1062.107</v>
      </c>
      <c r="J32" s="215">
        <v>794.84900000000005</v>
      </c>
      <c r="K32" s="215">
        <v>661.221</v>
      </c>
      <c r="L32" s="215">
        <v>527.59199999999998</v>
      </c>
      <c r="M32" s="107">
        <f>K32+((L32-K32)/(2050-2045))*(2060-2045)</f>
        <v>260.33399999999995</v>
      </c>
      <c r="N32" s="597">
        <f t="shared" ref="N32:S32" si="82">G32*0.043</f>
        <v>45.670600999999998</v>
      </c>
      <c r="O32" s="215">
        <f t="shared" si="82"/>
        <v>45.670600999999998</v>
      </c>
      <c r="P32" s="215">
        <f t="shared" si="82"/>
        <v>45.670600999999998</v>
      </c>
      <c r="Q32" s="215">
        <f t="shared" si="82"/>
        <v>34.178506999999996</v>
      </c>
      <c r="R32" s="215">
        <f t="shared" si="82"/>
        <v>28.432502999999997</v>
      </c>
      <c r="S32" s="215">
        <f t="shared" si="82"/>
        <v>22.686455999999996</v>
      </c>
      <c r="T32" s="122">
        <v>22.69</v>
      </c>
      <c r="U32" s="216"/>
      <c r="V32" s="214"/>
      <c r="W32" s="214"/>
      <c r="X32" s="214"/>
      <c r="Y32" s="215"/>
      <c r="Z32" s="214"/>
      <c r="AA32" s="215"/>
      <c r="AB32" s="216">
        <v>25</v>
      </c>
      <c r="AC32" s="214">
        <v>25</v>
      </c>
      <c r="AD32" s="214">
        <v>25</v>
      </c>
      <c r="AE32" s="214">
        <v>25</v>
      </c>
      <c r="AF32" s="660">
        <v>25</v>
      </c>
      <c r="AG32" s="660">
        <v>25</v>
      </c>
      <c r="AH32" s="386">
        <f>AF32+((AG32-AF32)/(2050-2045))*(2060-2045)</f>
        <v>25</v>
      </c>
      <c r="AI32" s="597"/>
      <c r="AJ32" s="214"/>
      <c r="AK32" s="214"/>
      <c r="AL32" s="214"/>
      <c r="AM32" s="215"/>
      <c r="AN32" s="214"/>
      <c r="AO32" s="215"/>
      <c r="AP32" s="216"/>
      <c r="AQ32" s="27"/>
      <c r="AR32" t="s">
        <v>394</v>
      </c>
    </row>
    <row r="33" spans="1:44" x14ac:dyDescent="0.3">
      <c r="A33" s="981"/>
      <c r="B33" s="706" t="s">
        <v>267</v>
      </c>
      <c r="C33" s="229"/>
      <c r="D33" s="225"/>
      <c r="E33" s="225"/>
      <c r="F33" s="230"/>
      <c r="G33" s="220">
        <f>MIN(G30:G32)</f>
        <v>1061.9768326710068</v>
      </c>
      <c r="H33" s="220">
        <f t="shared" ref="H33:M33" si="83">MIN(H30:H32)</f>
        <v>862.17975818043442</v>
      </c>
      <c r="I33" s="220">
        <f t="shared" si="83"/>
        <v>662.38268368986212</v>
      </c>
      <c r="J33" s="220">
        <f t="shared" si="83"/>
        <v>262.78853470871735</v>
      </c>
      <c r="K33" s="220">
        <f t="shared" si="83"/>
        <v>215.56607761900733</v>
      </c>
      <c r="L33" s="220">
        <f t="shared" si="83"/>
        <v>168.34362052929734</v>
      </c>
      <c r="M33" s="220">
        <f t="shared" si="83"/>
        <v>168.57</v>
      </c>
      <c r="N33" s="219">
        <f t="shared" ref="N33:AO33" si="84">MIN(N30:N32)</f>
        <v>31.859304980130208</v>
      </c>
      <c r="O33" s="220">
        <f t="shared" si="84"/>
        <v>25.865392745413036</v>
      </c>
      <c r="P33" s="220">
        <f t="shared" si="84"/>
        <v>19.871480510695864</v>
      </c>
      <c r="Q33" s="220">
        <f t="shared" si="84"/>
        <v>7.8836560412615206</v>
      </c>
      <c r="R33" s="220">
        <f t="shared" si="84"/>
        <v>6.4669823285702197</v>
      </c>
      <c r="S33" s="220">
        <f t="shared" si="84"/>
        <v>5.0503086158789197</v>
      </c>
      <c r="T33" s="220">
        <f t="shared" si="84"/>
        <v>5.05</v>
      </c>
      <c r="U33" s="222"/>
      <c r="V33" s="218"/>
      <c r="W33" s="218"/>
      <c r="X33" s="218"/>
      <c r="Y33" s="220"/>
      <c r="Z33" s="218"/>
      <c r="AA33" s="220"/>
      <c r="AB33" s="222">
        <f t="shared" si="84"/>
        <v>25</v>
      </c>
      <c r="AC33" s="218">
        <f t="shared" si="84"/>
        <v>25</v>
      </c>
      <c r="AD33" s="218">
        <f t="shared" si="84"/>
        <v>25</v>
      </c>
      <c r="AE33" s="218">
        <f t="shared" si="84"/>
        <v>25</v>
      </c>
      <c r="AF33" s="490">
        <f t="shared" si="84"/>
        <v>25</v>
      </c>
      <c r="AG33" s="490">
        <f t="shared" si="84"/>
        <v>25</v>
      </c>
      <c r="AH33" s="490">
        <f t="shared" si="84"/>
        <v>25</v>
      </c>
      <c r="AI33" s="222">
        <f t="shared" si="84"/>
        <v>98</v>
      </c>
      <c r="AJ33" s="218">
        <f t="shared" si="84"/>
        <v>98</v>
      </c>
      <c r="AK33" s="218">
        <f t="shared" si="84"/>
        <v>98</v>
      </c>
      <c r="AL33" s="218">
        <f t="shared" si="84"/>
        <v>98</v>
      </c>
      <c r="AM33" s="218">
        <f t="shared" si="84"/>
        <v>98</v>
      </c>
      <c r="AN33" s="218">
        <f t="shared" si="84"/>
        <v>98</v>
      </c>
      <c r="AO33" s="218">
        <f t="shared" si="84"/>
        <v>98</v>
      </c>
      <c r="AP33" s="222"/>
      <c r="AQ33" s="223"/>
      <c r="AR33" s="104"/>
    </row>
    <row r="34" spans="1:44" x14ac:dyDescent="0.3">
      <c r="A34" s="981"/>
      <c r="B34" s="707" t="s">
        <v>268</v>
      </c>
      <c r="C34" s="229"/>
      <c r="D34" s="225"/>
      <c r="E34" s="225"/>
      <c r="F34" s="230"/>
      <c r="G34" s="227">
        <f>MEDIAN(G30:G32)</f>
        <v>1062.107</v>
      </c>
      <c r="H34" s="227">
        <f t="shared" ref="H34:M34" si="85">MEDIAN(H30:H32)</f>
        <v>1062.107</v>
      </c>
      <c r="I34" s="227">
        <f t="shared" si="85"/>
        <v>1062.107</v>
      </c>
      <c r="J34" s="227">
        <f t="shared" si="85"/>
        <v>511.45683605309881</v>
      </c>
      <c r="K34" s="227">
        <f t="shared" si="85"/>
        <v>405.38598122939038</v>
      </c>
      <c r="L34" s="227">
        <f t="shared" si="85"/>
        <v>299.31512640568189</v>
      </c>
      <c r="M34" s="227">
        <f t="shared" si="85"/>
        <v>260.33399999999995</v>
      </c>
      <c r="N34" s="226">
        <f t="shared" ref="N34:AO34" si="86">MEDIAN(N30:N32)</f>
        <v>45.670600999999998</v>
      </c>
      <c r="O34" s="227">
        <f t="shared" si="86"/>
        <v>45.670600999999998</v>
      </c>
      <c r="P34" s="227">
        <f t="shared" si="86"/>
        <v>45.670600999999998</v>
      </c>
      <c r="Q34" s="227">
        <f t="shared" si="86"/>
        <v>20.458273442123954</v>
      </c>
      <c r="R34" s="227">
        <f t="shared" si="86"/>
        <v>16.215439249175617</v>
      </c>
      <c r="S34" s="227">
        <f t="shared" si="86"/>
        <v>11.972605056227277</v>
      </c>
      <c r="T34" s="227">
        <f t="shared" si="86"/>
        <v>11.97</v>
      </c>
      <c r="U34" s="229"/>
      <c r="V34" s="225"/>
      <c r="W34" s="225"/>
      <c r="X34" s="225"/>
      <c r="Y34" s="227"/>
      <c r="Z34" s="225"/>
      <c r="AA34" s="227"/>
      <c r="AB34" s="229">
        <f t="shared" si="86"/>
        <v>25</v>
      </c>
      <c r="AC34" s="225">
        <f t="shared" si="86"/>
        <v>25</v>
      </c>
      <c r="AD34" s="225">
        <f t="shared" si="86"/>
        <v>25</v>
      </c>
      <c r="AE34" s="225">
        <f t="shared" si="86"/>
        <v>25</v>
      </c>
      <c r="AF34" s="494">
        <f t="shared" si="86"/>
        <v>25</v>
      </c>
      <c r="AG34" s="494">
        <f t="shared" si="86"/>
        <v>25</v>
      </c>
      <c r="AH34" s="494">
        <f t="shared" si="86"/>
        <v>25</v>
      </c>
      <c r="AI34" s="229">
        <f t="shared" si="86"/>
        <v>98</v>
      </c>
      <c r="AJ34" s="225">
        <f t="shared" si="86"/>
        <v>98</v>
      </c>
      <c r="AK34" s="225">
        <f t="shared" si="86"/>
        <v>98</v>
      </c>
      <c r="AL34" s="225">
        <f t="shared" si="86"/>
        <v>98</v>
      </c>
      <c r="AM34" s="225">
        <f t="shared" si="86"/>
        <v>98</v>
      </c>
      <c r="AN34" s="225">
        <f t="shared" si="86"/>
        <v>98</v>
      </c>
      <c r="AO34" s="225">
        <f t="shared" si="86"/>
        <v>98</v>
      </c>
      <c r="AP34" s="229"/>
      <c r="AQ34" s="230"/>
      <c r="AR34" s="104"/>
    </row>
    <row r="35" spans="1:44" x14ac:dyDescent="0.3">
      <c r="A35" s="981"/>
      <c r="B35" s="708" t="s">
        <v>269</v>
      </c>
      <c r="C35" s="229"/>
      <c r="D35" s="225"/>
      <c r="E35" s="225"/>
      <c r="F35" s="230"/>
      <c r="G35" s="233">
        <f>MAX(G30:G32)</f>
        <v>2066.8808658155067</v>
      </c>
      <c r="H35" s="233">
        <f t="shared" ref="H35:M35" si="87">MAX(H30:H32)</f>
        <v>1678.0248583749049</v>
      </c>
      <c r="I35" s="233">
        <f t="shared" si="87"/>
        <v>1289.1688509343028</v>
      </c>
      <c r="J35" s="233">
        <f t="shared" si="87"/>
        <v>794.84900000000005</v>
      </c>
      <c r="K35" s="233">
        <f t="shared" si="87"/>
        <v>661.221</v>
      </c>
      <c r="L35" s="233">
        <f t="shared" si="87"/>
        <v>527.59199999999998</v>
      </c>
      <c r="M35" s="233">
        <f t="shared" si="87"/>
        <v>299.32</v>
      </c>
      <c r="N35" s="599">
        <f t="shared" ref="N35:AO35" si="88">MAX(N30:N32)</f>
        <v>82.675234632620288</v>
      </c>
      <c r="O35" s="233">
        <f t="shared" si="88"/>
        <v>67.120994334996197</v>
      </c>
      <c r="P35" s="233">
        <f t="shared" si="88"/>
        <v>51.566754037372114</v>
      </c>
      <c r="Q35" s="233">
        <f t="shared" si="88"/>
        <v>34.178506999999996</v>
      </c>
      <c r="R35" s="233">
        <f t="shared" si="88"/>
        <v>28.432502999999997</v>
      </c>
      <c r="S35" s="233">
        <f t="shared" si="88"/>
        <v>22.686455999999996</v>
      </c>
      <c r="T35" s="233">
        <f t="shared" si="88"/>
        <v>22.69</v>
      </c>
      <c r="U35" s="234"/>
      <c r="V35" s="232"/>
      <c r="W35" s="232"/>
      <c r="X35" s="232"/>
      <c r="Y35" s="233"/>
      <c r="Z35" s="232"/>
      <c r="AA35" s="233"/>
      <c r="AB35" s="234">
        <f t="shared" si="88"/>
        <v>25</v>
      </c>
      <c r="AC35" s="232">
        <f t="shared" si="88"/>
        <v>25</v>
      </c>
      <c r="AD35" s="232">
        <f t="shared" si="88"/>
        <v>25</v>
      </c>
      <c r="AE35" s="232">
        <f t="shared" si="88"/>
        <v>25</v>
      </c>
      <c r="AF35" s="498">
        <f t="shared" si="88"/>
        <v>25</v>
      </c>
      <c r="AG35" s="498">
        <f t="shared" si="88"/>
        <v>25</v>
      </c>
      <c r="AH35" s="498">
        <f t="shared" si="88"/>
        <v>25</v>
      </c>
      <c r="AI35" s="234">
        <f t="shared" si="88"/>
        <v>98</v>
      </c>
      <c r="AJ35" s="232">
        <f t="shared" si="88"/>
        <v>98</v>
      </c>
      <c r="AK35" s="232">
        <f t="shared" si="88"/>
        <v>98</v>
      </c>
      <c r="AL35" s="232">
        <f t="shared" si="88"/>
        <v>98</v>
      </c>
      <c r="AM35" s="232">
        <f t="shared" si="88"/>
        <v>98</v>
      </c>
      <c r="AN35" s="232">
        <f t="shared" si="88"/>
        <v>98</v>
      </c>
      <c r="AO35" s="232">
        <f t="shared" si="88"/>
        <v>98</v>
      </c>
      <c r="AP35" s="234"/>
      <c r="AQ35" s="235"/>
      <c r="AR35" s="104"/>
    </row>
    <row r="36" spans="1:44" x14ac:dyDescent="0.3">
      <c r="A36" s="981"/>
      <c r="B36" s="992" t="s">
        <v>67</v>
      </c>
      <c r="C36" s="240">
        <v>2</v>
      </c>
      <c r="D36" s="236" t="s">
        <v>23</v>
      </c>
      <c r="E36" s="236">
        <v>2019</v>
      </c>
      <c r="F36" s="709" t="s">
        <v>19</v>
      </c>
      <c r="G36" s="239">
        <f>((230*10^6)/1.1297)/(4200*10^3)/1.256</f>
        <v>38.594531862289664</v>
      </c>
      <c r="H36" s="239"/>
      <c r="I36" s="239"/>
      <c r="J36" s="239"/>
      <c r="K36" s="239"/>
      <c r="L36" s="239"/>
      <c r="M36" s="239"/>
      <c r="N36" s="92">
        <f>G36*0.02</f>
        <v>0.77189063724579332</v>
      </c>
      <c r="O36" s="239"/>
      <c r="P36" s="239"/>
      <c r="Q36" s="239"/>
      <c r="R36" s="239"/>
      <c r="S36" s="239"/>
      <c r="T36" s="239"/>
      <c r="U36" s="240"/>
      <c r="V36" s="236"/>
      <c r="W36" s="236"/>
      <c r="X36" s="236"/>
      <c r="Y36" s="239"/>
      <c r="Z36" s="236"/>
      <c r="AA36" s="239"/>
      <c r="AB36" s="240"/>
      <c r="AC36" s="236"/>
      <c r="AD36" s="236"/>
      <c r="AE36" s="236"/>
      <c r="AF36" s="242"/>
      <c r="AG36" s="242"/>
      <c r="AH36" s="242"/>
      <c r="AI36" s="240"/>
      <c r="AJ36" s="236"/>
      <c r="AK36" s="236"/>
      <c r="AL36" s="236"/>
      <c r="AM36" s="239"/>
      <c r="AN36" s="236"/>
      <c r="AO36" s="239"/>
      <c r="AP36" s="240"/>
      <c r="AQ36" s="30"/>
      <c r="AR36" s="104"/>
    </row>
    <row r="37" spans="1:44" x14ac:dyDescent="0.3">
      <c r="A37" s="981"/>
      <c r="B37" s="993"/>
      <c r="C37" s="247">
        <v>4</v>
      </c>
      <c r="D37" s="243" t="s">
        <v>31</v>
      </c>
      <c r="E37" s="243">
        <v>2022</v>
      </c>
      <c r="F37" s="710" t="s">
        <v>19</v>
      </c>
      <c r="G37" s="245">
        <v>51.259540000000001</v>
      </c>
      <c r="H37" s="245">
        <v>51.259540000000001</v>
      </c>
      <c r="I37" s="245">
        <v>51.259540000000001</v>
      </c>
      <c r="J37" s="245">
        <v>51.259540000000001</v>
      </c>
      <c r="K37" s="245">
        <v>51.259540000000001</v>
      </c>
      <c r="L37" s="245">
        <v>51.259540000000001</v>
      </c>
      <c r="M37" s="107">
        <f>K37+((L37-K37)/(2050-2045))*(2060-2045)</f>
        <v>51.259540000000001</v>
      </c>
      <c r="N37" s="244">
        <f t="shared" ref="N37:S37" si="89">G37*0.03</f>
        <v>1.5377862</v>
      </c>
      <c r="O37" s="245">
        <f t="shared" si="89"/>
        <v>1.5377862</v>
      </c>
      <c r="P37" s="245">
        <f t="shared" si="89"/>
        <v>1.5377862</v>
      </c>
      <c r="Q37" s="245">
        <f t="shared" si="89"/>
        <v>1.5377862</v>
      </c>
      <c r="R37" s="245">
        <f t="shared" si="89"/>
        <v>1.5377862</v>
      </c>
      <c r="S37" s="245">
        <f t="shared" si="89"/>
        <v>1.5377862</v>
      </c>
      <c r="T37" s="107">
        <f>R37+((S37-R37)/(2050-2045))*(2060-2045)</f>
        <v>1.5377862</v>
      </c>
      <c r="U37" s="247"/>
      <c r="V37" s="243"/>
      <c r="W37" s="243"/>
      <c r="X37" s="243"/>
      <c r="Y37" s="245"/>
      <c r="Z37" s="243"/>
      <c r="AA37" s="245"/>
      <c r="AB37" s="247">
        <v>20</v>
      </c>
      <c r="AC37" s="243">
        <v>20</v>
      </c>
      <c r="AD37" s="243">
        <v>20</v>
      </c>
      <c r="AE37" s="243">
        <v>20</v>
      </c>
      <c r="AF37" s="669">
        <v>20</v>
      </c>
      <c r="AG37" s="669">
        <v>20</v>
      </c>
      <c r="AH37" s="378">
        <f>AF37+((AG37-AF37)/(2050-2045))*(2060-2045)</f>
        <v>20</v>
      </c>
      <c r="AI37" s="247"/>
      <c r="AJ37" s="243"/>
      <c r="AK37" s="243"/>
      <c r="AL37" s="243"/>
      <c r="AM37" s="245"/>
      <c r="AN37" s="243"/>
      <c r="AO37" s="245"/>
      <c r="AP37" s="247"/>
      <c r="AQ37" s="33"/>
      <c r="AR37" s="104"/>
    </row>
    <row r="38" spans="1:44" x14ac:dyDescent="0.3">
      <c r="A38" s="981"/>
      <c r="B38" s="993"/>
      <c r="C38" s="247">
        <v>11</v>
      </c>
      <c r="D38" s="243" t="s">
        <v>57</v>
      </c>
      <c r="E38" s="243">
        <v>2022</v>
      </c>
      <c r="F38" s="710" t="s">
        <v>19</v>
      </c>
      <c r="G38" s="107">
        <f t="shared" ref="G38:G39" si="90">H38+((I38-H38)/(2030-2025))*(2020-2025)</f>
        <v>303.79639807220769</v>
      </c>
      <c r="H38" s="107">
        <f t="shared" ref="H38:H39" si="91">I38+((J38-I38)/(2040-2030))*(2025-2030)</f>
        <v>247.35774076266171</v>
      </c>
      <c r="I38" s="245">
        <f>(225.8)/1.1827</f>
        <v>190.91908345311575</v>
      </c>
      <c r="J38" s="245">
        <f>(92.3)/1.1827</f>
        <v>78.041768834023841</v>
      </c>
      <c r="K38" s="107">
        <f t="shared" ref="K38:K39" si="92">J38+((L38-J38)/(2050-2040))*(2045-2040)</f>
        <v>63.62560243510611</v>
      </c>
      <c r="L38" s="245">
        <f>(58.2)/1.1827</f>
        <v>49.209436036188379</v>
      </c>
      <c r="M38" s="107">
        <v>49.21</v>
      </c>
      <c r="N38" s="106">
        <f t="shared" ref="N38:N39" si="93">O38+((P38-O38)/(2030-2025))*(2020-2025)</f>
        <v>9.1138919421662301</v>
      </c>
      <c r="O38" s="297">
        <f t="shared" ref="O38:O39" si="94">P38+((Q38-P38)/(2040-2030))*(2025-2030)</f>
        <v>7.4207322228798507</v>
      </c>
      <c r="P38" s="245">
        <f>I38*0.03</f>
        <v>5.7275725035934721</v>
      </c>
      <c r="Q38" s="245">
        <f>J38*0.03</f>
        <v>2.3412530650207151</v>
      </c>
      <c r="R38" s="107">
        <f t="shared" ref="R38:R39" si="95">Q38+((S38-Q38)/(2050-2040))*(2045-2040)</f>
        <v>1.9087680730531833</v>
      </c>
      <c r="S38" s="245">
        <f>L38*0.03</f>
        <v>1.4762830810856513</v>
      </c>
      <c r="T38" s="107">
        <v>1.48</v>
      </c>
      <c r="U38" s="247"/>
      <c r="V38" s="243"/>
      <c r="W38" s="243"/>
      <c r="X38" s="243"/>
      <c r="Y38" s="245"/>
      <c r="Z38" s="243"/>
      <c r="AA38" s="245"/>
      <c r="AB38" s="247"/>
      <c r="AC38" s="243"/>
      <c r="AD38" s="243"/>
      <c r="AE38" s="243"/>
      <c r="AF38" s="669"/>
      <c r="AG38" s="669"/>
      <c r="AH38" s="669"/>
      <c r="AI38" s="106">
        <f t="shared" ref="AI38:AI39" si="96">AJ38+((AK38-AJ38)/(2030-2025))*(2020-2025)</f>
        <v>93</v>
      </c>
      <c r="AJ38" s="297">
        <f t="shared" ref="AJ38:AJ39" si="97">AK38+((AL38-AK38)/(2040-2030))*(2025-2030)</f>
        <v>94</v>
      </c>
      <c r="AK38" s="243">
        <v>95</v>
      </c>
      <c r="AL38" s="243">
        <v>97</v>
      </c>
      <c r="AM38" s="378">
        <f t="shared" ref="AM38:AM39" si="98">AL38+((AN38-AL38)/(2050-2040))*(2045-2040)</f>
        <v>98</v>
      </c>
      <c r="AN38" s="243">
        <v>99</v>
      </c>
      <c r="AO38" s="378">
        <v>99</v>
      </c>
      <c r="AP38" s="247"/>
      <c r="AQ38" s="33"/>
      <c r="AR38" t="s">
        <v>395</v>
      </c>
    </row>
    <row r="39" spans="1:44" x14ac:dyDescent="0.3">
      <c r="A39" s="981"/>
      <c r="B39" s="994"/>
      <c r="C39" s="250">
        <v>11</v>
      </c>
      <c r="D39" s="248" t="s">
        <v>57</v>
      </c>
      <c r="E39" s="248">
        <v>2022</v>
      </c>
      <c r="F39" s="711" t="s">
        <v>19</v>
      </c>
      <c r="G39" s="122">
        <f t="shared" si="90"/>
        <v>607.76190073560474</v>
      </c>
      <c r="H39" s="122">
        <f t="shared" si="91"/>
        <v>494.84230996871554</v>
      </c>
      <c r="I39" s="249">
        <f>(451.7)/1.1827</f>
        <v>381.92271920182628</v>
      </c>
      <c r="J39" s="249">
        <f>(184.6)/1.1827</f>
        <v>156.08353766804768</v>
      </c>
      <c r="K39" s="122">
        <f t="shared" si="92"/>
        <v>127.25120487021222</v>
      </c>
      <c r="L39" s="249">
        <f>(116.4)/1.1827</f>
        <v>98.418872072376757</v>
      </c>
      <c r="M39" s="107">
        <v>98.42</v>
      </c>
      <c r="N39" s="607">
        <f t="shared" si="93"/>
        <v>24.310476029424201</v>
      </c>
      <c r="O39" s="306">
        <f t="shared" si="94"/>
        <v>19.793692398748625</v>
      </c>
      <c r="P39" s="249">
        <f>I39*0.04</f>
        <v>15.276908768073051</v>
      </c>
      <c r="Q39" s="249">
        <f>J39*0.04</f>
        <v>6.2433415067219071</v>
      </c>
      <c r="R39" s="122">
        <f t="shared" si="95"/>
        <v>5.0900481948084888</v>
      </c>
      <c r="S39" s="249">
        <f>L39*0.04</f>
        <v>3.9367548828950705</v>
      </c>
      <c r="T39" s="122">
        <v>3.94</v>
      </c>
      <c r="U39" s="250"/>
      <c r="V39" s="248"/>
      <c r="W39" s="248"/>
      <c r="X39" s="248"/>
      <c r="Y39" s="249"/>
      <c r="Z39" s="248"/>
      <c r="AA39" s="249"/>
      <c r="AB39" s="250"/>
      <c r="AC39" s="248"/>
      <c r="AD39" s="248"/>
      <c r="AE39" s="248"/>
      <c r="AF39" s="673"/>
      <c r="AG39" s="673"/>
      <c r="AH39" s="673"/>
      <c r="AI39" s="607">
        <f t="shared" si="96"/>
        <v>87</v>
      </c>
      <c r="AJ39" s="306">
        <f t="shared" si="97"/>
        <v>88.5</v>
      </c>
      <c r="AK39" s="248">
        <v>90</v>
      </c>
      <c r="AL39" s="248">
        <v>93</v>
      </c>
      <c r="AM39" s="712">
        <f t="shared" si="98"/>
        <v>94.5</v>
      </c>
      <c r="AN39" s="248">
        <v>96</v>
      </c>
      <c r="AO39" s="386">
        <f>AM39+((AN39-AM39)/(2050-2045))*(2060-2045)</f>
        <v>99</v>
      </c>
      <c r="AP39" s="250"/>
      <c r="AQ39" s="36"/>
      <c r="AR39" t="s">
        <v>396</v>
      </c>
    </row>
    <row r="40" spans="1:44" x14ac:dyDescent="0.3">
      <c r="A40" s="981"/>
      <c r="B40" s="713" t="s">
        <v>267</v>
      </c>
      <c r="C40" s="265"/>
      <c r="D40" s="261"/>
      <c r="E40" s="261"/>
      <c r="F40" s="268"/>
      <c r="G40" s="254">
        <f>MIN(G36:G39)</f>
        <v>38.594531862289664</v>
      </c>
      <c r="H40" s="254">
        <f t="shared" ref="H40:M40" si="99">MIN(H36:H39)</f>
        <v>51.259540000000001</v>
      </c>
      <c r="I40" s="254">
        <f t="shared" si="99"/>
        <v>51.259540000000001</v>
      </c>
      <c r="J40" s="254">
        <f t="shared" si="99"/>
        <v>51.259540000000001</v>
      </c>
      <c r="K40" s="254">
        <f t="shared" si="99"/>
        <v>51.259540000000001</v>
      </c>
      <c r="L40" s="254">
        <f t="shared" si="99"/>
        <v>49.209436036188379</v>
      </c>
      <c r="M40" s="254">
        <f t="shared" si="99"/>
        <v>49.21</v>
      </c>
      <c r="N40" s="253">
        <f t="shared" ref="N40:AO40" si="100">MIN(N36:N39)</f>
        <v>0.77189063724579332</v>
      </c>
      <c r="O40" s="254">
        <f t="shared" si="100"/>
        <v>1.5377862</v>
      </c>
      <c r="P40" s="254">
        <f t="shared" si="100"/>
        <v>1.5377862</v>
      </c>
      <c r="Q40" s="254">
        <f t="shared" si="100"/>
        <v>1.5377862</v>
      </c>
      <c r="R40" s="254">
        <f t="shared" si="100"/>
        <v>1.5377862</v>
      </c>
      <c r="S40" s="254">
        <f t="shared" si="100"/>
        <v>1.4762830810856513</v>
      </c>
      <c r="T40" s="254">
        <f t="shared" si="100"/>
        <v>1.48</v>
      </c>
      <c r="U40" s="256"/>
      <c r="V40" s="252"/>
      <c r="W40" s="252"/>
      <c r="X40" s="252"/>
      <c r="Y40" s="254"/>
      <c r="Z40" s="252"/>
      <c r="AA40" s="254"/>
      <c r="AB40" s="256">
        <f t="shared" si="100"/>
        <v>20</v>
      </c>
      <c r="AC40" s="252">
        <f t="shared" si="100"/>
        <v>20</v>
      </c>
      <c r="AD40" s="252">
        <f t="shared" si="100"/>
        <v>20</v>
      </c>
      <c r="AE40" s="252">
        <f t="shared" si="100"/>
        <v>20</v>
      </c>
      <c r="AF40" s="257">
        <f t="shared" si="100"/>
        <v>20</v>
      </c>
      <c r="AG40" s="257">
        <f t="shared" si="100"/>
        <v>20</v>
      </c>
      <c r="AH40" s="257">
        <f t="shared" si="100"/>
        <v>20</v>
      </c>
      <c r="AI40" s="256">
        <f t="shared" si="100"/>
        <v>87</v>
      </c>
      <c r="AJ40" s="252">
        <f t="shared" si="100"/>
        <v>88.5</v>
      </c>
      <c r="AK40" s="252">
        <f t="shared" si="100"/>
        <v>90</v>
      </c>
      <c r="AL40" s="252">
        <f t="shared" si="100"/>
        <v>93</v>
      </c>
      <c r="AM40" s="252">
        <f t="shared" si="100"/>
        <v>94.5</v>
      </c>
      <c r="AN40" s="252">
        <f t="shared" si="100"/>
        <v>96</v>
      </c>
      <c r="AO40" s="252">
        <f t="shared" si="100"/>
        <v>99</v>
      </c>
      <c r="AP40" s="256"/>
      <c r="AQ40" s="259"/>
      <c r="AR40" s="104"/>
    </row>
    <row r="41" spans="1:44" x14ac:dyDescent="0.3">
      <c r="A41" s="981"/>
      <c r="B41" s="714" t="s">
        <v>268</v>
      </c>
      <c r="C41" s="265"/>
      <c r="D41" s="261"/>
      <c r="E41" s="261"/>
      <c r="F41" s="268"/>
      <c r="G41" s="263">
        <f>MEDIAN(G36:G39)</f>
        <v>177.52796903610385</v>
      </c>
      <c r="H41" s="263">
        <f t="shared" ref="H41:M41" si="101">MEDIAN(H36:H39)</f>
        <v>247.35774076266171</v>
      </c>
      <c r="I41" s="263">
        <f t="shared" si="101"/>
        <v>190.91908345311575</v>
      </c>
      <c r="J41" s="263">
        <f t="shared" si="101"/>
        <v>78.041768834023841</v>
      </c>
      <c r="K41" s="263">
        <f t="shared" si="101"/>
        <v>63.62560243510611</v>
      </c>
      <c r="L41" s="263">
        <f t="shared" si="101"/>
        <v>51.259540000000001</v>
      </c>
      <c r="M41" s="263">
        <f t="shared" si="101"/>
        <v>51.259540000000001</v>
      </c>
      <c r="N41" s="262">
        <f t="shared" ref="N41:AO41" si="102">MEDIAN(N36:N39)</f>
        <v>5.3258390710831147</v>
      </c>
      <c r="O41" s="263">
        <f t="shared" si="102"/>
        <v>7.4207322228798507</v>
      </c>
      <c r="P41" s="263">
        <f t="shared" si="102"/>
        <v>5.7275725035934721</v>
      </c>
      <c r="Q41" s="263">
        <f t="shared" si="102"/>
        <v>2.3412530650207151</v>
      </c>
      <c r="R41" s="263">
        <f t="shared" si="102"/>
        <v>1.9087680730531833</v>
      </c>
      <c r="S41" s="263">
        <f t="shared" si="102"/>
        <v>1.5377862</v>
      </c>
      <c r="T41" s="263">
        <f t="shared" si="102"/>
        <v>1.5377862</v>
      </c>
      <c r="U41" s="265"/>
      <c r="V41" s="261"/>
      <c r="W41" s="261"/>
      <c r="X41" s="261"/>
      <c r="Y41" s="263"/>
      <c r="Z41" s="261"/>
      <c r="AA41" s="263"/>
      <c r="AB41" s="265">
        <f t="shared" si="102"/>
        <v>20</v>
      </c>
      <c r="AC41" s="261">
        <f t="shared" si="102"/>
        <v>20</v>
      </c>
      <c r="AD41" s="261">
        <f t="shared" si="102"/>
        <v>20</v>
      </c>
      <c r="AE41" s="261">
        <f t="shared" si="102"/>
        <v>20</v>
      </c>
      <c r="AF41" s="266">
        <f t="shared" si="102"/>
        <v>20</v>
      </c>
      <c r="AG41" s="266">
        <f t="shared" si="102"/>
        <v>20</v>
      </c>
      <c r="AH41" s="266">
        <f t="shared" si="102"/>
        <v>20</v>
      </c>
      <c r="AI41" s="265">
        <f t="shared" si="102"/>
        <v>90</v>
      </c>
      <c r="AJ41" s="261">
        <f t="shared" si="102"/>
        <v>91.25</v>
      </c>
      <c r="AK41" s="261">
        <f t="shared" si="102"/>
        <v>92.5</v>
      </c>
      <c r="AL41" s="261">
        <f t="shared" si="102"/>
        <v>95</v>
      </c>
      <c r="AM41" s="261">
        <f t="shared" si="102"/>
        <v>96.25</v>
      </c>
      <c r="AN41" s="261">
        <f t="shared" si="102"/>
        <v>97.5</v>
      </c>
      <c r="AO41" s="261">
        <f t="shared" si="102"/>
        <v>99</v>
      </c>
      <c r="AP41" s="265"/>
      <c r="AQ41" s="268"/>
      <c r="AR41" s="104"/>
    </row>
    <row r="42" spans="1:44" x14ac:dyDescent="0.3">
      <c r="A42" s="981"/>
      <c r="B42" s="715" t="s">
        <v>269</v>
      </c>
      <c r="C42" s="265"/>
      <c r="D42" s="261"/>
      <c r="E42" s="261"/>
      <c r="F42" s="268"/>
      <c r="G42" s="271">
        <f>MAX(G36:G39)</f>
        <v>607.76190073560474</v>
      </c>
      <c r="H42" s="271">
        <f t="shared" ref="H42:M42" si="103">MAX(H36:H39)</f>
        <v>494.84230996871554</v>
      </c>
      <c r="I42" s="271">
        <f t="shared" si="103"/>
        <v>381.92271920182628</v>
      </c>
      <c r="J42" s="271">
        <f t="shared" si="103"/>
        <v>156.08353766804768</v>
      </c>
      <c r="K42" s="271">
        <f t="shared" si="103"/>
        <v>127.25120487021222</v>
      </c>
      <c r="L42" s="271">
        <f t="shared" si="103"/>
        <v>98.418872072376757</v>
      </c>
      <c r="M42" s="271">
        <f t="shared" si="103"/>
        <v>98.42</v>
      </c>
      <c r="N42" s="270">
        <f t="shared" ref="N42:AO42" si="104">MAX(N36:N39)</f>
        <v>24.310476029424201</v>
      </c>
      <c r="O42" s="271">
        <f t="shared" si="104"/>
        <v>19.793692398748625</v>
      </c>
      <c r="P42" s="271">
        <f t="shared" si="104"/>
        <v>15.276908768073051</v>
      </c>
      <c r="Q42" s="271">
        <f t="shared" si="104"/>
        <v>6.2433415067219071</v>
      </c>
      <c r="R42" s="271">
        <f t="shared" si="104"/>
        <v>5.0900481948084888</v>
      </c>
      <c r="S42" s="271">
        <f t="shared" si="104"/>
        <v>3.9367548828950705</v>
      </c>
      <c r="T42" s="271">
        <f t="shared" si="104"/>
        <v>3.94</v>
      </c>
      <c r="U42" s="273"/>
      <c r="V42" s="274"/>
      <c r="W42" s="274"/>
      <c r="X42" s="274"/>
      <c r="Y42" s="271"/>
      <c r="Z42" s="274"/>
      <c r="AA42" s="271"/>
      <c r="AB42" s="273">
        <f t="shared" si="104"/>
        <v>20</v>
      </c>
      <c r="AC42" s="274">
        <f t="shared" si="104"/>
        <v>20</v>
      </c>
      <c r="AD42" s="274">
        <f t="shared" si="104"/>
        <v>20</v>
      </c>
      <c r="AE42" s="274">
        <f t="shared" si="104"/>
        <v>20</v>
      </c>
      <c r="AF42" s="275">
        <f t="shared" si="104"/>
        <v>20</v>
      </c>
      <c r="AG42" s="275">
        <f t="shared" si="104"/>
        <v>20</v>
      </c>
      <c r="AH42" s="275">
        <f t="shared" si="104"/>
        <v>20</v>
      </c>
      <c r="AI42" s="273">
        <f t="shared" si="104"/>
        <v>93</v>
      </c>
      <c r="AJ42" s="274">
        <f t="shared" si="104"/>
        <v>94</v>
      </c>
      <c r="AK42" s="274">
        <f t="shared" si="104"/>
        <v>95</v>
      </c>
      <c r="AL42" s="274">
        <f t="shared" si="104"/>
        <v>97</v>
      </c>
      <c r="AM42" s="274">
        <f t="shared" si="104"/>
        <v>98</v>
      </c>
      <c r="AN42" s="274">
        <f t="shared" si="104"/>
        <v>99</v>
      </c>
      <c r="AO42" s="274">
        <f t="shared" si="104"/>
        <v>99</v>
      </c>
      <c r="AP42" s="273"/>
      <c r="AQ42" s="277"/>
      <c r="AR42" s="104"/>
    </row>
    <row r="43" spans="1:44" x14ac:dyDescent="0.3">
      <c r="A43" s="981"/>
      <c r="B43" s="992" t="s">
        <v>397</v>
      </c>
      <c r="C43" s="240">
        <v>4</v>
      </c>
      <c r="D43" s="236" t="s">
        <v>31</v>
      </c>
      <c r="E43" s="236">
        <v>2022</v>
      </c>
      <c r="F43" s="709" t="s">
        <v>19</v>
      </c>
      <c r="G43" s="239">
        <v>50.728029999999997</v>
      </c>
      <c r="H43" s="239">
        <v>50.728029999999997</v>
      </c>
      <c r="I43" s="239">
        <v>50.728029999999997</v>
      </c>
      <c r="J43" s="239">
        <v>50.728029999999997</v>
      </c>
      <c r="K43" s="239">
        <v>50.728029999999997</v>
      </c>
      <c r="L43" s="239">
        <v>50.728029999999997</v>
      </c>
      <c r="M43" s="107">
        <f>K43+((L43-K43)/(2050-2045))*(2060-2045)</f>
        <v>50.728029999999997</v>
      </c>
      <c r="N43" s="238">
        <f t="shared" ref="N43:S43" si="105">G43*0.03</f>
        <v>1.5218408999999999</v>
      </c>
      <c r="O43" s="239">
        <f t="shared" si="105"/>
        <v>1.5218408999999999</v>
      </c>
      <c r="P43" s="239">
        <f t="shared" si="105"/>
        <v>1.5218408999999999</v>
      </c>
      <c r="Q43" s="239">
        <f t="shared" si="105"/>
        <v>1.5218408999999999</v>
      </c>
      <c r="R43" s="239">
        <f t="shared" si="105"/>
        <v>1.5218408999999999</v>
      </c>
      <c r="S43" s="239">
        <f t="shared" si="105"/>
        <v>1.5218408999999999</v>
      </c>
      <c r="T43" s="93">
        <f>R43+((S43-R43)/(2050-2045))*(2060-2045)</f>
        <v>1.5218408999999999</v>
      </c>
      <c r="U43" s="240"/>
      <c r="V43" s="236"/>
      <c r="W43" s="236"/>
      <c r="X43" s="236"/>
      <c r="Y43" s="239"/>
      <c r="Z43" s="236"/>
      <c r="AA43" s="239"/>
      <c r="AB43" s="240">
        <v>20</v>
      </c>
      <c r="AC43" s="236">
        <v>20</v>
      </c>
      <c r="AD43" s="236">
        <v>20</v>
      </c>
      <c r="AE43" s="236">
        <v>20</v>
      </c>
      <c r="AF43" s="242">
        <v>20</v>
      </c>
      <c r="AG43" s="242">
        <v>20</v>
      </c>
      <c r="AH43" s="101">
        <f>AF43+((AG43-AF43)/(2050-2045))*(2060-2045)</f>
        <v>20</v>
      </c>
      <c r="AI43" s="240"/>
      <c r="AJ43" s="236"/>
      <c r="AK43" s="236"/>
      <c r="AL43" s="236"/>
      <c r="AM43" s="239"/>
      <c r="AN43" s="236"/>
      <c r="AO43" s="239"/>
      <c r="AP43" s="240"/>
      <c r="AQ43" s="30"/>
      <c r="AR43" s="104"/>
    </row>
    <row r="44" spans="1:44" ht="15" customHeight="1" x14ac:dyDescent="0.3">
      <c r="A44" s="981"/>
      <c r="B44" s="993"/>
      <c r="C44" s="247">
        <v>11</v>
      </c>
      <c r="D44" s="243" t="s">
        <v>57</v>
      </c>
      <c r="E44" s="243">
        <v>2022</v>
      </c>
      <c r="F44" s="710" t="s">
        <v>19</v>
      </c>
      <c r="G44" s="107">
        <f t="shared" ref="G44:G45" si="106">H44+((I44-H44)/(2030-2025))*(2020-2025)</f>
        <v>553.64843155491667</v>
      </c>
      <c r="H44" s="107">
        <f t="shared" ref="H44:H45" si="107">I44+((J44-I44)/(2040-2030))*(2025-2030)</f>
        <v>452.86209520588477</v>
      </c>
      <c r="I44" s="245">
        <f>(416.4)/1.1827</f>
        <v>352.07575885685293</v>
      </c>
      <c r="J44" s="245">
        <f>(178)/1.1827</f>
        <v>150.50308615878919</v>
      </c>
      <c r="K44" s="107">
        <f t="shared" ref="K44:K45" si="108">J44+((L44-J44)/(2050-2040))*(2045-2040)</f>
        <v>116.25940644288491</v>
      </c>
      <c r="L44" s="245">
        <f>(97)/1.1827</f>
        <v>82.015726726980631</v>
      </c>
      <c r="M44" s="107">
        <v>82.02</v>
      </c>
      <c r="N44" s="106">
        <f t="shared" ref="N44:N45" si="109">O44+((P44-O44)/(2030-2025))*(2020-2025)</f>
        <v>16.609452946647501</v>
      </c>
      <c r="O44" s="107">
        <f t="shared" ref="O44:O45" si="110">P44+((Q44-P44)/(2040-2030))*(2025-2030)</f>
        <v>13.585862856176544</v>
      </c>
      <c r="P44" s="245">
        <f>I44*0.03</f>
        <v>10.562272765705588</v>
      </c>
      <c r="Q44" s="245">
        <f>J44*0.03</f>
        <v>4.5150925847636758</v>
      </c>
      <c r="R44" s="107">
        <f t="shared" ref="R44:R45" si="111">Q44+((S44-Q44)/(2050-2040))*(2045-2040)</f>
        <v>3.4877821932865474</v>
      </c>
      <c r="S44" s="245">
        <f>L44*0.03</f>
        <v>2.4604718018094189</v>
      </c>
      <c r="T44" s="107">
        <v>2.46</v>
      </c>
      <c r="U44" s="247"/>
      <c r="V44" s="243"/>
      <c r="W44" s="243"/>
      <c r="X44" s="243"/>
      <c r="Y44" s="245"/>
      <c r="Z44" s="243"/>
      <c r="AA44" s="245"/>
      <c r="AB44" s="247"/>
      <c r="AC44" s="243"/>
      <c r="AD44" s="243"/>
      <c r="AE44" s="243"/>
      <c r="AF44" s="669"/>
      <c r="AG44" s="669"/>
      <c r="AH44" s="669"/>
      <c r="AI44" s="106">
        <f t="shared" ref="AI44:AI45" si="112">AJ44+((AK44-AJ44)/(2030-2025))*(2020-2025)</f>
        <v>98</v>
      </c>
      <c r="AJ44" s="297">
        <f t="shared" ref="AJ44:AJ45" si="113">AK44+((AL44-AK44)/(2040-2030))*(2025-2030)</f>
        <v>98</v>
      </c>
      <c r="AK44" s="243">
        <v>98</v>
      </c>
      <c r="AL44" s="243">
        <v>98</v>
      </c>
      <c r="AM44" s="378">
        <f t="shared" ref="AM44:AM45" si="114">AL44+((AN44-AL44)/(2050-2040))*(2045-2040)</f>
        <v>98</v>
      </c>
      <c r="AN44" s="243">
        <v>98</v>
      </c>
      <c r="AO44" s="378">
        <f t="shared" ref="AO44:AO45" si="115">AM44+((AN44-AM44)/(2050-2045))*(2060-2045)</f>
        <v>98</v>
      </c>
      <c r="AP44" s="247"/>
      <c r="AQ44" s="33"/>
      <c r="AR44" t="s">
        <v>395</v>
      </c>
    </row>
    <row r="45" spans="1:44" x14ac:dyDescent="0.3">
      <c r="A45" s="981"/>
      <c r="B45" s="994"/>
      <c r="C45" s="250">
        <v>11</v>
      </c>
      <c r="D45" s="248" t="s">
        <v>57</v>
      </c>
      <c r="E45" s="248">
        <v>2022</v>
      </c>
      <c r="F45" s="711" t="s">
        <v>19</v>
      </c>
      <c r="G45" s="122">
        <f t="shared" si="106"/>
        <v>1446.3515684450833</v>
      </c>
      <c r="H45" s="122">
        <f t="shared" si="107"/>
        <v>1183.055719962797</v>
      </c>
      <c r="I45" s="249">
        <f>(1087.8)/1.1827</f>
        <v>919.75987148051058</v>
      </c>
      <c r="J45" s="249">
        <f>(465)/1.1827</f>
        <v>393.16817451593806</v>
      </c>
      <c r="K45" s="122">
        <f t="shared" si="108"/>
        <v>299.10374566669481</v>
      </c>
      <c r="L45" s="249">
        <f>(242.5)/1.1827</f>
        <v>205.03931681745158</v>
      </c>
      <c r="M45" s="107">
        <v>205.04</v>
      </c>
      <c r="N45" s="607">
        <f t="shared" si="109"/>
        <v>86.781094106704984</v>
      </c>
      <c r="O45" s="122">
        <f t="shared" si="110"/>
        <v>70.983343197767809</v>
      </c>
      <c r="P45" s="249">
        <f>I45*0.06</f>
        <v>55.185592288830634</v>
      </c>
      <c r="Q45" s="249">
        <f>J45*0.06</f>
        <v>23.590090470956284</v>
      </c>
      <c r="R45" s="122">
        <f t="shared" si="111"/>
        <v>17.946224740001689</v>
      </c>
      <c r="S45" s="249">
        <f>L45*0.06</f>
        <v>12.302359009047095</v>
      </c>
      <c r="T45" s="122">
        <v>12.3</v>
      </c>
      <c r="U45" s="250"/>
      <c r="V45" s="248"/>
      <c r="W45" s="248"/>
      <c r="X45" s="248"/>
      <c r="Y45" s="249"/>
      <c r="Z45" s="248"/>
      <c r="AA45" s="249"/>
      <c r="AB45" s="250"/>
      <c r="AC45" s="248"/>
      <c r="AD45" s="248"/>
      <c r="AE45" s="248"/>
      <c r="AF45" s="673"/>
      <c r="AG45" s="673"/>
      <c r="AH45" s="673"/>
      <c r="AI45" s="607">
        <f t="shared" si="112"/>
        <v>98</v>
      </c>
      <c r="AJ45" s="306">
        <f t="shared" si="113"/>
        <v>98</v>
      </c>
      <c r="AK45" s="248">
        <v>98</v>
      </c>
      <c r="AL45" s="248">
        <v>98</v>
      </c>
      <c r="AM45" s="386">
        <f t="shared" si="114"/>
        <v>98</v>
      </c>
      <c r="AN45" s="248">
        <v>98</v>
      </c>
      <c r="AO45" s="386">
        <f t="shared" si="115"/>
        <v>98</v>
      </c>
      <c r="AP45" s="250"/>
      <c r="AQ45" s="36"/>
      <c r="AR45" t="s">
        <v>396</v>
      </c>
    </row>
    <row r="46" spans="1:44" x14ac:dyDescent="0.3">
      <c r="A46" s="981"/>
      <c r="B46" s="713" t="s">
        <v>267</v>
      </c>
      <c r="C46" s="256"/>
      <c r="D46" s="252"/>
      <c r="E46" s="252"/>
      <c r="F46" s="259"/>
      <c r="G46" s="254">
        <f>MIN(G43:G45)</f>
        <v>50.728029999999997</v>
      </c>
      <c r="H46" s="254">
        <f t="shared" ref="H46:M46" si="116">MIN(H43:H45)</f>
        <v>50.728029999999997</v>
      </c>
      <c r="I46" s="254">
        <f t="shared" si="116"/>
        <v>50.728029999999997</v>
      </c>
      <c r="J46" s="254">
        <f t="shared" si="116"/>
        <v>50.728029999999997</v>
      </c>
      <c r="K46" s="254">
        <f t="shared" si="116"/>
        <v>50.728029999999997</v>
      </c>
      <c r="L46" s="254">
        <f t="shared" si="116"/>
        <v>50.728029999999997</v>
      </c>
      <c r="M46" s="254">
        <f t="shared" si="116"/>
        <v>50.728029999999997</v>
      </c>
      <c r="N46" s="253">
        <f t="shared" ref="N46:AO46" si="117">MIN(N43:N45)</f>
        <v>1.5218408999999999</v>
      </c>
      <c r="O46" s="254">
        <f t="shared" si="117"/>
        <v>1.5218408999999999</v>
      </c>
      <c r="P46" s="254">
        <f t="shared" si="117"/>
        <v>1.5218408999999999</v>
      </c>
      <c r="Q46" s="254">
        <f t="shared" si="117"/>
        <v>1.5218408999999999</v>
      </c>
      <c r="R46" s="254">
        <f t="shared" si="117"/>
        <v>1.5218408999999999</v>
      </c>
      <c r="S46" s="254">
        <f t="shared" si="117"/>
        <v>1.5218408999999999</v>
      </c>
      <c r="T46" s="254">
        <f t="shared" si="117"/>
        <v>1.5218408999999999</v>
      </c>
      <c r="U46" s="256"/>
      <c r="V46" s="252"/>
      <c r="W46" s="252"/>
      <c r="X46" s="252"/>
      <c r="Y46" s="254"/>
      <c r="Z46" s="252"/>
      <c r="AA46" s="254"/>
      <c r="AB46" s="256">
        <f t="shared" si="117"/>
        <v>20</v>
      </c>
      <c r="AC46" s="252">
        <f t="shared" si="117"/>
        <v>20</v>
      </c>
      <c r="AD46" s="252">
        <f t="shared" si="117"/>
        <v>20</v>
      </c>
      <c r="AE46" s="252">
        <f t="shared" si="117"/>
        <v>20</v>
      </c>
      <c r="AF46" s="257">
        <f t="shared" si="117"/>
        <v>20</v>
      </c>
      <c r="AG46" s="257">
        <f t="shared" si="117"/>
        <v>20</v>
      </c>
      <c r="AH46" s="257">
        <f t="shared" si="117"/>
        <v>20</v>
      </c>
      <c r="AI46" s="256">
        <f t="shared" si="117"/>
        <v>98</v>
      </c>
      <c r="AJ46" s="252">
        <f t="shared" si="117"/>
        <v>98</v>
      </c>
      <c r="AK46" s="252">
        <f t="shared" si="117"/>
        <v>98</v>
      </c>
      <c r="AL46" s="252">
        <f t="shared" si="117"/>
        <v>98</v>
      </c>
      <c r="AM46" s="252">
        <f t="shared" si="117"/>
        <v>98</v>
      </c>
      <c r="AN46" s="252">
        <f t="shared" si="117"/>
        <v>98</v>
      </c>
      <c r="AO46" s="252">
        <f t="shared" si="117"/>
        <v>98</v>
      </c>
      <c r="AP46" s="256"/>
      <c r="AQ46" s="259"/>
      <c r="AR46" s="104"/>
    </row>
    <row r="47" spans="1:44" x14ac:dyDescent="0.3">
      <c r="A47" s="981"/>
      <c r="B47" s="714" t="s">
        <v>268</v>
      </c>
      <c r="C47" s="265"/>
      <c r="D47" s="261"/>
      <c r="E47" s="261"/>
      <c r="F47" s="268"/>
      <c r="G47" s="263">
        <f>MEDIAN(G43:G45)</f>
        <v>553.64843155491667</v>
      </c>
      <c r="H47" s="263">
        <f t="shared" ref="H47:M47" si="118">MEDIAN(H43:H45)</f>
        <v>452.86209520588477</v>
      </c>
      <c r="I47" s="263">
        <f t="shared" si="118"/>
        <v>352.07575885685293</v>
      </c>
      <c r="J47" s="263">
        <f t="shared" si="118"/>
        <v>150.50308615878919</v>
      </c>
      <c r="K47" s="263">
        <f t="shared" si="118"/>
        <v>116.25940644288491</v>
      </c>
      <c r="L47" s="263">
        <f t="shared" si="118"/>
        <v>82.015726726980631</v>
      </c>
      <c r="M47" s="263">
        <f t="shared" si="118"/>
        <v>82.02</v>
      </c>
      <c r="N47" s="262">
        <f t="shared" ref="N47:AO47" si="119">MEDIAN(N43:N45)</f>
        <v>16.609452946647501</v>
      </c>
      <c r="O47" s="263">
        <f t="shared" si="119"/>
        <v>13.585862856176544</v>
      </c>
      <c r="P47" s="263">
        <f t="shared" si="119"/>
        <v>10.562272765705588</v>
      </c>
      <c r="Q47" s="263">
        <f t="shared" si="119"/>
        <v>4.5150925847636758</v>
      </c>
      <c r="R47" s="263">
        <f t="shared" si="119"/>
        <v>3.4877821932865474</v>
      </c>
      <c r="S47" s="263">
        <f t="shared" si="119"/>
        <v>2.4604718018094189</v>
      </c>
      <c r="T47" s="263">
        <f t="shared" si="119"/>
        <v>2.46</v>
      </c>
      <c r="U47" s="265"/>
      <c r="V47" s="261"/>
      <c r="W47" s="261"/>
      <c r="X47" s="261"/>
      <c r="Y47" s="263"/>
      <c r="Z47" s="261"/>
      <c r="AA47" s="263"/>
      <c r="AB47" s="265">
        <f t="shared" si="119"/>
        <v>20</v>
      </c>
      <c r="AC47" s="261">
        <f t="shared" si="119"/>
        <v>20</v>
      </c>
      <c r="AD47" s="261">
        <f t="shared" si="119"/>
        <v>20</v>
      </c>
      <c r="AE47" s="261">
        <f t="shared" si="119"/>
        <v>20</v>
      </c>
      <c r="AF47" s="266">
        <f t="shared" si="119"/>
        <v>20</v>
      </c>
      <c r="AG47" s="266">
        <f t="shared" si="119"/>
        <v>20</v>
      </c>
      <c r="AH47" s="266">
        <f t="shared" si="119"/>
        <v>20</v>
      </c>
      <c r="AI47" s="265">
        <f t="shared" si="119"/>
        <v>98</v>
      </c>
      <c r="AJ47" s="261">
        <f t="shared" si="119"/>
        <v>98</v>
      </c>
      <c r="AK47" s="261">
        <f t="shared" si="119"/>
        <v>98</v>
      </c>
      <c r="AL47" s="261">
        <f t="shared" si="119"/>
        <v>98</v>
      </c>
      <c r="AM47" s="261">
        <f t="shared" si="119"/>
        <v>98</v>
      </c>
      <c r="AN47" s="261">
        <f t="shared" si="119"/>
        <v>98</v>
      </c>
      <c r="AO47" s="261">
        <f t="shared" si="119"/>
        <v>98</v>
      </c>
      <c r="AP47" s="265"/>
      <c r="AQ47" s="268"/>
      <c r="AR47" s="104"/>
    </row>
    <row r="48" spans="1:44" x14ac:dyDescent="0.3">
      <c r="A48" s="981"/>
      <c r="B48" s="715" t="s">
        <v>269</v>
      </c>
      <c r="C48" s="273"/>
      <c r="D48" s="274"/>
      <c r="E48" s="274"/>
      <c r="F48" s="277"/>
      <c r="G48" s="271">
        <f>MAX(G43:G45)</f>
        <v>1446.3515684450833</v>
      </c>
      <c r="H48" s="271">
        <f t="shared" ref="H48:M48" si="120">MAX(H43:H45)</f>
        <v>1183.055719962797</v>
      </c>
      <c r="I48" s="271">
        <f t="shared" si="120"/>
        <v>919.75987148051058</v>
      </c>
      <c r="J48" s="271">
        <f t="shared" si="120"/>
        <v>393.16817451593806</v>
      </c>
      <c r="K48" s="271">
        <f t="shared" si="120"/>
        <v>299.10374566669481</v>
      </c>
      <c r="L48" s="271">
        <f t="shared" si="120"/>
        <v>205.03931681745158</v>
      </c>
      <c r="M48" s="271">
        <f t="shared" si="120"/>
        <v>205.04</v>
      </c>
      <c r="N48" s="270">
        <f t="shared" ref="N48:AO48" si="121">MAX(N43:N45)</f>
        <v>86.781094106704984</v>
      </c>
      <c r="O48" s="271">
        <f t="shared" si="121"/>
        <v>70.983343197767809</v>
      </c>
      <c r="P48" s="271">
        <f t="shared" si="121"/>
        <v>55.185592288830634</v>
      </c>
      <c r="Q48" s="271">
        <f t="shared" si="121"/>
        <v>23.590090470956284</v>
      </c>
      <c r="R48" s="271">
        <f t="shared" si="121"/>
        <v>17.946224740001689</v>
      </c>
      <c r="S48" s="271">
        <f t="shared" si="121"/>
        <v>12.302359009047095</v>
      </c>
      <c r="T48" s="271">
        <f t="shared" si="121"/>
        <v>12.3</v>
      </c>
      <c r="U48" s="273"/>
      <c r="V48" s="274"/>
      <c r="W48" s="274"/>
      <c r="X48" s="274"/>
      <c r="Y48" s="271"/>
      <c r="Z48" s="274"/>
      <c r="AA48" s="271"/>
      <c r="AB48" s="273">
        <f t="shared" si="121"/>
        <v>20</v>
      </c>
      <c r="AC48" s="274">
        <f t="shared" si="121"/>
        <v>20</v>
      </c>
      <c r="AD48" s="274">
        <f t="shared" si="121"/>
        <v>20</v>
      </c>
      <c r="AE48" s="274">
        <f t="shared" si="121"/>
        <v>20</v>
      </c>
      <c r="AF48" s="275">
        <f t="shared" si="121"/>
        <v>20</v>
      </c>
      <c r="AG48" s="275">
        <f t="shared" si="121"/>
        <v>20</v>
      </c>
      <c r="AH48" s="275">
        <f t="shared" si="121"/>
        <v>20</v>
      </c>
      <c r="AI48" s="273">
        <f t="shared" si="121"/>
        <v>98</v>
      </c>
      <c r="AJ48" s="274">
        <f t="shared" si="121"/>
        <v>98</v>
      </c>
      <c r="AK48" s="274">
        <f t="shared" si="121"/>
        <v>98</v>
      </c>
      <c r="AL48" s="274">
        <f t="shared" si="121"/>
        <v>98</v>
      </c>
      <c r="AM48" s="274">
        <f t="shared" si="121"/>
        <v>98</v>
      </c>
      <c r="AN48" s="274">
        <f t="shared" si="121"/>
        <v>98</v>
      </c>
      <c r="AO48" s="274">
        <f t="shared" si="121"/>
        <v>98</v>
      </c>
      <c r="AP48" s="273"/>
      <c r="AQ48" s="277"/>
      <c r="AR48" s="104"/>
    </row>
    <row r="49" spans="1:57" ht="15" customHeight="1" x14ac:dyDescent="0.3">
      <c r="A49" s="981"/>
      <c r="B49" s="943" t="s">
        <v>398</v>
      </c>
      <c r="C49" s="278">
        <v>12</v>
      </c>
      <c r="D49" s="279" t="s">
        <v>60</v>
      </c>
      <c r="E49" s="279">
        <v>2022</v>
      </c>
      <c r="F49" s="280" t="s">
        <v>19</v>
      </c>
      <c r="G49" s="279">
        <f>2.2*10^6/10^3</f>
        <v>2200</v>
      </c>
      <c r="H49" s="279"/>
      <c r="I49" s="281"/>
      <c r="J49" s="281"/>
      <c r="K49" s="281"/>
      <c r="L49" s="281"/>
      <c r="M49" s="281"/>
      <c r="N49" s="508">
        <f t="shared" ref="N49:N51" si="122">G49*0.017</f>
        <v>37.400000000000006</v>
      </c>
      <c r="O49" s="281"/>
      <c r="P49" s="281"/>
      <c r="Q49" s="281"/>
      <c r="R49" s="281"/>
      <c r="S49" s="281"/>
      <c r="T49" s="281"/>
      <c r="U49" s="278"/>
      <c r="V49" s="279"/>
      <c r="W49" s="279"/>
      <c r="X49" s="279"/>
      <c r="Y49" s="281"/>
      <c r="Z49" s="279"/>
      <c r="AA49" s="281"/>
      <c r="AB49" s="278"/>
      <c r="AC49" s="279"/>
      <c r="AD49" s="279"/>
      <c r="AE49" s="279"/>
      <c r="AF49" s="281"/>
      <c r="AG49" s="279"/>
      <c r="AH49" s="281"/>
      <c r="AI49" s="278"/>
      <c r="AJ49" s="279"/>
      <c r="AK49" s="279"/>
      <c r="AL49" s="279"/>
      <c r="AM49" s="281"/>
      <c r="AN49" s="279"/>
      <c r="AO49" s="281"/>
      <c r="AP49" s="278"/>
      <c r="AQ49" s="7"/>
      <c r="AR49" s="104" t="s">
        <v>399</v>
      </c>
    </row>
    <row r="50" spans="1:57" x14ac:dyDescent="0.3">
      <c r="A50" s="981"/>
      <c r="B50" s="944"/>
      <c r="C50" s="289">
        <v>12</v>
      </c>
      <c r="D50" s="290" t="s">
        <v>60</v>
      </c>
      <c r="E50" s="290">
        <v>2022</v>
      </c>
      <c r="F50" s="291" t="s">
        <v>19</v>
      </c>
      <c r="G50" s="290">
        <f>3.4*10^6/10^3</f>
        <v>3400</v>
      </c>
      <c r="H50" s="290"/>
      <c r="I50" s="282"/>
      <c r="J50" s="282"/>
      <c r="K50" s="282"/>
      <c r="L50" s="282"/>
      <c r="M50" s="282"/>
      <c r="N50" s="510">
        <f t="shared" si="122"/>
        <v>57.800000000000004</v>
      </c>
      <c r="O50" s="282"/>
      <c r="P50" s="282"/>
      <c r="Q50" s="282"/>
      <c r="R50" s="282"/>
      <c r="S50" s="282"/>
      <c r="T50" s="282"/>
      <c r="U50" s="289"/>
      <c r="V50" s="290"/>
      <c r="W50" s="290"/>
      <c r="X50" s="290"/>
      <c r="Y50" s="282"/>
      <c r="Z50" s="290"/>
      <c r="AA50" s="282"/>
      <c r="AB50" s="289"/>
      <c r="AC50" s="290"/>
      <c r="AD50" s="290"/>
      <c r="AE50" s="290"/>
      <c r="AF50" s="282"/>
      <c r="AG50" s="290"/>
      <c r="AH50" s="282"/>
      <c r="AI50" s="289"/>
      <c r="AJ50" s="290"/>
      <c r="AK50" s="290"/>
      <c r="AL50" s="290"/>
      <c r="AM50" s="282"/>
      <c r="AN50" s="290"/>
      <c r="AO50" s="282"/>
      <c r="AP50" s="289"/>
      <c r="AQ50" s="11"/>
      <c r="AR50" s="104" t="s">
        <v>400</v>
      </c>
    </row>
    <row r="51" spans="1:57" x14ac:dyDescent="0.3">
      <c r="A51" s="981"/>
      <c r="B51" s="944"/>
      <c r="C51" s="289">
        <v>12</v>
      </c>
      <c r="D51" s="290" t="s">
        <v>60</v>
      </c>
      <c r="E51" s="290">
        <v>2022</v>
      </c>
      <c r="F51" s="291" t="s">
        <v>19</v>
      </c>
      <c r="G51" s="290">
        <f>6.7*10^6/10^3</f>
        <v>6700</v>
      </c>
      <c r="H51" s="290"/>
      <c r="I51" s="282"/>
      <c r="J51" s="282"/>
      <c r="K51" s="282"/>
      <c r="L51" s="282"/>
      <c r="M51" s="282"/>
      <c r="N51" s="510">
        <f t="shared" si="122"/>
        <v>113.9</v>
      </c>
      <c r="O51" s="282"/>
      <c r="P51" s="282"/>
      <c r="Q51" s="282"/>
      <c r="R51" s="282"/>
      <c r="S51" s="282"/>
      <c r="T51" s="282"/>
      <c r="U51" s="289"/>
      <c r="V51" s="290"/>
      <c r="W51" s="290"/>
      <c r="X51" s="290"/>
      <c r="Y51" s="282"/>
      <c r="Z51" s="290"/>
      <c r="AA51" s="282"/>
      <c r="AB51" s="289"/>
      <c r="AC51" s="290"/>
      <c r="AD51" s="290"/>
      <c r="AE51" s="290"/>
      <c r="AF51" s="282"/>
      <c r="AG51" s="290"/>
      <c r="AH51" s="282"/>
      <c r="AI51" s="289"/>
      <c r="AJ51" s="290"/>
      <c r="AK51" s="290"/>
      <c r="AL51" s="290"/>
      <c r="AM51" s="282"/>
      <c r="AN51" s="290"/>
      <c r="AO51" s="282"/>
      <c r="AP51" s="289"/>
      <c r="AQ51" s="11"/>
      <c r="AR51" s="104" t="s">
        <v>401</v>
      </c>
    </row>
    <row r="52" spans="1:57" x14ac:dyDescent="0.3">
      <c r="A52" s="981"/>
      <c r="B52" s="944"/>
      <c r="C52" s="289">
        <v>17</v>
      </c>
      <c r="D52" s="716" t="s">
        <v>72</v>
      </c>
      <c r="E52" s="290">
        <v>2021</v>
      </c>
      <c r="F52" s="291" t="s">
        <v>19</v>
      </c>
      <c r="G52" s="290">
        <v>2083</v>
      </c>
      <c r="H52" s="290"/>
      <c r="I52" s="282"/>
      <c r="J52" s="282"/>
      <c r="K52" s="282"/>
      <c r="L52" s="282"/>
      <c r="M52" s="282"/>
      <c r="N52" s="106">
        <f t="shared" ref="N52:N53" si="123">G52*0.02</f>
        <v>41.660000000000004</v>
      </c>
      <c r="O52" s="282"/>
      <c r="P52" s="282"/>
      <c r="Q52" s="282"/>
      <c r="R52" s="282"/>
      <c r="S52" s="282"/>
      <c r="T52" s="282"/>
      <c r="U52" s="289"/>
      <c r="V52" s="290"/>
      <c r="W52" s="290"/>
      <c r="X52" s="290"/>
      <c r="Y52" s="282"/>
      <c r="Z52" s="290"/>
      <c r="AA52" s="282"/>
      <c r="AB52" s="289"/>
      <c r="AC52" s="290"/>
      <c r="AD52" s="290"/>
      <c r="AE52" s="290"/>
      <c r="AF52" s="282"/>
      <c r="AG52" s="290"/>
      <c r="AH52" s="282"/>
      <c r="AI52" s="289"/>
      <c r="AJ52" s="290"/>
      <c r="AK52" s="290"/>
      <c r="AL52" s="290"/>
      <c r="AM52" s="282"/>
      <c r="AN52" s="290"/>
      <c r="AO52" s="282"/>
      <c r="AP52" s="289"/>
      <c r="AQ52" s="11"/>
      <c r="AR52" s="104"/>
    </row>
    <row r="53" spans="1:57" x14ac:dyDescent="0.3">
      <c r="A53" s="981"/>
      <c r="B53" s="945"/>
      <c r="C53" s="299">
        <v>17</v>
      </c>
      <c r="D53" s="717" t="s">
        <v>72</v>
      </c>
      <c r="E53" s="300">
        <v>2021</v>
      </c>
      <c r="F53" s="301" t="s">
        <v>19</v>
      </c>
      <c r="G53" s="717"/>
      <c r="H53" s="300"/>
      <c r="I53" s="302"/>
      <c r="J53" s="302"/>
      <c r="K53" s="302"/>
      <c r="L53" s="302"/>
      <c r="M53" s="302"/>
      <c r="N53" s="607">
        <f t="shared" si="123"/>
        <v>0</v>
      </c>
      <c r="O53" s="302"/>
      <c r="P53" s="302"/>
      <c r="Q53" s="302"/>
      <c r="R53" s="302"/>
      <c r="S53" s="302"/>
      <c r="T53" s="302"/>
      <c r="U53" s="299"/>
      <c r="V53" s="300"/>
      <c r="W53" s="300"/>
      <c r="X53" s="300"/>
      <c r="Y53" s="302"/>
      <c r="Z53" s="300"/>
      <c r="AA53" s="302"/>
      <c r="AB53" s="299"/>
      <c r="AC53" s="300"/>
      <c r="AD53" s="300"/>
      <c r="AE53" s="300"/>
      <c r="AF53" s="302"/>
      <c r="AG53" s="300"/>
      <c r="AH53" s="302"/>
      <c r="AI53" s="299"/>
      <c r="AJ53" s="300"/>
      <c r="AK53" s="300"/>
      <c r="AL53" s="300"/>
      <c r="AM53" s="302"/>
      <c r="AN53" s="300"/>
      <c r="AO53" s="302"/>
      <c r="AP53" s="299"/>
      <c r="AQ53" s="18"/>
      <c r="AR53" s="104"/>
    </row>
    <row r="54" spans="1:57" x14ac:dyDescent="0.3">
      <c r="A54" s="981"/>
      <c r="B54" s="718" t="s">
        <v>267</v>
      </c>
      <c r="C54" s="317"/>
      <c r="D54" s="318"/>
      <c r="E54" s="318"/>
      <c r="F54" s="321"/>
      <c r="G54" s="311">
        <f>MIN(G49:G53)</f>
        <v>2083</v>
      </c>
      <c r="H54" s="311"/>
      <c r="I54" s="311"/>
      <c r="J54" s="311"/>
      <c r="K54" s="311"/>
      <c r="L54" s="311"/>
      <c r="M54" s="311"/>
      <c r="N54" s="312">
        <f>MIN(N49:N53)</f>
        <v>0</v>
      </c>
      <c r="O54" s="318"/>
      <c r="P54" s="318"/>
      <c r="Q54" s="318"/>
      <c r="R54" s="318"/>
      <c r="S54" s="318"/>
      <c r="T54" s="321"/>
      <c r="U54" s="328"/>
      <c r="V54" s="311"/>
      <c r="W54" s="311"/>
      <c r="X54" s="311"/>
      <c r="Y54" s="311"/>
      <c r="Z54" s="311"/>
      <c r="AA54" s="311"/>
      <c r="AB54" s="328"/>
      <c r="AC54" s="311"/>
      <c r="AD54" s="311"/>
      <c r="AE54" s="311"/>
      <c r="AF54" s="311"/>
      <c r="AG54" s="311"/>
      <c r="AH54" s="311"/>
      <c r="AI54" s="328"/>
      <c r="AJ54" s="311"/>
      <c r="AK54" s="311"/>
      <c r="AL54" s="311"/>
      <c r="AM54" s="311"/>
      <c r="AN54" s="311"/>
      <c r="AO54" s="311"/>
      <c r="AP54" s="328"/>
      <c r="AQ54" s="331"/>
      <c r="AR54" s="104"/>
    </row>
    <row r="55" spans="1:57" x14ac:dyDescent="0.3">
      <c r="A55" s="981"/>
      <c r="B55" s="718" t="s">
        <v>268</v>
      </c>
      <c r="C55" s="328"/>
      <c r="D55" s="311"/>
      <c r="E55" s="311"/>
      <c r="F55" s="331"/>
      <c r="G55" s="311">
        <f>MEDIAN(G49:G53)</f>
        <v>2800</v>
      </c>
      <c r="H55" s="311"/>
      <c r="I55" s="311"/>
      <c r="J55" s="311"/>
      <c r="K55" s="311"/>
      <c r="L55" s="311"/>
      <c r="M55" s="311"/>
      <c r="N55" s="323">
        <f>MEDIAN(N49:N53)</f>
        <v>41.660000000000004</v>
      </c>
      <c r="O55" s="311"/>
      <c r="P55" s="311"/>
      <c r="Q55" s="311"/>
      <c r="R55" s="311"/>
      <c r="S55" s="311"/>
      <c r="T55" s="331"/>
      <c r="U55" s="328"/>
      <c r="V55" s="311"/>
      <c r="W55" s="311"/>
      <c r="X55" s="311"/>
      <c r="Y55" s="311"/>
      <c r="Z55" s="311"/>
      <c r="AA55" s="311"/>
      <c r="AB55" s="328"/>
      <c r="AC55" s="311"/>
      <c r="AD55" s="311"/>
      <c r="AE55" s="311"/>
      <c r="AF55" s="311"/>
      <c r="AG55" s="311"/>
      <c r="AH55" s="311"/>
      <c r="AI55" s="328"/>
      <c r="AJ55" s="311"/>
      <c r="AK55" s="311"/>
      <c r="AL55" s="311"/>
      <c r="AM55" s="311"/>
      <c r="AN55" s="311"/>
      <c r="AO55" s="311"/>
      <c r="AP55" s="328"/>
      <c r="AQ55" s="331"/>
      <c r="AR55" s="104"/>
    </row>
    <row r="56" spans="1:57" x14ac:dyDescent="0.3">
      <c r="A56" s="982"/>
      <c r="B56" s="719" t="s">
        <v>269</v>
      </c>
      <c r="C56" s="339"/>
      <c r="D56" s="333"/>
      <c r="E56" s="333"/>
      <c r="F56" s="342"/>
      <c r="G56" s="333">
        <f>MAX(G49:G53)</f>
        <v>6700</v>
      </c>
      <c r="H56" s="333"/>
      <c r="I56" s="333"/>
      <c r="J56" s="333"/>
      <c r="K56" s="333"/>
      <c r="L56" s="333"/>
      <c r="M56" s="333"/>
      <c r="N56" s="334">
        <f>MAX(N49:N53)</f>
        <v>113.9</v>
      </c>
      <c r="O56" s="333"/>
      <c r="P56" s="333"/>
      <c r="Q56" s="333"/>
      <c r="R56" s="333"/>
      <c r="S56" s="333"/>
      <c r="T56" s="342"/>
      <c r="U56" s="339"/>
      <c r="V56" s="333"/>
      <c r="W56" s="333"/>
      <c r="X56" s="333"/>
      <c r="Y56" s="333"/>
      <c r="Z56" s="333"/>
      <c r="AA56" s="333"/>
      <c r="AB56" s="339"/>
      <c r="AC56" s="333"/>
      <c r="AD56" s="333"/>
      <c r="AE56" s="333"/>
      <c r="AF56" s="333"/>
      <c r="AG56" s="333"/>
      <c r="AH56" s="333"/>
      <c r="AI56" s="339"/>
      <c r="AJ56" s="333"/>
      <c r="AK56" s="333"/>
      <c r="AL56" s="333"/>
      <c r="AM56" s="333"/>
      <c r="AN56" s="333"/>
      <c r="AO56" s="333"/>
      <c r="AP56" s="339"/>
      <c r="AQ56" s="342"/>
      <c r="AR56" s="104"/>
    </row>
    <row r="57" spans="1:57" x14ac:dyDescent="0.3">
      <c r="A57" s="678"/>
      <c r="B57" s="678"/>
      <c r="C57" s="445"/>
      <c r="D57" s="439"/>
      <c r="E57" s="439"/>
      <c r="F57" s="446"/>
      <c r="G57" s="439"/>
      <c r="H57" s="439"/>
      <c r="I57" s="439"/>
      <c r="J57" s="439"/>
      <c r="K57" s="439"/>
      <c r="L57" s="439"/>
      <c r="M57" s="439"/>
      <c r="N57" s="445"/>
      <c r="O57" s="439"/>
      <c r="P57" s="439"/>
      <c r="Q57" s="439"/>
      <c r="R57" s="439"/>
      <c r="S57" s="439"/>
      <c r="T57" s="439"/>
      <c r="U57" s="445"/>
      <c r="V57" s="439"/>
      <c r="W57" s="439"/>
      <c r="X57" s="439"/>
      <c r="Y57" s="439"/>
      <c r="Z57" s="439"/>
      <c r="AA57" s="439"/>
      <c r="AB57" s="445"/>
      <c r="AC57" s="439"/>
      <c r="AD57" s="439"/>
      <c r="AE57" s="439"/>
      <c r="AF57" s="439"/>
      <c r="AG57" s="439"/>
      <c r="AH57" s="439"/>
      <c r="AI57" s="445"/>
      <c r="AJ57" s="439"/>
      <c r="AK57" s="439"/>
      <c r="AL57" s="439"/>
      <c r="AM57" s="439"/>
      <c r="AN57" s="439"/>
      <c r="AO57" s="439"/>
      <c r="AP57" s="445"/>
      <c r="AQ57" s="446"/>
      <c r="AR57" s="635"/>
      <c r="AS57" s="635"/>
    </row>
    <row r="58" spans="1:57" x14ac:dyDescent="0.3">
      <c r="A58" s="976" t="s">
        <v>128</v>
      </c>
      <c r="B58" s="983" t="s">
        <v>52</v>
      </c>
      <c r="C58" s="687">
        <v>1</v>
      </c>
      <c r="D58" s="90" t="s">
        <v>18</v>
      </c>
      <c r="E58" s="90">
        <v>2020</v>
      </c>
      <c r="F58" s="688" t="s">
        <v>19</v>
      </c>
      <c r="G58" s="94">
        <f>(5385)/1.1422/3.805</f>
        <v>1239.0501673810666</v>
      </c>
      <c r="H58" s="93">
        <f>G58+((I58-G58)/(2030-2020))*(2025-2020)</f>
        <v>1177.0401357916148</v>
      </c>
      <c r="I58" s="94">
        <f>(4846)/1.1422/3.805</f>
        <v>1115.0301042021633</v>
      </c>
      <c r="J58" s="94">
        <f>(4362)/1.1422/3.805</f>
        <v>1003.6651495109029</v>
      </c>
      <c r="K58" s="93">
        <f>J58+((L58-J58)/(2050-2040))*(2045-2040)</f>
        <v>947.86762572447606</v>
      </c>
      <c r="L58" s="94">
        <f>(3877)/1.1422/3.805</f>
        <v>892.07010193804922</v>
      </c>
      <c r="M58" s="95">
        <f>K58+((L58-K58)/(2050-2045))*(2060-2045)</f>
        <v>780.47505436519555</v>
      </c>
      <c r="N58" s="447">
        <f>G58*0.04*$BE$5</f>
        <v>66.84288969305274</v>
      </c>
      <c r="O58" s="93">
        <f>N58+((P58-N58)/(2030-2020))*(2025-2020)</f>
        <v>63.497642010178517</v>
      </c>
      <c r="P58" s="94">
        <f>I58*0.04*$BE$5</f>
        <v>60.152394327304293</v>
      </c>
      <c r="Q58" s="94">
        <f>J58*0.04*$BE$5</f>
        <v>54.144602570305665</v>
      </c>
      <c r="R58" s="93">
        <f>Q58+((S58-Q58)/(2050-2040))*(2045-2040)</f>
        <v>51.134500295363182</v>
      </c>
      <c r="S58" s="94">
        <f>L58*0.04*$BE$5</f>
        <v>48.124398020420706</v>
      </c>
      <c r="T58" s="93">
        <f>R58+((S58-R58)/(2050-2045))*(2060-2045)</f>
        <v>42.104193470535755</v>
      </c>
      <c r="U58" s="96"/>
      <c r="V58" s="97"/>
      <c r="W58" s="97"/>
      <c r="X58" s="97"/>
      <c r="Y58" s="94"/>
      <c r="Z58" s="97"/>
      <c r="AA58" s="94"/>
      <c r="AB58" s="96">
        <v>30</v>
      </c>
      <c r="AC58" s="100">
        <v>30</v>
      </c>
      <c r="AD58" s="97">
        <v>30</v>
      </c>
      <c r="AE58" s="97">
        <v>30</v>
      </c>
      <c r="AF58" s="101">
        <f>AE58+((AG58-AE58)/(2050-2040))*(2045-2040)</f>
        <v>30</v>
      </c>
      <c r="AG58" s="102">
        <v>30</v>
      </c>
      <c r="AH58" s="101">
        <f>AF58+((AG58-AF58)/(2050-2045))*(2060-2045)</f>
        <v>30</v>
      </c>
      <c r="AI58" s="96"/>
      <c r="AJ58" s="97"/>
      <c r="AK58" s="97"/>
      <c r="AL58" s="97"/>
      <c r="AM58" s="94"/>
      <c r="AN58" s="97"/>
      <c r="AO58" s="94"/>
      <c r="AP58" s="96"/>
      <c r="AQ58" s="43"/>
      <c r="AR58" s="104"/>
    </row>
    <row r="59" spans="1:57" x14ac:dyDescent="0.3">
      <c r="A59" s="976"/>
      <c r="B59" s="984"/>
      <c r="C59" s="689">
        <v>2</v>
      </c>
      <c r="D59" s="105" t="s">
        <v>23</v>
      </c>
      <c r="E59" s="105">
        <v>2019</v>
      </c>
      <c r="F59" s="690" t="s">
        <v>19</v>
      </c>
      <c r="G59" s="108">
        <f>((1400*10^6)/1.1297)/(260*10^3)/3.805</f>
        <v>1252.6706378771578</v>
      </c>
      <c r="H59" s="108"/>
      <c r="I59" s="108"/>
      <c r="J59" s="108"/>
      <c r="K59" s="108"/>
      <c r="L59" s="108"/>
      <c r="M59" s="108"/>
      <c r="N59" s="113">
        <f>G59*0.04</f>
        <v>50.106825515086314</v>
      </c>
      <c r="O59" s="108"/>
      <c r="P59" s="108"/>
      <c r="Q59" s="108"/>
      <c r="R59" s="108"/>
      <c r="S59" s="108"/>
      <c r="T59" s="108"/>
      <c r="U59" s="110"/>
      <c r="V59" s="111"/>
      <c r="W59" s="111"/>
      <c r="X59" s="111"/>
      <c r="Y59" s="108"/>
      <c r="Z59" s="111"/>
      <c r="AA59" s="108"/>
      <c r="AB59" s="110"/>
      <c r="AC59" s="111"/>
      <c r="AD59" s="111"/>
      <c r="AE59" s="111"/>
      <c r="AF59" s="117"/>
      <c r="AG59" s="117"/>
      <c r="AH59" s="117"/>
      <c r="AI59" s="110"/>
      <c r="AJ59" s="111"/>
      <c r="AK59" s="111"/>
      <c r="AL59" s="111"/>
      <c r="AM59" s="108"/>
      <c r="AN59" s="111"/>
      <c r="AO59" s="108"/>
      <c r="AP59" s="110"/>
      <c r="AQ59" s="46"/>
      <c r="AR59" s="104"/>
    </row>
    <row r="60" spans="1:57" x14ac:dyDescent="0.3">
      <c r="A60" s="976"/>
      <c r="B60" s="984"/>
      <c r="C60" s="689">
        <v>9</v>
      </c>
      <c r="D60" s="105" t="s">
        <v>50</v>
      </c>
      <c r="E60" s="105">
        <v>2021</v>
      </c>
      <c r="F60" s="690" t="s">
        <v>19</v>
      </c>
      <c r="G60" s="108"/>
      <c r="H60" s="108"/>
      <c r="I60" s="108"/>
      <c r="J60" s="108"/>
      <c r="K60" s="108"/>
      <c r="L60" s="108"/>
      <c r="M60" s="108"/>
      <c r="N60" s="113"/>
      <c r="O60" s="108"/>
      <c r="P60" s="108"/>
      <c r="Q60" s="108"/>
      <c r="R60" s="108"/>
      <c r="S60" s="108"/>
      <c r="T60" s="108"/>
      <c r="U60" s="110"/>
      <c r="V60" s="111"/>
      <c r="W60" s="111"/>
      <c r="X60" s="111"/>
      <c r="Y60" s="108"/>
      <c r="Z60" s="111"/>
      <c r="AA60" s="108"/>
      <c r="AB60" s="110"/>
      <c r="AC60" s="111"/>
      <c r="AD60" s="111"/>
      <c r="AE60" s="111"/>
      <c r="AF60" s="117"/>
      <c r="AG60" s="117"/>
      <c r="AH60" s="117"/>
      <c r="AI60" s="110"/>
      <c r="AJ60" s="111"/>
      <c r="AK60" s="111"/>
      <c r="AL60" s="111"/>
      <c r="AM60" s="108"/>
      <c r="AN60" s="111"/>
      <c r="AO60" s="108"/>
      <c r="AP60" s="110"/>
      <c r="AQ60" s="46"/>
      <c r="AR60" s="104" t="s">
        <v>385</v>
      </c>
      <c r="BE60" s="76"/>
    </row>
    <row r="61" spans="1:57" x14ac:dyDescent="0.3">
      <c r="A61" s="976"/>
      <c r="B61" s="984"/>
      <c r="C61" s="689">
        <v>11</v>
      </c>
      <c r="D61" s="105" t="s">
        <v>57</v>
      </c>
      <c r="E61" s="105">
        <v>2022</v>
      </c>
      <c r="F61" s="690" t="s">
        <v>19</v>
      </c>
      <c r="G61" s="107">
        <f t="shared" ref="G61:G62" si="124">H61+((I61-H61)/(2030-2025))*(2020-2025)</f>
        <v>2272.7657055889067</v>
      </c>
      <c r="H61" s="107">
        <f t="shared" ref="H61:H62" si="125">I61+((J61-I61)/(2040-2030))*(2025-2030)</f>
        <v>1922.9305825653166</v>
      </c>
      <c r="I61" s="108">
        <f>1860.5/1.1827</f>
        <v>1573.0954595417265</v>
      </c>
      <c r="J61" s="108">
        <f>1033/1.1827</f>
        <v>873.42521349454637</v>
      </c>
      <c r="K61" s="107">
        <f t="shared" ref="K61:K62" si="126">J61+((L61-J61)/(2050-2040))*(2045-2040)</f>
        <v>691.80688255686141</v>
      </c>
      <c r="L61" s="108">
        <f>603.4/1.1827</f>
        <v>510.18855161917639</v>
      </c>
      <c r="M61" s="107">
        <v>510.18855161917639</v>
      </c>
      <c r="N61" s="106">
        <f t="shared" ref="N61:N62" si="127">O61+((P61-O61)/(2030-2025))*(2020-2025)</f>
        <v>122.6086169520773</v>
      </c>
      <c r="O61" s="107">
        <f t="shared" ref="O61:O62" si="128">P61+((Q61-P61)/(2040-2030))*(2025-2030)</f>
        <v>103.73610383305871</v>
      </c>
      <c r="P61" s="108">
        <f t="shared" ref="P61:P62" si="129">I61*0.04*$BE$5</f>
        <v>84.863590714040114</v>
      </c>
      <c r="Q61" s="108">
        <f t="shared" ref="Q61:Q62" si="130">J61*0.04*$BE$5</f>
        <v>47.118564476002931</v>
      </c>
      <c r="R61" s="107">
        <f t="shared" ref="R61:R62" si="131">Q61+((S61-Q61)/(2050-2040))*(2045-2040)</f>
        <v>37.320822317778891</v>
      </c>
      <c r="S61" s="108">
        <f t="shared" ref="S61:S62" si="132">L61*0.04*$BE$5</f>
        <v>27.523080159554851</v>
      </c>
      <c r="T61" s="107">
        <v>20.41</v>
      </c>
      <c r="U61" s="110"/>
      <c r="V61" s="111"/>
      <c r="W61" s="111"/>
      <c r="X61" s="111"/>
      <c r="Y61" s="108"/>
      <c r="Z61" s="111"/>
      <c r="AA61" s="108"/>
      <c r="AB61" s="110"/>
      <c r="AC61" s="111"/>
      <c r="AD61" s="111"/>
      <c r="AE61" s="111"/>
      <c r="AF61" s="117"/>
      <c r="AG61" s="117"/>
      <c r="AH61" s="117"/>
      <c r="AI61" s="106">
        <f t="shared" ref="AI61:AI62" si="133">AJ61+((AK61-AJ61)/(2030-2025))*(2020-2025)</f>
        <v>92</v>
      </c>
      <c r="AJ61" s="297">
        <f t="shared" ref="AJ61:AJ62" si="134">AK61+((AL61-AK61)/(2040-2030))*(2025-2030)</f>
        <v>93.5</v>
      </c>
      <c r="AK61" s="111">
        <v>95</v>
      </c>
      <c r="AL61" s="111">
        <v>98</v>
      </c>
      <c r="AM61" s="378">
        <f t="shared" ref="AM61:AM62" si="135">AL61+((AN61-AL61)/(2050-2040))*(2045-2040)</f>
        <v>99</v>
      </c>
      <c r="AN61" s="111">
        <v>100</v>
      </c>
      <c r="AO61" s="117">
        <v>100</v>
      </c>
      <c r="AP61" s="110"/>
      <c r="AQ61" s="46"/>
      <c r="AR61" s="104" t="s">
        <v>386</v>
      </c>
      <c r="BE61" s="76"/>
    </row>
    <row r="62" spans="1:57" x14ac:dyDescent="0.3">
      <c r="A62" s="976"/>
      <c r="B62" s="984"/>
      <c r="C62" s="689">
        <v>11</v>
      </c>
      <c r="D62" s="105" t="s">
        <v>57</v>
      </c>
      <c r="E62" s="105">
        <v>2022</v>
      </c>
      <c r="F62" s="690" t="s">
        <v>19</v>
      </c>
      <c r="G62" s="107">
        <f t="shared" si="124"/>
        <v>4788.2810518305578</v>
      </c>
      <c r="H62" s="107">
        <f t="shared" si="125"/>
        <v>3951.5092584763679</v>
      </c>
      <c r="I62" s="108">
        <f>(3683.8)/1.1827</f>
        <v>3114.737465122178</v>
      </c>
      <c r="J62" s="108">
        <f>(1704.5)/1.1827</f>
        <v>1441.1938784137988</v>
      </c>
      <c r="K62" s="107">
        <f t="shared" si="126"/>
        <v>1141.4982666779401</v>
      </c>
      <c r="L62" s="108">
        <f>(995.6)/1.1827</f>
        <v>841.80265494208163</v>
      </c>
      <c r="M62" s="107">
        <v>841.80265494208163</v>
      </c>
      <c r="N62" s="106">
        <f t="shared" si="127"/>
        <v>258.31281944245131</v>
      </c>
      <c r="O62" s="107">
        <f t="shared" si="128"/>
        <v>213.17159259474917</v>
      </c>
      <c r="P62" s="108">
        <f t="shared" si="129"/>
        <v>168.03036574704703</v>
      </c>
      <c r="Q62" s="108">
        <f t="shared" si="130"/>
        <v>77.747912051642757</v>
      </c>
      <c r="R62" s="107">
        <f t="shared" si="131"/>
        <v>61.580269090830335</v>
      </c>
      <c r="S62" s="108">
        <f t="shared" si="132"/>
        <v>45.412626130017912</v>
      </c>
      <c r="T62" s="107">
        <v>33.67</v>
      </c>
      <c r="U62" s="110"/>
      <c r="V62" s="111"/>
      <c r="W62" s="111"/>
      <c r="X62" s="111"/>
      <c r="Y62" s="108"/>
      <c r="Z62" s="111"/>
      <c r="AA62" s="108"/>
      <c r="AB62" s="110"/>
      <c r="AC62" s="111"/>
      <c r="AD62" s="111"/>
      <c r="AE62" s="111"/>
      <c r="AF62" s="117"/>
      <c r="AG62" s="117"/>
      <c r="AH62" s="117"/>
      <c r="AI62" s="106">
        <f t="shared" si="133"/>
        <v>92</v>
      </c>
      <c r="AJ62" s="297">
        <f t="shared" si="134"/>
        <v>93.5</v>
      </c>
      <c r="AK62" s="111">
        <v>95</v>
      </c>
      <c r="AL62" s="111">
        <v>98</v>
      </c>
      <c r="AM62" s="378">
        <f t="shared" si="135"/>
        <v>99</v>
      </c>
      <c r="AN62" s="111">
        <v>100</v>
      </c>
      <c r="AO62" s="117">
        <v>100</v>
      </c>
      <c r="AP62" s="110"/>
      <c r="AQ62" s="46"/>
      <c r="AR62" s="116" t="s">
        <v>387</v>
      </c>
      <c r="BE62" s="76"/>
    </row>
    <row r="63" spans="1:57" x14ac:dyDescent="0.3">
      <c r="A63" s="976"/>
      <c r="B63" s="985"/>
      <c r="C63" s="691">
        <v>4</v>
      </c>
      <c r="D63" s="120" t="s">
        <v>31</v>
      </c>
      <c r="E63" s="120">
        <v>2022</v>
      </c>
      <c r="F63" s="692" t="s">
        <v>19</v>
      </c>
      <c r="G63" s="121">
        <f>870.56</f>
        <v>870.56</v>
      </c>
      <c r="H63" s="121">
        <f>870.56</f>
        <v>870.56</v>
      </c>
      <c r="I63" s="121">
        <f>870.56</f>
        <v>870.56</v>
      </c>
      <c r="J63" s="121">
        <v>696.45</v>
      </c>
      <c r="K63" s="121">
        <v>609.39</v>
      </c>
      <c r="L63" s="121">
        <v>522.34</v>
      </c>
      <c r="M63" s="122">
        <v>522.34</v>
      </c>
      <c r="N63" s="587">
        <f t="shared" ref="N63:S63" si="136">G63*0.025*$BE$5</f>
        <v>29.352496968595087</v>
      </c>
      <c r="O63" s="121">
        <f t="shared" si="136"/>
        <v>29.352496968595087</v>
      </c>
      <c r="P63" s="121">
        <f t="shared" si="136"/>
        <v>29.352496968595087</v>
      </c>
      <c r="Q63" s="121">
        <f t="shared" si="136"/>
        <v>23.482065008475065</v>
      </c>
      <c r="R63" s="121">
        <f t="shared" si="136"/>
        <v>20.546680444417571</v>
      </c>
      <c r="S63" s="121">
        <f t="shared" si="136"/>
        <v>17.611633048355039</v>
      </c>
      <c r="T63" s="107">
        <v>13.06</v>
      </c>
      <c r="U63" s="123"/>
      <c r="V63" s="124"/>
      <c r="W63" s="124"/>
      <c r="X63" s="124"/>
      <c r="Y63" s="121"/>
      <c r="Z63" s="124"/>
      <c r="AA63" s="121"/>
      <c r="AB63" s="123">
        <v>20</v>
      </c>
      <c r="AC63" s="124">
        <v>20</v>
      </c>
      <c r="AD63" s="124">
        <v>20</v>
      </c>
      <c r="AE63" s="124">
        <v>20</v>
      </c>
      <c r="AF63" s="639">
        <v>20</v>
      </c>
      <c r="AG63" s="639">
        <v>20</v>
      </c>
      <c r="AH63" s="386">
        <f>AF63+((AG63-AF63)/(2050-2045))*(2060-2045)</f>
        <v>20</v>
      </c>
      <c r="AI63" s="587"/>
      <c r="AJ63" s="124"/>
      <c r="AK63" s="124"/>
      <c r="AL63" s="124"/>
      <c r="AM63" s="121"/>
      <c r="AN63" s="124"/>
      <c r="AO63" s="121"/>
      <c r="AP63" s="123"/>
      <c r="AQ63" s="51"/>
      <c r="AR63" s="116"/>
    </row>
    <row r="64" spans="1:57" x14ac:dyDescent="0.3">
      <c r="A64" s="976"/>
      <c r="B64" s="693" t="s">
        <v>267</v>
      </c>
      <c r="C64" s="139"/>
      <c r="D64" s="134"/>
      <c r="E64" s="134"/>
      <c r="F64" s="140"/>
      <c r="G64" s="128">
        <f>MIN(G58:G59, G61:G63)</f>
        <v>870.56</v>
      </c>
      <c r="H64" s="128">
        <f t="shared" ref="H64:M64" si="137">MIN(H58:H59, H61:H63)</f>
        <v>870.56</v>
      </c>
      <c r="I64" s="128">
        <f t="shared" si="137"/>
        <v>870.56</v>
      </c>
      <c r="J64" s="128">
        <f t="shared" si="137"/>
        <v>696.45</v>
      </c>
      <c r="K64" s="128">
        <f t="shared" si="137"/>
        <v>609.39</v>
      </c>
      <c r="L64" s="128">
        <f t="shared" si="137"/>
        <v>510.18855161917639</v>
      </c>
      <c r="M64" s="128">
        <f t="shared" si="137"/>
        <v>510.18855161917639</v>
      </c>
      <c r="N64" s="127">
        <f>MIN(N58:N63)</f>
        <v>29.352496968595087</v>
      </c>
      <c r="O64" s="128">
        <f t="shared" ref="O64:T64" si="138">MIN(O58:O63)</f>
        <v>29.352496968595087</v>
      </c>
      <c r="P64" s="128">
        <f t="shared" si="138"/>
        <v>29.352496968595087</v>
      </c>
      <c r="Q64" s="128">
        <f t="shared" si="138"/>
        <v>23.482065008475065</v>
      </c>
      <c r="R64" s="128">
        <f t="shared" si="138"/>
        <v>20.546680444417571</v>
      </c>
      <c r="S64" s="128">
        <f t="shared" si="138"/>
        <v>17.611633048355039</v>
      </c>
      <c r="T64" s="128">
        <f t="shared" si="138"/>
        <v>13.06</v>
      </c>
      <c r="U64" s="131"/>
      <c r="V64" s="126"/>
      <c r="W64" s="126"/>
      <c r="X64" s="126"/>
      <c r="Y64" s="128"/>
      <c r="Z64" s="126"/>
      <c r="AA64" s="128"/>
      <c r="AB64" s="131">
        <f>MIN(AB58:AB63)</f>
        <v>20</v>
      </c>
      <c r="AC64" s="126">
        <f t="shared" ref="AC64:AO64" si="139">MIN(AC58:AC63)</f>
        <v>20</v>
      </c>
      <c r="AD64" s="126">
        <f t="shared" si="139"/>
        <v>20</v>
      </c>
      <c r="AE64" s="126">
        <f t="shared" si="139"/>
        <v>20</v>
      </c>
      <c r="AF64" s="641">
        <f t="shared" si="139"/>
        <v>20</v>
      </c>
      <c r="AG64" s="641">
        <f t="shared" si="139"/>
        <v>20</v>
      </c>
      <c r="AH64" s="641">
        <f t="shared" si="139"/>
        <v>20</v>
      </c>
      <c r="AI64" s="131">
        <f t="shared" si="139"/>
        <v>92</v>
      </c>
      <c r="AJ64" s="126">
        <f t="shared" si="139"/>
        <v>93.5</v>
      </c>
      <c r="AK64" s="126">
        <f t="shared" si="139"/>
        <v>95</v>
      </c>
      <c r="AL64" s="126">
        <f t="shared" si="139"/>
        <v>98</v>
      </c>
      <c r="AM64" s="126">
        <f t="shared" si="139"/>
        <v>99</v>
      </c>
      <c r="AN64" s="126">
        <f t="shared" si="139"/>
        <v>100</v>
      </c>
      <c r="AO64" s="126">
        <f t="shared" si="139"/>
        <v>100</v>
      </c>
      <c r="AP64" s="131"/>
      <c r="AQ64" s="132"/>
      <c r="AR64" s="104"/>
    </row>
    <row r="65" spans="1:44" x14ac:dyDescent="0.3">
      <c r="A65" s="976"/>
      <c r="B65" s="694" t="s">
        <v>268</v>
      </c>
      <c r="C65" s="139"/>
      <c r="D65" s="134"/>
      <c r="E65" s="134"/>
      <c r="F65" s="140"/>
      <c r="G65" s="136">
        <f>MEDIAN(G58:G59, G61:G63)</f>
        <v>1252.6706378771578</v>
      </c>
      <c r="H65" s="136">
        <f t="shared" ref="H65:M65" si="140">MEDIAN(H58:H59, H61:H63)</f>
        <v>1549.9853591784658</v>
      </c>
      <c r="I65" s="136">
        <f t="shared" si="140"/>
        <v>1344.0627818719449</v>
      </c>
      <c r="J65" s="136">
        <f t="shared" si="140"/>
        <v>938.54518150272463</v>
      </c>
      <c r="K65" s="136">
        <f t="shared" si="140"/>
        <v>819.83725414066873</v>
      </c>
      <c r="L65" s="136">
        <f t="shared" si="140"/>
        <v>682.07132747104083</v>
      </c>
      <c r="M65" s="136">
        <f t="shared" si="140"/>
        <v>651.40752718259773</v>
      </c>
      <c r="N65" s="135">
        <f>MEDIAN(N58:N63)</f>
        <v>66.84288969305274</v>
      </c>
      <c r="O65" s="136">
        <f t="shared" ref="O65:T65" si="141">MEDIAN(O58:O63)</f>
        <v>83.616872921618608</v>
      </c>
      <c r="P65" s="136">
        <f t="shared" si="141"/>
        <v>72.507992520672204</v>
      </c>
      <c r="Q65" s="136">
        <f t="shared" si="141"/>
        <v>50.631583523154298</v>
      </c>
      <c r="R65" s="136">
        <f t="shared" si="141"/>
        <v>44.227661306571036</v>
      </c>
      <c r="S65" s="136">
        <f t="shared" si="141"/>
        <v>36.467853144786382</v>
      </c>
      <c r="T65" s="136">
        <f t="shared" si="141"/>
        <v>27.04</v>
      </c>
      <c r="U65" s="139"/>
      <c r="V65" s="134"/>
      <c r="W65" s="134"/>
      <c r="X65" s="134"/>
      <c r="Y65" s="136"/>
      <c r="Z65" s="134"/>
      <c r="AA65" s="136"/>
      <c r="AB65" s="139">
        <f t="shared" ref="AB65:AO65" si="142">MEDIAN(AB58:AB63)</f>
        <v>25</v>
      </c>
      <c r="AC65" s="134">
        <f t="shared" si="142"/>
        <v>25</v>
      </c>
      <c r="AD65" s="134">
        <f t="shared" si="142"/>
        <v>25</v>
      </c>
      <c r="AE65" s="134">
        <f t="shared" si="142"/>
        <v>25</v>
      </c>
      <c r="AF65" s="644">
        <f t="shared" si="142"/>
        <v>25</v>
      </c>
      <c r="AG65" s="644">
        <f t="shared" si="142"/>
        <v>25</v>
      </c>
      <c r="AH65" s="644">
        <f t="shared" si="142"/>
        <v>25</v>
      </c>
      <c r="AI65" s="139">
        <f t="shared" si="142"/>
        <v>92</v>
      </c>
      <c r="AJ65" s="134">
        <f t="shared" si="142"/>
        <v>93.5</v>
      </c>
      <c r="AK65" s="134">
        <f t="shared" si="142"/>
        <v>95</v>
      </c>
      <c r="AL65" s="134">
        <f t="shared" si="142"/>
        <v>98</v>
      </c>
      <c r="AM65" s="134">
        <f t="shared" si="142"/>
        <v>99</v>
      </c>
      <c r="AN65" s="134">
        <f t="shared" si="142"/>
        <v>100</v>
      </c>
      <c r="AO65" s="134">
        <f t="shared" si="142"/>
        <v>100</v>
      </c>
      <c r="AP65" s="139"/>
      <c r="AQ65" s="140"/>
      <c r="AR65" s="104"/>
    </row>
    <row r="66" spans="1:44" x14ac:dyDescent="0.3">
      <c r="A66" s="976"/>
      <c r="B66" s="695" t="s">
        <v>269</v>
      </c>
      <c r="C66" s="139"/>
      <c r="D66" s="134"/>
      <c r="E66" s="134"/>
      <c r="F66" s="140"/>
      <c r="G66" s="143">
        <f>MAX(G58:G59, G61:G63)</f>
        <v>4788.2810518305578</v>
      </c>
      <c r="H66" s="143">
        <f t="shared" ref="H66:M66" si="143">MAX(H58:H59, H61:H63)</f>
        <v>3951.5092584763679</v>
      </c>
      <c r="I66" s="143">
        <f t="shared" si="143"/>
        <v>3114.737465122178</v>
      </c>
      <c r="J66" s="143">
        <f t="shared" si="143"/>
        <v>1441.1938784137988</v>
      </c>
      <c r="K66" s="143">
        <f t="shared" si="143"/>
        <v>1141.4982666779401</v>
      </c>
      <c r="L66" s="143">
        <f t="shared" si="143"/>
        <v>892.07010193804922</v>
      </c>
      <c r="M66" s="143">
        <f t="shared" si="143"/>
        <v>841.80265494208163</v>
      </c>
      <c r="N66" s="591">
        <f>MAX(N58:N63)</f>
        <v>258.31281944245131</v>
      </c>
      <c r="O66" s="143">
        <f t="shared" ref="O66:T66" si="144">MAX(O58:O63)</f>
        <v>213.17159259474917</v>
      </c>
      <c r="P66" s="143">
        <f t="shared" si="144"/>
        <v>168.03036574704703</v>
      </c>
      <c r="Q66" s="143">
        <f t="shared" si="144"/>
        <v>77.747912051642757</v>
      </c>
      <c r="R66" s="143">
        <f t="shared" si="144"/>
        <v>61.580269090830335</v>
      </c>
      <c r="S66" s="143">
        <f t="shared" si="144"/>
        <v>48.124398020420706</v>
      </c>
      <c r="T66" s="143">
        <f t="shared" si="144"/>
        <v>42.104193470535755</v>
      </c>
      <c r="U66" s="145"/>
      <c r="V66" s="142"/>
      <c r="W66" s="142"/>
      <c r="X66" s="142"/>
      <c r="Y66" s="143"/>
      <c r="Z66" s="142"/>
      <c r="AA66" s="143"/>
      <c r="AB66" s="145">
        <f t="shared" ref="AB66:AO66" si="145">MAX(AB58:AB63)</f>
        <v>30</v>
      </c>
      <c r="AC66" s="142">
        <f t="shared" si="145"/>
        <v>30</v>
      </c>
      <c r="AD66" s="142">
        <f t="shared" si="145"/>
        <v>30</v>
      </c>
      <c r="AE66" s="142">
        <f t="shared" si="145"/>
        <v>30</v>
      </c>
      <c r="AF66" s="647">
        <f t="shared" si="145"/>
        <v>30</v>
      </c>
      <c r="AG66" s="647">
        <f t="shared" si="145"/>
        <v>30</v>
      </c>
      <c r="AH66" s="647">
        <f t="shared" si="145"/>
        <v>30</v>
      </c>
      <c r="AI66" s="145">
        <f t="shared" si="145"/>
        <v>92</v>
      </c>
      <c r="AJ66" s="142">
        <f t="shared" si="145"/>
        <v>93.5</v>
      </c>
      <c r="AK66" s="142">
        <f t="shared" si="145"/>
        <v>95</v>
      </c>
      <c r="AL66" s="142">
        <f t="shared" si="145"/>
        <v>98</v>
      </c>
      <c r="AM66" s="142">
        <f t="shared" si="145"/>
        <v>99</v>
      </c>
      <c r="AN66" s="142">
        <f t="shared" si="145"/>
        <v>100</v>
      </c>
      <c r="AO66" s="142">
        <f t="shared" si="145"/>
        <v>100</v>
      </c>
      <c r="AP66" s="145"/>
      <c r="AQ66" s="146"/>
      <c r="AR66" s="104"/>
    </row>
    <row r="67" spans="1:44" ht="14.4" customHeight="1" x14ac:dyDescent="0.3">
      <c r="A67" s="976"/>
      <c r="B67" s="986" t="s">
        <v>388</v>
      </c>
      <c r="C67" s="687">
        <v>11</v>
      </c>
      <c r="D67" s="90" t="s">
        <v>57</v>
      </c>
      <c r="E67" s="90">
        <v>2022</v>
      </c>
      <c r="F67" s="688" t="s">
        <v>19</v>
      </c>
      <c r="G67" s="93">
        <f t="shared" ref="G67:G68" si="146">H67+((I67-H67)/(2030-2025))*(2020-2025)</f>
        <v>490.99518051915112</v>
      </c>
      <c r="H67" s="93">
        <f t="shared" ref="H67:H68" si="147">I67+((J67-I67)/(2040-2030))*(2025-2030)</f>
        <v>400.0591866069164</v>
      </c>
      <c r="I67" s="94">
        <f>(365.6)/1.1827</f>
        <v>309.12319269468168</v>
      </c>
      <c r="J67" s="94">
        <f>(150.5)/1.1827</f>
        <v>127.25120487021222</v>
      </c>
      <c r="K67" s="93">
        <f t="shared" ref="K67:K68" si="148">J67+((L67-J67)/(2050-2040))*(2045-2040)</f>
        <v>89.160395704743379</v>
      </c>
      <c r="L67" s="94">
        <f>(60.4)/1.1827</f>
        <v>51.069586539274539</v>
      </c>
      <c r="M67" s="93">
        <v>51.07</v>
      </c>
      <c r="N67" s="92">
        <f t="shared" ref="N67:N68" si="149">O67+((P67-O67)/(2030-2025))*(2020-2025)</f>
        <v>19.865743265644891</v>
      </c>
      <c r="O67" s="93">
        <f t="shared" ref="O67:O68" si="150">P67+((Q67-P67)/(2040-2030))*(2025-2030)</f>
        <v>16.186458457275496</v>
      </c>
      <c r="P67" s="94">
        <f>I67*0.03*$BE$5</f>
        <v>12.5071736489061</v>
      </c>
      <c r="Q67" s="94">
        <f>J67*0.03*$BE$5</f>
        <v>5.1486040321673086</v>
      </c>
      <c r="R67" s="107">
        <f t="shared" ref="R67:R68" si="151">Q67+((S67-Q67)/(2050-2040))*(2045-2040)</f>
        <v>3.6074438218740377</v>
      </c>
      <c r="S67" s="94">
        <f>L67*0.03*$BE$5</f>
        <v>2.0662836115807668</v>
      </c>
      <c r="T67" s="93">
        <v>1.53</v>
      </c>
      <c r="U67" s="96"/>
      <c r="V67" s="97"/>
      <c r="W67" s="97"/>
      <c r="X67" s="97"/>
      <c r="Y67" s="94"/>
      <c r="Z67" s="97"/>
      <c r="AA67" s="94"/>
      <c r="AB67" s="96"/>
      <c r="AC67" s="97"/>
      <c r="AD67" s="97"/>
      <c r="AE67" s="97"/>
      <c r="AF67" s="102"/>
      <c r="AG67" s="102"/>
      <c r="AH67" s="102"/>
      <c r="AI67" s="92">
        <f t="shared" ref="AI67:AI68" si="152">AJ67+((AK67-AJ67)/(2030-2025))*(2020-2025)</f>
        <v>98</v>
      </c>
      <c r="AJ67" s="100">
        <f t="shared" ref="AJ67:AJ68" si="153">AK67+((AL67-AK67)/(2040-2030))*(2025-2030)</f>
        <v>98</v>
      </c>
      <c r="AK67" s="97">
        <v>98</v>
      </c>
      <c r="AL67" s="97">
        <v>98</v>
      </c>
      <c r="AM67" s="101">
        <f t="shared" ref="AM67:AM68" si="154">AL67+((AN67-AL67)/(2050-2040))*(2045-2040)</f>
        <v>98</v>
      </c>
      <c r="AN67" s="97">
        <v>98</v>
      </c>
      <c r="AO67" s="101">
        <f t="shared" ref="AO67:AO68" si="155">AM67+((AN67-AM67)/(2050-2045))*(2060-2045)</f>
        <v>98</v>
      </c>
      <c r="AP67" s="96"/>
      <c r="AQ67" s="43"/>
      <c r="AR67" s="104" t="s">
        <v>386</v>
      </c>
    </row>
    <row r="68" spans="1:44" x14ac:dyDescent="0.3">
      <c r="A68" s="976"/>
      <c r="B68" s="985"/>
      <c r="C68" s="691">
        <v>11</v>
      </c>
      <c r="D68" s="120" t="s">
        <v>57</v>
      </c>
      <c r="E68" s="120">
        <v>2022</v>
      </c>
      <c r="F68" s="692" t="s">
        <v>19</v>
      </c>
      <c r="G68" s="122">
        <f t="shared" si="146"/>
        <v>1253.4877821932864</v>
      </c>
      <c r="H68" s="122">
        <f t="shared" si="147"/>
        <v>1021.3071784898958</v>
      </c>
      <c r="I68" s="121">
        <f>(933.3)/1.1827</f>
        <v>789.12657478650533</v>
      </c>
      <c r="J68" s="121">
        <f>(384.1)/1.1827</f>
        <v>324.76536737972435</v>
      </c>
      <c r="K68" s="122">
        <f t="shared" si="148"/>
        <v>242.91874524393336</v>
      </c>
      <c r="L68" s="121">
        <f>(190.5)/1.1827</f>
        <v>161.07212310814236</v>
      </c>
      <c r="M68" s="122">
        <v>161.07</v>
      </c>
      <c r="N68" s="607">
        <f t="shared" si="149"/>
        <v>67.621753955154233</v>
      </c>
      <c r="O68" s="122">
        <f t="shared" si="150"/>
        <v>55.096334976344551</v>
      </c>
      <c r="P68" s="121">
        <f>I68*0.04*$BE$5</f>
        <v>42.570915997534868</v>
      </c>
      <c r="Q68" s="121">
        <f>J68*0.04*$BE$5</f>
        <v>17.520078039915511</v>
      </c>
      <c r="R68" s="122">
        <f t="shared" si="151"/>
        <v>13.104708203248441</v>
      </c>
      <c r="S68" s="121">
        <f>L68*0.04*$BE$5</f>
        <v>8.6893383665813708</v>
      </c>
      <c r="T68" s="122">
        <v>6.44</v>
      </c>
      <c r="U68" s="123"/>
      <c r="V68" s="124"/>
      <c r="W68" s="124"/>
      <c r="X68" s="124"/>
      <c r="Y68" s="121"/>
      <c r="Z68" s="124"/>
      <c r="AA68" s="121"/>
      <c r="AB68" s="123"/>
      <c r="AC68" s="124"/>
      <c r="AD68" s="124"/>
      <c r="AE68" s="124"/>
      <c r="AF68" s="639"/>
      <c r="AG68" s="639"/>
      <c r="AH68" s="639"/>
      <c r="AI68" s="607">
        <f t="shared" si="152"/>
        <v>98</v>
      </c>
      <c r="AJ68" s="306">
        <f t="shared" si="153"/>
        <v>98</v>
      </c>
      <c r="AK68" s="124">
        <v>98</v>
      </c>
      <c r="AL68" s="124">
        <v>98</v>
      </c>
      <c r="AM68" s="386">
        <f t="shared" si="154"/>
        <v>98</v>
      </c>
      <c r="AN68" s="124">
        <v>98</v>
      </c>
      <c r="AO68" s="386">
        <f t="shared" si="155"/>
        <v>98</v>
      </c>
      <c r="AP68" s="123"/>
      <c r="AQ68" s="51"/>
      <c r="AR68" s="116" t="s">
        <v>387</v>
      </c>
    </row>
    <row r="69" spans="1:44" x14ac:dyDescent="0.3">
      <c r="A69" s="976"/>
      <c r="B69" s="693" t="s">
        <v>267</v>
      </c>
      <c r="C69" s="139"/>
      <c r="D69" s="134"/>
      <c r="E69" s="134"/>
      <c r="F69" s="140"/>
      <c r="G69" s="128">
        <f>MIN(G67:G68)</f>
        <v>490.99518051915112</v>
      </c>
      <c r="H69" s="126">
        <f t="shared" ref="H69:T69" si="156">MIN(H67:H68)</f>
        <v>400.0591866069164</v>
      </c>
      <c r="I69" s="128">
        <f t="shared" si="156"/>
        <v>309.12319269468168</v>
      </c>
      <c r="J69" s="128">
        <f t="shared" si="156"/>
        <v>127.25120487021222</v>
      </c>
      <c r="K69" s="128">
        <f t="shared" si="156"/>
        <v>89.160395704743379</v>
      </c>
      <c r="L69" s="128">
        <f t="shared" si="156"/>
        <v>51.069586539274539</v>
      </c>
      <c r="M69" s="128">
        <f t="shared" si="156"/>
        <v>51.07</v>
      </c>
      <c r="N69" s="127">
        <f t="shared" si="156"/>
        <v>19.865743265644891</v>
      </c>
      <c r="O69" s="128">
        <f t="shared" si="156"/>
        <v>16.186458457275496</v>
      </c>
      <c r="P69" s="128">
        <f t="shared" si="156"/>
        <v>12.5071736489061</v>
      </c>
      <c r="Q69" s="128">
        <f t="shared" si="156"/>
        <v>5.1486040321673086</v>
      </c>
      <c r="R69" s="128">
        <f t="shared" si="156"/>
        <v>3.6074438218740377</v>
      </c>
      <c r="S69" s="128">
        <f t="shared" si="156"/>
        <v>2.0662836115807668</v>
      </c>
      <c r="T69" s="128">
        <f t="shared" si="156"/>
        <v>1.53</v>
      </c>
      <c r="U69" s="131"/>
      <c r="V69" s="126"/>
      <c r="W69" s="126"/>
      <c r="X69" s="126"/>
      <c r="Y69" s="128"/>
      <c r="Z69" s="126"/>
      <c r="AA69" s="128"/>
      <c r="AB69" s="131"/>
      <c r="AC69" s="126"/>
      <c r="AD69" s="126"/>
      <c r="AE69" s="126"/>
      <c r="AF69" s="641"/>
      <c r="AG69" s="641"/>
      <c r="AH69" s="641"/>
      <c r="AI69" s="131">
        <f t="shared" ref="AI69:AO69" si="157">MIN(AI67:AI68)</f>
        <v>98</v>
      </c>
      <c r="AJ69" s="126">
        <f t="shared" si="157"/>
        <v>98</v>
      </c>
      <c r="AK69" s="126">
        <f t="shared" si="157"/>
        <v>98</v>
      </c>
      <c r="AL69" s="126">
        <f t="shared" si="157"/>
        <v>98</v>
      </c>
      <c r="AM69" s="126">
        <f t="shared" si="157"/>
        <v>98</v>
      </c>
      <c r="AN69" s="126">
        <f t="shared" si="157"/>
        <v>98</v>
      </c>
      <c r="AO69" s="126">
        <f t="shared" si="157"/>
        <v>98</v>
      </c>
      <c r="AP69" s="131"/>
      <c r="AQ69" s="132"/>
      <c r="AR69" s="104"/>
    </row>
    <row r="70" spans="1:44" x14ac:dyDescent="0.3">
      <c r="A70" s="976"/>
      <c r="B70" s="694" t="s">
        <v>268</v>
      </c>
      <c r="C70" s="139"/>
      <c r="D70" s="134"/>
      <c r="E70" s="134"/>
      <c r="F70" s="140"/>
      <c r="G70" s="136">
        <f>MEDIAN(G67:G68)</f>
        <v>872.24148135621886</v>
      </c>
      <c r="H70" s="134">
        <f t="shared" ref="H70:T70" si="158">MEDIAN(H67:H68)</f>
        <v>710.68318254840619</v>
      </c>
      <c r="I70" s="136">
        <f t="shared" si="158"/>
        <v>549.12488374059353</v>
      </c>
      <c r="J70" s="136">
        <f t="shared" si="158"/>
        <v>226.00828612496827</v>
      </c>
      <c r="K70" s="136">
        <f t="shared" si="158"/>
        <v>166.03957047433835</v>
      </c>
      <c r="L70" s="136">
        <f t="shared" si="158"/>
        <v>106.07085482370846</v>
      </c>
      <c r="M70" s="136">
        <f t="shared" si="158"/>
        <v>106.07</v>
      </c>
      <c r="N70" s="135">
        <f t="shared" si="158"/>
        <v>43.743748610399564</v>
      </c>
      <c r="O70" s="136">
        <f t="shared" si="158"/>
        <v>35.641396716810021</v>
      </c>
      <c r="P70" s="136">
        <f t="shared" si="158"/>
        <v>27.539044823220486</v>
      </c>
      <c r="Q70" s="136">
        <f t="shared" si="158"/>
        <v>11.334341036041408</v>
      </c>
      <c r="R70" s="136">
        <f t="shared" si="158"/>
        <v>8.356076012561239</v>
      </c>
      <c r="S70" s="136">
        <f t="shared" si="158"/>
        <v>5.3778109890810688</v>
      </c>
      <c r="T70" s="136">
        <f t="shared" si="158"/>
        <v>3.9850000000000003</v>
      </c>
      <c r="U70" s="139"/>
      <c r="V70" s="134"/>
      <c r="W70" s="134"/>
      <c r="X70" s="134"/>
      <c r="Y70" s="136"/>
      <c r="Z70" s="134"/>
      <c r="AA70" s="136"/>
      <c r="AB70" s="139"/>
      <c r="AC70" s="134"/>
      <c r="AD70" s="134"/>
      <c r="AE70" s="134"/>
      <c r="AF70" s="644"/>
      <c r="AG70" s="644"/>
      <c r="AH70" s="644"/>
      <c r="AI70" s="139">
        <f t="shared" ref="AI70:AO70" si="159">MEDIAN(AI67:AI68)</f>
        <v>98</v>
      </c>
      <c r="AJ70" s="134">
        <f t="shared" si="159"/>
        <v>98</v>
      </c>
      <c r="AK70" s="134">
        <f t="shared" si="159"/>
        <v>98</v>
      </c>
      <c r="AL70" s="134">
        <f t="shared" si="159"/>
        <v>98</v>
      </c>
      <c r="AM70" s="134">
        <f t="shared" si="159"/>
        <v>98</v>
      </c>
      <c r="AN70" s="134">
        <f t="shared" si="159"/>
        <v>98</v>
      </c>
      <c r="AO70" s="134">
        <f t="shared" si="159"/>
        <v>98</v>
      </c>
      <c r="AP70" s="139"/>
      <c r="AQ70" s="140"/>
      <c r="AR70" s="104"/>
    </row>
    <row r="71" spans="1:44" x14ac:dyDescent="0.3">
      <c r="A71" s="976"/>
      <c r="B71" s="695" t="s">
        <v>269</v>
      </c>
      <c r="C71" s="139"/>
      <c r="D71" s="134"/>
      <c r="E71" s="134"/>
      <c r="F71" s="140"/>
      <c r="G71" s="143">
        <f>MAX(G67:G68)</f>
        <v>1253.4877821932864</v>
      </c>
      <c r="H71" s="142">
        <f t="shared" ref="H71:T71" si="160">MAX(H67:H68)</f>
        <v>1021.3071784898958</v>
      </c>
      <c r="I71" s="143">
        <f t="shared" si="160"/>
        <v>789.12657478650533</v>
      </c>
      <c r="J71" s="143">
        <f t="shared" si="160"/>
        <v>324.76536737972435</v>
      </c>
      <c r="K71" s="143">
        <f t="shared" si="160"/>
        <v>242.91874524393336</v>
      </c>
      <c r="L71" s="143">
        <f t="shared" si="160"/>
        <v>161.07212310814236</v>
      </c>
      <c r="M71" s="143">
        <f t="shared" si="160"/>
        <v>161.07</v>
      </c>
      <c r="N71" s="591">
        <f t="shared" si="160"/>
        <v>67.621753955154233</v>
      </c>
      <c r="O71" s="143">
        <f t="shared" si="160"/>
        <v>55.096334976344551</v>
      </c>
      <c r="P71" s="143">
        <f t="shared" si="160"/>
        <v>42.570915997534868</v>
      </c>
      <c r="Q71" s="143">
        <f t="shared" si="160"/>
        <v>17.520078039915511</v>
      </c>
      <c r="R71" s="143">
        <f t="shared" si="160"/>
        <v>13.104708203248441</v>
      </c>
      <c r="S71" s="143">
        <f t="shared" si="160"/>
        <v>8.6893383665813708</v>
      </c>
      <c r="T71" s="143">
        <f t="shared" si="160"/>
        <v>6.44</v>
      </c>
      <c r="U71" s="145"/>
      <c r="V71" s="142"/>
      <c r="W71" s="142"/>
      <c r="X71" s="142"/>
      <c r="Y71" s="143"/>
      <c r="Z71" s="142"/>
      <c r="AA71" s="143"/>
      <c r="AB71" s="145"/>
      <c r="AC71" s="142"/>
      <c r="AD71" s="142"/>
      <c r="AE71" s="142"/>
      <c r="AF71" s="647"/>
      <c r="AG71" s="647"/>
      <c r="AH71" s="647"/>
      <c r="AI71" s="145">
        <f t="shared" ref="AI71:AO71" si="161">MAX(AI67:AI68)</f>
        <v>98</v>
      </c>
      <c r="AJ71" s="142">
        <f t="shared" si="161"/>
        <v>98</v>
      </c>
      <c r="AK71" s="142">
        <f t="shared" si="161"/>
        <v>98</v>
      </c>
      <c r="AL71" s="142">
        <f t="shared" si="161"/>
        <v>98</v>
      </c>
      <c r="AM71" s="142">
        <f t="shared" si="161"/>
        <v>98</v>
      </c>
      <c r="AN71" s="142">
        <f t="shared" si="161"/>
        <v>98</v>
      </c>
      <c r="AO71" s="142">
        <f t="shared" si="161"/>
        <v>98</v>
      </c>
      <c r="AP71" s="145"/>
      <c r="AQ71" s="146"/>
      <c r="AR71" s="104"/>
    </row>
    <row r="72" spans="1:44" ht="15" customHeight="1" x14ac:dyDescent="0.3">
      <c r="A72" s="976"/>
      <c r="B72" s="987" t="s">
        <v>389</v>
      </c>
      <c r="C72" s="150">
        <v>4</v>
      </c>
      <c r="D72" s="147" t="s">
        <v>31</v>
      </c>
      <c r="E72" s="147">
        <v>2022</v>
      </c>
      <c r="F72" s="696" t="s">
        <v>19</v>
      </c>
      <c r="G72" s="149">
        <f>718.95</f>
        <v>718.95</v>
      </c>
      <c r="H72" s="149">
        <f>673.78</f>
        <v>673.78</v>
      </c>
      <c r="I72" s="149">
        <f>628.6</f>
        <v>628.6</v>
      </c>
      <c r="J72" s="149">
        <f>554.59</f>
        <v>554.59</v>
      </c>
      <c r="K72" s="149">
        <f>517.59</f>
        <v>517.59</v>
      </c>
      <c r="L72" s="149">
        <f>480.58</f>
        <v>480.58</v>
      </c>
      <c r="M72" s="93">
        <f>K72+((L72-K72)/(2050-2045))*(2060-2045)</f>
        <v>406.55999999999989</v>
      </c>
      <c r="N72" s="464">
        <f t="shared" ref="N72:S72" si="162">G72*0.03*$BE$5</f>
        <v>29.088831596542143</v>
      </c>
      <c r="O72" s="149">
        <f t="shared" si="162"/>
        <v>27.261246196700974</v>
      </c>
      <c r="P72" s="149">
        <f t="shared" si="162"/>
        <v>25.433256195265862</v>
      </c>
      <c r="Q72" s="149">
        <f t="shared" si="162"/>
        <v>22.438799798492671</v>
      </c>
      <c r="R72" s="149">
        <f t="shared" si="162"/>
        <v>20.941773900903051</v>
      </c>
      <c r="S72" s="149">
        <f t="shared" si="162"/>
        <v>19.444343401719483</v>
      </c>
      <c r="T72" s="93">
        <f>R72+((S72-R72)/(2050-2045))*(2060-2045)</f>
        <v>16.449482403352345</v>
      </c>
      <c r="U72" s="150"/>
      <c r="V72" s="147"/>
      <c r="W72" s="147"/>
      <c r="X72" s="147"/>
      <c r="Y72" s="149"/>
      <c r="Z72" s="147"/>
      <c r="AA72" s="149"/>
      <c r="AB72" s="150">
        <v>20</v>
      </c>
      <c r="AC72" s="147">
        <v>20</v>
      </c>
      <c r="AD72" s="147">
        <v>20</v>
      </c>
      <c r="AE72" s="147">
        <v>20</v>
      </c>
      <c r="AF72" s="697">
        <v>20</v>
      </c>
      <c r="AG72" s="697">
        <v>20</v>
      </c>
      <c r="AH72" s="101">
        <f>AF72+((AG72-AF72)/(2050-2045))*(2060-2045)</f>
        <v>20</v>
      </c>
      <c r="AI72" s="150">
        <v>80</v>
      </c>
      <c r="AJ72" s="147">
        <v>80</v>
      </c>
      <c r="AK72" s="147">
        <v>80</v>
      </c>
      <c r="AL72" s="147">
        <v>80</v>
      </c>
      <c r="AM72" s="697">
        <v>80</v>
      </c>
      <c r="AN72" s="147">
        <v>80</v>
      </c>
      <c r="AO72" s="101">
        <f>AM72+((AN72-AM72)/(2050-2045))*(2060-2045)</f>
        <v>80</v>
      </c>
      <c r="AP72" s="150"/>
      <c r="AQ72" s="152"/>
      <c r="AR72" s="104"/>
    </row>
    <row r="73" spans="1:44" x14ac:dyDescent="0.3">
      <c r="A73" s="976"/>
      <c r="B73" s="988"/>
      <c r="C73" s="155">
        <v>9</v>
      </c>
      <c r="D73" s="153" t="s">
        <v>50</v>
      </c>
      <c r="E73" s="153">
        <v>2021</v>
      </c>
      <c r="F73" s="698" t="s">
        <v>19</v>
      </c>
      <c r="G73" s="154">
        <v>600</v>
      </c>
      <c r="H73" s="107">
        <f t="shared" ref="H73:H74" si="163">G73+((I73-G73)/(2030-2020))*(2025-2020)</f>
        <v>541.66666666666674</v>
      </c>
      <c r="I73" s="107">
        <f>G73+((L73-G73)/(2050-2020))*(2030-2020)</f>
        <v>483.33333333333337</v>
      </c>
      <c r="J73" s="107">
        <f t="shared" ref="J73:J74" si="164">I73+((L73-I73)/(2050-2030))*(2040-2030)</f>
        <v>366.66666666666669</v>
      </c>
      <c r="K73" s="107">
        <f t="shared" ref="K73:K74" si="165">J73+((L73-J73)/(2050-2040))*(2045-2040)</f>
        <v>308.33333333333337</v>
      </c>
      <c r="L73" s="154">
        <v>250</v>
      </c>
      <c r="M73" s="107">
        <v>250</v>
      </c>
      <c r="N73" s="158">
        <f>18*$BE$5</f>
        <v>24.276095636588476</v>
      </c>
      <c r="O73" s="107">
        <f t="shared" ref="O73:O74" si="166">N73+((P73-N73)/(2030-2020))*(2025-2020)</f>
        <v>22.028309003571025</v>
      </c>
      <c r="P73" s="107">
        <f>N73+((S73-N73)/(2050-2020))*(2030-2020)</f>
        <v>19.780522370553573</v>
      </c>
      <c r="Q73" s="107">
        <f t="shared" ref="Q73:Q74" si="167">P73+((S73-P73)/(2050-2030))*(2040-2030)</f>
        <v>15.28494910451867</v>
      </c>
      <c r="R73" s="107">
        <f t="shared" ref="R73:R74" si="168">Q73+((S73-Q73)/(2050-2040))*(2045-2040)</f>
        <v>13.037162471501219</v>
      </c>
      <c r="S73" s="154">
        <f>8*$BE$5</f>
        <v>10.789375838483767</v>
      </c>
      <c r="T73" s="107">
        <v>8</v>
      </c>
      <c r="U73" s="155"/>
      <c r="V73" s="153"/>
      <c r="W73" s="153"/>
      <c r="X73" s="153"/>
      <c r="Y73" s="154"/>
      <c r="Z73" s="153"/>
      <c r="AA73" s="154"/>
      <c r="AB73" s="155"/>
      <c r="AC73" s="153"/>
      <c r="AD73" s="153"/>
      <c r="AE73" s="153"/>
      <c r="AF73" s="161"/>
      <c r="AG73" s="161"/>
      <c r="AH73" s="161"/>
      <c r="AI73" s="155"/>
      <c r="AJ73" s="153"/>
      <c r="AK73" s="153"/>
      <c r="AL73" s="153"/>
      <c r="AM73" s="161"/>
      <c r="AN73" s="153"/>
      <c r="AO73" s="161"/>
      <c r="AP73" s="155"/>
      <c r="AQ73" s="157"/>
      <c r="AR73" s="104"/>
    </row>
    <row r="74" spans="1:44" x14ac:dyDescent="0.3">
      <c r="A74" s="976"/>
      <c r="B74" s="988"/>
      <c r="C74" s="155">
        <v>2</v>
      </c>
      <c r="D74" s="153" t="s">
        <v>23</v>
      </c>
      <c r="E74" s="153">
        <v>2019</v>
      </c>
      <c r="F74" s="698" t="s">
        <v>19</v>
      </c>
      <c r="G74" s="154">
        <f>845/1.1297</f>
        <v>747.98619102416581</v>
      </c>
      <c r="H74" s="107">
        <f t="shared" si="163"/>
        <v>699.30069930069931</v>
      </c>
      <c r="I74" s="154">
        <f>735/1.1297</f>
        <v>650.61520757723292</v>
      </c>
      <c r="J74" s="107">
        <f t="shared" si="164"/>
        <v>575.37399309551211</v>
      </c>
      <c r="K74" s="107">
        <f t="shared" si="165"/>
        <v>537.7533858546517</v>
      </c>
      <c r="L74" s="154">
        <f>565/1.1297</f>
        <v>500.13277861379129</v>
      </c>
      <c r="M74" s="107">
        <f>K74+((L74-K74)/(2050-2045))*(2060-2045)</f>
        <v>424.89156413207047</v>
      </c>
      <c r="N74" s="158">
        <f>G74*0.04*$BE$5</f>
        <v>40.351520684778194</v>
      </c>
      <c r="O74" s="107">
        <f t="shared" si="166"/>
        <v>37.725090344348843</v>
      </c>
      <c r="P74" s="154">
        <f>I74*0.04*$BE$5</f>
        <v>35.098660003919491</v>
      </c>
      <c r="Q74" s="107">
        <f t="shared" si="167"/>
        <v>31.03963129598322</v>
      </c>
      <c r="R74" s="107">
        <f t="shared" si="168"/>
        <v>29.010116942015088</v>
      </c>
      <c r="S74" s="154">
        <f>L74*0.04*$BE$5</f>
        <v>26.980602588046953</v>
      </c>
      <c r="T74" s="107">
        <f>R74+((S74-R74)/(2050-2045))*(2060-2045)</f>
        <v>22.921573880110682</v>
      </c>
      <c r="U74" s="155"/>
      <c r="V74" s="153"/>
      <c r="W74" s="153"/>
      <c r="X74" s="153"/>
      <c r="Y74" s="154"/>
      <c r="Z74" s="153"/>
      <c r="AA74" s="154"/>
      <c r="AB74" s="155">
        <v>30</v>
      </c>
      <c r="AC74" s="297">
        <v>30</v>
      </c>
      <c r="AD74" s="153">
        <v>30</v>
      </c>
      <c r="AE74" s="297">
        <v>30</v>
      </c>
      <c r="AF74" s="378">
        <f>AE74+((AG74-AE74)/(2050-2040))*(2045-2040)</f>
        <v>30</v>
      </c>
      <c r="AG74" s="161">
        <v>30</v>
      </c>
      <c r="AH74" s="386">
        <f>AF74+((AG74-AF74)/(2050-2045))*(2060-2045)</f>
        <v>30</v>
      </c>
      <c r="AI74" s="155">
        <v>77</v>
      </c>
      <c r="AJ74" s="297">
        <v>77</v>
      </c>
      <c r="AK74" s="153">
        <v>77</v>
      </c>
      <c r="AL74" s="297">
        <v>77</v>
      </c>
      <c r="AM74" s="386">
        <f>AL74+((AN74-AL74)/(2050-2040))*(2045-2040)</f>
        <v>77</v>
      </c>
      <c r="AN74" s="153">
        <v>77</v>
      </c>
      <c r="AO74" s="378">
        <f>AM74+((AN74-AM74)/(2050-2045))*(2060-2045)</f>
        <v>77</v>
      </c>
      <c r="AP74" s="155"/>
      <c r="AQ74" s="157"/>
      <c r="AR74" s="104"/>
    </row>
    <row r="75" spans="1:44" x14ac:dyDescent="0.3">
      <c r="A75" s="976"/>
      <c r="B75" s="699" t="s">
        <v>267</v>
      </c>
      <c r="C75" s="175"/>
      <c r="D75" s="168"/>
      <c r="E75" s="168"/>
      <c r="F75" s="178"/>
      <c r="G75" s="170">
        <f t="shared" ref="G75:T75" si="169">MIN(G72:G74)</f>
        <v>600</v>
      </c>
      <c r="H75" s="170">
        <f t="shared" si="169"/>
        <v>541.66666666666674</v>
      </c>
      <c r="I75" s="170">
        <f t="shared" si="169"/>
        <v>483.33333333333337</v>
      </c>
      <c r="J75" s="170">
        <f t="shared" si="169"/>
        <v>366.66666666666669</v>
      </c>
      <c r="K75" s="170">
        <f t="shared" si="169"/>
        <v>308.33333333333337</v>
      </c>
      <c r="L75" s="170">
        <f t="shared" si="169"/>
        <v>250</v>
      </c>
      <c r="M75" s="170">
        <f t="shared" si="169"/>
        <v>250</v>
      </c>
      <c r="N75" s="169">
        <f t="shared" si="169"/>
        <v>24.276095636588476</v>
      </c>
      <c r="O75" s="170">
        <f t="shared" si="169"/>
        <v>22.028309003571025</v>
      </c>
      <c r="P75" s="170">
        <f t="shared" si="169"/>
        <v>19.780522370553573</v>
      </c>
      <c r="Q75" s="170">
        <f t="shared" si="169"/>
        <v>15.28494910451867</v>
      </c>
      <c r="R75" s="170">
        <f t="shared" si="169"/>
        <v>13.037162471501219</v>
      </c>
      <c r="S75" s="170">
        <f t="shared" si="169"/>
        <v>10.789375838483767</v>
      </c>
      <c r="T75" s="170">
        <f t="shared" si="169"/>
        <v>8</v>
      </c>
      <c r="U75" s="175"/>
      <c r="V75" s="168"/>
      <c r="W75" s="168"/>
      <c r="X75" s="168"/>
      <c r="Y75" s="170"/>
      <c r="Z75" s="168"/>
      <c r="AA75" s="170"/>
      <c r="AB75" s="175">
        <f t="shared" ref="AB75:AO75" si="170">MIN(AB72:AB74)</f>
        <v>20</v>
      </c>
      <c r="AC75" s="168">
        <f t="shared" si="170"/>
        <v>20</v>
      </c>
      <c r="AD75" s="168">
        <f t="shared" si="170"/>
        <v>20</v>
      </c>
      <c r="AE75" s="168">
        <f t="shared" si="170"/>
        <v>20</v>
      </c>
      <c r="AF75" s="176">
        <f t="shared" si="170"/>
        <v>20</v>
      </c>
      <c r="AG75" s="176">
        <f t="shared" si="170"/>
        <v>20</v>
      </c>
      <c r="AH75" s="176">
        <f t="shared" si="170"/>
        <v>20</v>
      </c>
      <c r="AI75" s="175">
        <f t="shared" si="170"/>
        <v>77</v>
      </c>
      <c r="AJ75" s="168">
        <f t="shared" si="170"/>
        <v>77</v>
      </c>
      <c r="AK75" s="168">
        <f t="shared" si="170"/>
        <v>77</v>
      </c>
      <c r="AL75" s="168">
        <f t="shared" si="170"/>
        <v>77</v>
      </c>
      <c r="AM75" s="168">
        <f t="shared" si="170"/>
        <v>77</v>
      </c>
      <c r="AN75" s="168">
        <f t="shared" si="170"/>
        <v>77</v>
      </c>
      <c r="AO75" s="168">
        <f t="shared" si="170"/>
        <v>77</v>
      </c>
      <c r="AP75" s="175"/>
      <c r="AQ75" s="178"/>
      <c r="AR75" s="104"/>
    </row>
    <row r="76" spans="1:44" x14ac:dyDescent="0.3">
      <c r="A76" s="976"/>
      <c r="B76" s="700" t="s">
        <v>268</v>
      </c>
      <c r="C76" s="187"/>
      <c r="D76" s="180"/>
      <c r="E76" s="180"/>
      <c r="F76" s="190"/>
      <c r="G76" s="182">
        <f t="shared" ref="G76:T76" si="171">MEDIAN(G72:G74)</f>
        <v>718.95</v>
      </c>
      <c r="H76" s="182">
        <f t="shared" si="171"/>
        <v>673.78</v>
      </c>
      <c r="I76" s="182">
        <f t="shared" si="171"/>
        <v>628.6</v>
      </c>
      <c r="J76" s="182">
        <f t="shared" si="171"/>
        <v>554.59</v>
      </c>
      <c r="K76" s="182">
        <f t="shared" si="171"/>
        <v>517.59</v>
      </c>
      <c r="L76" s="182">
        <f t="shared" si="171"/>
        <v>480.58</v>
      </c>
      <c r="M76" s="182">
        <f t="shared" si="171"/>
        <v>406.55999999999989</v>
      </c>
      <c r="N76" s="181">
        <f t="shared" si="171"/>
        <v>29.088831596542143</v>
      </c>
      <c r="O76" s="182">
        <f t="shared" si="171"/>
        <v>27.261246196700974</v>
      </c>
      <c r="P76" s="182">
        <f t="shared" si="171"/>
        <v>25.433256195265862</v>
      </c>
      <c r="Q76" s="182">
        <f t="shared" si="171"/>
        <v>22.438799798492671</v>
      </c>
      <c r="R76" s="182">
        <f t="shared" si="171"/>
        <v>20.941773900903051</v>
      </c>
      <c r="S76" s="182">
        <f t="shared" si="171"/>
        <v>19.444343401719483</v>
      </c>
      <c r="T76" s="182">
        <f t="shared" si="171"/>
        <v>16.449482403352345</v>
      </c>
      <c r="U76" s="187"/>
      <c r="V76" s="180"/>
      <c r="W76" s="180"/>
      <c r="X76" s="180"/>
      <c r="Y76" s="182"/>
      <c r="Z76" s="180"/>
      <c r="AA76" s="182"/>
      <c r="AB76" s="187">
        <f t="shared" ref="AB76:AO76" si="172">MEDIAN(AB72:AB74)</f>
        <v>25</v>
      </c>
      <c r="AC76" s="180">
        <f t="shared" si="172"/>
        <v>25</v>
      </c>
      <c r="AD76" s="180">
        <f t="shared" si="172"/>
        <v>25</v>
      </c>
      <c r="AE76" s="180">
        <f t="shared" si="172"/>
        <v>25</v>
      </c>
      <c r="AF76" s="199">
        <f t="shared" si="172"/>
        <v>25</v>
      </c>
      <c r="AG76" s="199">
        <f t="shared" si="172"/>
        <v>25</v>
      </c>
      <c r="AH76" s="199">
        <f t="shared" si="172"/>
        <v>25</v>
      </c>
      <c r="AI76" s="187">
        <f t="shared" si="172"/>
        <v>78.5</v>
      </c>
      <c r="AJ76" s="180">
        <f t="shared" si="172"/>
        <v>78.5</v>
      </c>
      <c r="AK76" s="180">
        <f t="shared" si="172"/>
        <v>78.5</v>
      </c>
      <c r="AL76" s="180">
        <f t="shared" si="172"/>
        <v>78.5</v>
      </c>
      <c r="AM76" s="180">
        <f t="shared" si="172"/>
        <v>78.5</v>
      </c>
      <c r="AN76" s="180">
        <f t="shared" si="172"/>
        <v>78.5</v>
      </c>
      <c r="AO76" s="180">
        <f t="shared" si="172"/>
        <v>78.5</v>
      </c>
      <c r="AP76" s="187"/>
      <c r="AQ76" s="190"/>
      <c r="AR76" s="104"/>
    </row>
    <row r="77" spans="1:44" x14ac:dyDescent="0.3">
      <c r="A77" s="976"/>
      <c r="B77" s="701" t="s">
        <v>269</v>
      </c>
      <c r="C77" s="198"/>
      <c r="D77" s="192"/>
      <c r="E77" s="192"/>
      <c r="F77" s="201"/>
      <c r="G77" s="194">
        <f t="shared" ref="G77:T77" si="173">MAX(G72:G74)</f>
        <v>747.98619102416581</v>
      </c>
      <c r="H77" s="194">
        <f t="shared" si="173"/>
        <v>699.30069930069931</v>
      </c>
      <c r="I77" s="194">
        <f t="shared" si="173"/>
        <v>650.61520757723292</v>
      </c>
      <c r="J77" s="194">
        <f t="shared" si="173"/>
        <v>575.37399309551211</v>
      </c>
      <c r="K77" s="194">
        <f t="shared" si="173"/>
        <v>537.7533858546517</v>
      </c>
      <c r="L77" s="194">
        <f t="shared" si="173"/>
        <v>500.13277861379129</v>
      </c>
      <c r="M77" s="194">
        <f t="shared" si="173"/>
        <v>424.89156413207047</v>
      </c>
      <c r="N77" s="193">
        <f t="shared" si="173"/>
        <v>40.351520684778194</v>
      </c>
      <c r="O77" s="194">
        <f t="shared" si="173"/>
        <v>37.725090344348843</v>
      </c>
      <c r="P77" s="194">
        <f t="shared" si="173"/>
        <v>35.098660003919491</v>
      </c>
      <c r="Q77" s="194">
        <f t="shared" si="173"/>
        <v>31.03963129598322</v>
      </c>
      <c r="R77" s="194">
        <f t="shared" si="173"/>
        <v>29.010116942015088</v>
      </c>
      <c r="S77" s="194">
        <f t="shared" si="173"/>
        <v>26.980602588046953</v>
      </c>
      <c r="T77" s="194">
        <f t="shared" si="173"/>
        <v>22.921573880110682</v>
      </c>
      <c r="U77" s="198"/>
      <c r="V77" s="192"/>
      <c r="W77" s="192"/>
      <c r="X77" s="192"/>
      <c r="Y77" s="194"/>
      <c r="Z77" s="192"/>
      <c r="AA77" s="194"/>
      <c r="AB77" s="198">
        <f t="shared" ref="AB77:AO77" si="174">MAX(AB72:AB74)</f>
        <v>30</v>
      </c>
      <c r="AC77" s="192">
        <f t="shared" si="174"/>
        <v>30</v>
      </c>
      <c r="AD77" s="192">
        <f t="shared" si="174"/>
        <v>30</v>
      </c>
      <c r="AE77" s="192">
        <f t="shared" si="174"/>
        <v>30</v>
      </c>
      <c r="AF77" s="702">
        <f t="shared" si="174"/>
        <v>30</v>
      </c>
      <c r="AG77" s="702">
        <f t="shared" si="174"/>
        <v>30</v>
      </c>
      <c r="AH77" s="702">
        <f t="shared" si="174"/>
        <v>30</v>
      </c>
      <c r="AI77" s="198">
        <f t="shared" si="174"/>
        <v>80</v>
      </c>
      <c r="AJ77" s="192">
        <f t="shared" si="174"/>
        <v>80</v>
      </c>
      <c r="AK77" s="192">
        <f t="shared" si="174"/>
        <v>80</v>
      </c>
      <c r="AL77" s="192">
        <f t="shared" si="174"/>
        <v>80</v>
      </c>
      <c r="AM77" s="192">
        <f t="shared" si="174"/>
        <v>80</v>
      </c>
      <c r="AN77" s="192">
        <f t="shared" si="174"/>
        <v>80</v>
      </c>
      <c r="AO77" s="192">
        <f t="shared" si="174"/>
        <v>80</v>
      </c>
      <c r="AP77" s="198"/>
      <c r="AQ77" s="201"/>
      <c r="AR77" s="104"/>
    </row>
    <row r="78" spans="1:44" ht="15" customHeight="1" x14ac:dyDescent="0.3">
      <c r="A78" s="976"/>
      <c r="B78" s="989" t="s">
        <v>61</v>
      </c>
      <c r="C78" s="205">
        <v>2</v>
      </c>
      <c r="D78" s="202" t="s">
        <v>23</v>
      </c>
      <c r="E78" s="202">
        <v>2019</v>
      </c>
      <c r="F78" s="703" t="s">
        <v>19</v>
      </c>
      <c r="G78" s="204"/>
      <c r="H78" s="204"/>
      <c r="I78" s="204"/>
      <c r="J78" s="204"/>
      <c r="K78" s="204"/>
      <c r="L78" s="204"/>
      <c r="M78" s="204"/>
      <c r="N78" s="480">
        <f>G78*0.015*$BE$5</f>
        <v>0</v>
      </c>
      <c r="O78" s="93">
        <f t="shared" ref="O78:O80" si="175">P78+((Q78-P78)/(2040-2030))*(2025-2030)</f>
        <v>0</v>
      </c>
      <c r="P78" s="204">
        <f>I78*0.015*$BE$5</f>
        <v>0</v>
      </c>
      <c r="Q78" s="93">
        <f>S78+((U78-S78)/(2050-2030))*(2040-2030)</f>
        <v>0</v>
      </c>
      <c r="R78" s="93">
        <f t="shared" ref="R78:R80" si="176">Q78+((S78-Q78)/(2050-2040))*(2045-2040)</f>
        <v>0</v>
      </c>
      <c r="S78" s="204">
        <f>L78*0.015*$BE$5</f>
        <v>0</v>
      </c>
      <c r="T78" s="93">
        <f>R78+((S78-R78)/(2050-2045))*(2060-2045)</f>
        <v>0</v>
      </c>
      <c r="U78" s="205"/>
      <c r="V78" s="202"/>
      <c r="W78" s="202"/>
      <c r="X78" s="202"/>
      <c r="Y78" s="204"/>
      <c r="Z78" s="202"/>
      <c r="AA78" s="204"/>
      <c r="AB78" s="205"/>
      <c r="AC78" s="202"/>
      <c r="AD78" s="202"/>
      <c r="AE78" s="202"/>
      <c r="AF78" s="207"/>
      <c r="AG78" s="207"/>
      <c r="AH78" s="207"/>
      <c r="AI78" s="205"/>
      <c r="AJ78" s="202"/>
      <c r="AK78" s="202"/>
      <c r="AL78" s="202"/>
      <c r="AM78" s="204"/>
      <c r="AN78" s="202"/>
      <c r="AO78" s="207"/>
      <c r="AP78" s="205"/>
      <c r="AQ78" s="21"/>
      <c r="AR78" s="104"/>
    </row>
    <row r="79" spans="1:44" x14ac:dyDescent="0.3">
      <c r="A79" s="976"/>
      <c r="B79" s="990"/>
      <c r="C79" s="210">
        <v>11</v>
      </c>
      <c r="D79" s="208" t="s">
        <v>57</v>
      </c>
      <c r="E79" s="208">
        <v>2022</v>
      </c>
      <c r="F79" s="704" t="s">
        <v>19</v>
      </c>
      <c r="G79" s="107">
        <f t="shared" ref="G79:G80" si="177">H79+((I79-H79)/(2030-2025))*(2020-2025)</f>
        <v>1296.2712437642681</v>
      </c>
      <c r="H79" s="107">
        <f t="shared" ref="H79:H80" si="178">I79+((J79-I79)/(2040-2030))*(2025-2030)</f>
        <v>1065.4012006425974</v>
      </c>
      <c r="I79" s="209">
        <f>(987)/1.1827</f>
        <v>834.53115752092663</v>
      </c>
      <c r="J79" s="209">
        <f>(440.9)/1.1827</f>
        <v>372.79107127758516</v>
      </c>
      <c r="K79" s="107">
        <f t="shared" ref="K79:K80" si="179">J79+((L79-J79)/(2050-2040))*(2045-2040)</f>
        <v>310.13782024181955</v>
      </c>
      <c r="L79" s="209">
        <f>(292.7)/1.1827</f>
        <v>247.48456920605392</v>
      </c>
      <c r="M79" s="107">
        <v>247.48</v>
      </c>
      <c r="N79" s="106">
        <f t="shared" ref="N79:N80" si="180">O79+((P79-O79)/(2030-2025))*(2020-2025)</f>
        <v>34.964894093978742</v>
      </c>
      <c r="O79" s="107">
        <f t="shared" si="175"/>
        <v>28.73753493126209</v>
      </c>
      <c r="P79" s="209">
        <f t="shared" ref="P79:P80" si="181">I79*0.02*$BE$5</f>
        <v>22.510175768545441</v>
      </c>
      <c r="Q79" s="209">
        <f t="shared" ref="Q79:Q80" si="182">J79*0.02*$BE$5</f>
        <v>10.055457443112143</v>
      </c>
      <c r="R79" s="107">
        <f t="shared" si="176"/>
        <v>8.3654837607927739</v>
      </c>
      <c r="S79" s="209">
        <f t="shared" ref="S79:S80" si="183">L79*0.02*$BE$5</f>
        <v>6.6755100784734056</v>
      </c>
      <c r="T79" s="107">
        <v>4.95</v>
      </c>
      <c r="U79" s="210"/>
      <c r="V79" s="208"/>
      <c r="W79" s="208"/>
      <c r="X79" s="208"/>
      <c r="Y79" s="209"/>
      <c r="Z79" s="208"/>
      <c r="AA79" s="209"/>
      <c r="AB79" s="210"/>
      <c r="AC79" s="208"/>
      <c r="AD79" s="208"/>
      <c r="AE79" s="208"/>
      <c r="AF79" s="213"/>
      <c r="AG79" s="213"/>
      <c r="AH79" s="213"/>
      <c r="AI79" s="106">
        <f t="shared" ref="AI79:AI80" si="184">AJ79+((AK79-AJ79)/(2030-2025))*(2020-2025)</f>
        <v>88</v>
      </c>
      <c r="AJ79" s="297">
        <f t="shared" ref="AJ79:AJ80" si="185">AK79+((AL79-AK79)/(2040-2030))*(2025-2030)</f>
        <v>88</v>
      </c>
      <c r="AK79" s="208">
        <v>88</v>
      </c>
      <c r="AL79" s="208">
        <v>88</v>
      </c>
      <c r="AM79" s="378">
        <f t="shared" ref="AM79:AM80" si="186">AL79+((AN79-AL79)/(2050-2040))*(2045-2040)</f>
        <v>88</v>
      </c>
      <c r="AN79" s="208">
        <v>88</v>
      </c>
      <c r="AO79" s="378">
        <f t="shared" ref="AO79:AO80" si="187">AM79+((AN79-AM79)/(2050-2045))*(2060-2045)</f>
        <v>88</v>
      </c>
      <c r="AP79" s="210"/>
      <c r="AQ79" s="24"/>
      <c r="AR79" t="s">
        <v>390</v>
      </c>
    </row>
    <row r="80" spans="1:44" x14ac:dyDescent="0.3">
      <c r="A80" s="976"/>
      <c r="B80" s="990"/>
      <c r="C80" s="210">
        <v>11</v>
      </c>
      <c r="D80" s="208" t="s">
        <v>57</v>
      </c>
      <c r="E80" s="208">
        <v>2022</v>
      </c>
      <c r="F80" s="704" t="s">
        <v>19</v>
      </c>
      <c r="G80" s="107">
        <f t="shared" si="177"/>
        <v>2592.4579352329415</v>
      </c>
      <c r="H80" s="107">
        <f t="shared" si="178"/>
        <v>2130.7178489896</v>
      </c>
      <c r="I80" s="209">
        <f>(1973.9)/1.1827</f>
        <v>1668.9777627462586</v>
      </c>
      <c r="J80" s="209">
        <f>(881.7)/1.1827</f>
        <v>745.49759025957553</v>
      </c>
      <c r="K80" s="107">
        <f t="shared" si="179"/>
        <v>620.23336433584166</v>
      </c>
      <c r="L80" s="209">
        <f>(585.4)/1.1827</f>
        <v>494.96913841210784</v>
      </c>
      <c r="M80" s="107">
        <v>494.97</v>
      </c>
      <c r="N80" s="106">
        <f t="shared" si="180"/>
        <v>69.927507521719548</v>
      </c>
      <c r="O80" s="107">
        <f t="shared" si="175"/>
        <v>57.472789196286243</v>
      </c>
      <c r="P80" s="209">
        <f t="shared" si="181"/>
        <v>45.018070870852938</v>
      </c>
      <c r="Q80" s="209">
        <f t="shared" si="182"/>
        <v>20.108634219986339</v>
      </c>
      <c r="R80" s="107">
        <f t="shared" si="176"/>
        <v>16.729827188466576</v>
      </c>
      <c r="S80" s="209">
        <f t="shared" si="183"/>
        <v>13.351020156946811</v>
      </c>
      <c r="T80" s="107">
        <v>9.9</v>
      </c>
      <c r="U80" s="210"/>
      <c r="V80" s="208"/>
      <c r="W80" s="208"/>
      <c r="X80" s="208"/>
      <c r="Y80" s="209"/>
      <c r="Z80" s="208"/>
      <c r="AA80" s="209"/>
      <c r="AB80" s="210"/>
      <c r="AC80" s="208"/>
      <c r="AD80" s="208"/>
      <c r="AE80" s="208"/>
      <c r="AF80" s="213"/>
      <c r="AG80" s="213"/>
      <c r="AH80" s="213"/>
      <c r="AI80" s="106">
        <f t="shared" si="184"/>
        <v>87</v>
      </c>
      <c r="AJ80" s="297">
        <f t="shared" si="185"/>
        <v>87</v>
      </c>
      <c r="AK80" s="208">
        <v>87</v>
      </c>
      <c r="AL80" s="208">
        <v>87</v>
      </c>
      <c r="AM80" s="378">
        <f t="shared" si="186"/>
        <v>87</v>
      </c>
      <c r="AN80" s="208">
        <v>87</v>
      </c>
      <c r="AO80" s="378">
        <f t="shared" si="187"/>
        <v>87</v>
      </c>
      <c r="AP80" s="210"/>
      <c r="AQ80" s="24"/>
      <c r="AR80" t="s">
        <v>391</v>
      </c>
    </row>
    <row r="81" spans="1:44" x14ac:dyDescent="0.3">
      <c r="A81" s="976"/>
      <c r="B81" s="991"/>
      <c r="C81" s="216">
        <v>4</v>
      </c>
      <c r="D81" s="214" t="s">
        <v>31</v>
      </c>
      <c r="E81" s="214">
        <v>2022</v>
      </c>
      <c r="F81" s="705" t="s">
        <v>19</v>
      </c>
      <c r="G81" s="215">
        <f>1586.29</f>
        <v>1586.29</v>
      </c>
      <c r="H81" s="215">
        <v>1441.86</v>
      </c>
      <c r="I81" s="215">
        <v>1297.43</v>
      </c>
      <c r="J81" s="215">
        <v>1061.17</v>
      </c>
      <c r="K81" s="215">
        <v>937.36</v>
      </c>
      <c r="L81" s="215">
        <v>813.55</v>
      </c>
      <c r="M81" s="107">
        <f>K81+((L81-K81)/(2050-2045))*(2060-2045)</f>
        <v>565.92999999999984</v>
      </c>
      <c r="N81" s="597">
        <f t="shared" ref="N81:S81" si="188">G81*0.03*$BE$5</f>
        <v>64.181546245606555</v>
      </c>
      <c r="O81" s="215">
        <f t="shared" si="188"/>
        <v>58.337885424285759</v>
      </c>
      <c r="P81" s="215">
        <f t="shared" si="188"/>
        <v>52.494224602964977</v>
      </c>
      <c r="Q81" s="215">
        <f t="shared" si="188"/>
        <v>42.935107344464321</v>
      </c>
      <c r="R81" s="215">
        <f t="shared" si="188"/>
        <v>37.925735009854293</v>
      </c>
      <c r="S81" s="215">
        <f t="shared" si="188"/>
        <v>32.916362675244258</v>
      </c>
      <c r="T81" s="122">
        <f>R81+((S81-R81)/(2050-2045))*(2060-2045)</f>
        <v>22.897618006024189</v>
      </c>
      <c r="U81" s="216">
        <v>0.02</v>
      </c>
      <c r="V81" s="214">
        <v>0.02</v>
      </c>
      <c r="W81" s="214">
        <v>0.02</v>
      </c>
      <c r="X81" s="214">
        <v>0.02</v>
      </c>
      <c r="Y81" s="215">
        <v>0.02</v>
      </c>
      <c r="Z81" s="214">
        <v>0.02</v>
      </c>
      <c r="AA81" s="122">
        <f>Y81+((Z81-Y81)/(2050-2045))*(2060-2045)</f>
        <v>0.02</v>
      </c>
      <c r="AB81" s="216">
        <v>30</v>
      </c>
      <c r="AC81" s="214">
        <v>30</v>
      </c>
      <c r="AD81" s="214">
        <v>30</v>
      </c>
      <c r="AE81" s="214">
        <v>30</v>
      </c>
      <c r="AF81" s="660">
        <v>30</v>
      </c>
      <c r="AG81" s="660">
        <v>30</v>
      </c>
      <c r="AH81" s="386">
        <f>AF81+((AG81-AF81)/(2050-2045))*(2060-2045)</f>
        <v>30</v>
      </c>
      <c r="AI81" s="597"/>
      <c r="AJ81" s="214"/>
      <c r="AK81" s="214"/>
      <c r="AL81" s="214"/>
      <c r="AM81" s="215"/>
      <c r="AN81" s="214"/>
      <c r="AO81" s="215"/>
      <c r="AP81" s="216"/>
      <c r="AQ81" s="27"/>
      <c r="AR81" t="s">
        <v>392</v>
      </c>
    </row>
    <row r="82" spans="1:44" x14ac:dyDescent="0.3">
      <c r="A82" s="976"/>
      <c r="B82" s="706" t="s">
        <v>267</v>
      </c>
      <c r="C82" s="229"/>
      <c r="D82" s="225"/>
      <c r="E82" s="225"/>
      <c r="F82" s="230"/>
      <c r="G82" s="220">
        <f>MIN(G78:G81)</f>
        <v>1296.2712437642681</v>
      </c>
      <c r="H82" s="220">
        <f t="shared" ref="H82:AO82" si="189">MIN(H78:H81)</f>
        <v>1065.4012006425974</v>
      </c>
      <c r="I82" s="220">
        <f t="shared" si="189"/>
        <v>834.53115752092663</v>
      </c>
      <c r="J82" s="220">
        <f t="shared" si="189"/>
        <v>372.79107127758516</v>
      </c>
      <c r="K82" s="220">
        <f t="shared" si="189"/>
        <v>310.13782024181955</v>
      </c>
      <c r="L82" s="220">
        <f t="shared" si="189"/>
        <v>247.48456920605392</v>
      </c>
      <c r="M82" s="220">
        <f t="shared" si="189"/>
        <v>247.48</v>
      </c>
      <c r="N82" s="219">
        <f t="shared" si="189"/>
        <v>0</v>
      </c>
      <c r="O82" s="220">
        <f t="shared" si="189"/>
        <v>0</v>
      </c>
      <c r="P82" s="220">
        <f t="shared" si="189"/>
        <v>0</v>
      </c>
      <c r="Q82" s="220">
        <f t="shared" si="189"/>
        <v>0</v>
      </c>
      <c r="R82" s="220">
        <f t="shared" si="189"/>
        <v>0</v>
      </c>
      <c r="S82" s="220">
        <f t="shared" si="189"/>
        <v>0</v>
      </c>
      <c r="T82" s="220">
        <f t="shared" si="189"/>
        <v>0</v>
      </c>
      <c r="U82" s="222">
        <f t="shared" si="189"/>
        <v>0.02</v>
      </c>
      <c r="V82" s="218">
        <f t="shared" si="189"/>
        <v>0.02</v>
      </c>
      <c r="W82" s="218">
        <f t="shared" si="189"/>
        <v>0.02</v>
      </c>
      <c r="X82" s="218">
        <f t="shared" si="189"/>
        <v>0.02</v>
      </c>
      <c r="Y82" s="218">
        <f t="shared" si="189"/>
        <v>0.02</v>
      </c>
      <c r="Z82" s="218">
        <f t="shared" si="189"/>
        <v>0.02</v>
      </c>
      <c r="AA82" s="218">
        <f t="shared" si="189"/>
        <v>0.02</v>
      </c>
      <c r="AB82" s="222">
        <f t="shared" si="189"/>
        <v>30</v>
      </c>
      <c r="AC82" s="218">
        <f t="shared" si="189"/>
        <v>30</v>
      </c>
      <c r="AD82" s="218">
        <f t="shared" si="189"/>
        <v>30</v>
      </c>
      <c r="AE82" s="218">
        <f t="shared" si="189"/>
        <v>30</v>
      </c>
      <c r="AF82" s="490">
        <f t="shared" si="189"/>
        <v>30</v>
      </c>
      <c r="AG82" s="490">
        <f t="shared" si="189"/>
        <v>30</v>
      </c>
      <c r="AH82" s="490">
        <f t="shared" si="189"/>
        <v>30</v>
      </c>
      <c r="AI82" s="222">
        <f t="shared" si="189"/>
        <v>87</v>
      </c>
      <c r="AJ82" s="218">
        <f t="shared" si="189"/>
        <v>87</v>
      </c>
      <c r="AK82" s="218">
        <f t="shared" si="189"/>
        <v>87</v>
      </c>
      <c r="AL82" s="218">
        <f t="shared" si="189"/>
        <v>87</v>
      </c>
      <c r="AM82" s="218">
        <f t="shared" si="189"/>
        <v>87</v>
      </c>
      <c r="AN82" s="218">
        <f t="shared" si="189"/>
        <v>87</v>
      </c>
      <c r="AO82" s="218">
        <f t="shared" si="189"/>
        <v>87</v>
      </c>
      <c r="AP82" s="222"/>
      <c r="AQ82" s="223"/>
      <c r="AR82" s="104"/>
    </row>
    <row r="83" spans="1:44" ht="16.2" customHeight="1" x14ac:dyDescent="0.3">
      <c r="A83" s="976"/>
      <c r="B83" s="707" t="s">
        <v>268</v>
      </c>
      <c r="C83" s="229"/>
      <c r="D83" s="225"/>
      <c r="E83" s="225"/>
      <c r="F83" s="230"/>
      <c r="G83" s="227">
        <f>MEDIAN(G78:G81)</f>
        <v>1586.29</v>
      </c>
      <c r="H83" s="227">
        <f t="shared" ref="H83:AO83" si="190">MEDIAN(H78:H81)</f>
        <v>1441.86</v>
      </c>
      <c r="I83" s="227">
        <f t="shared" si="190"/>
        <v>1297.43</v>
      </c>
      <c r="J83" s="227">
        <f t="shared" si="190"/>
        <v>745.49759025957553</v>
      </c>
      <c r="K83" s="227">
        <f t="shared" si="190"/>
        <v>620.23336433584166</v>
      </c>
      <c r="L83" s="227">
        <f t="shared" si="190"/>
        <v>494.96913841210784</v>
      </c>
      <c r="M83" s="227">
        <f t="shared" si="190"/>
        <v>494.97</v>
      </c>
      <c r="N83" s="226">
        <f t="shared" si="190"/>
        <v>49.573220169792648</v>
      </c>
      <c r="O83" s="227">
        <f t="shared" si="190"/>
        <v>43.105162063774166</v>
      </c>
      <c r="P83" s="227">
        <f t="shared" si="190"/>
        <v>33.764123319699188</v>
      </c>
      <c r="Q83" s="227">
        <f t="shared" si="190"/>
        <v>15.082045831549241</v>
      </c>
      <c r="R83" s="227">
        <f t="shared" si="190"/>
        <v>12.547655474629675</v>
      </c>
      <c r="S83" s="227">
        <f t="shared" si="190"/>
        <v>10.013265117710109</v>
      </c>
      <c r="T83" s="227">
        <f t="shared" si="190"/>
        <v>7.4250000000000007</v>
      </c>
      <c r="U83" s="229">
        <f t="shared" si="190"/>
        <v>0.02</v>
      </c>
      <c r="V83" s="225">
        <f t="shared" si="190"/>
        <v>0.02</v>
      </c>
      <c r="W83" s="225">
        <f t="shared" si="190"/>
        <v>0.02</v>
      </c>
      <c r="X83" s="225">
        <f t="shared" si="190"/>
        <v>0.02</v>
      </c>
      <c r="Y83" s="225">
        <f t="shared" si="190"/>
        <v>0.02</v>
      </c>
      <c r="Z83" s="225">
        <f t="shared" si="190"/>
        <v>0.02</v>
      </c>
      <c r="AA83" s="225">
        <f t="shared" si="190"/>
        <v>0.02</v>
      </c>
      <c r="AB83" s="229">
        <f t="shared" si="190"/>
        <v>30</v>
      </c>
      <c r="AC83" s="225">
        <f t="shared" si="190"/>
        <v>30</v>
      </c>
      <c r="AD83" s="225">
        <f t="shared" si="190"/>
        <v>30</v>
      </c>
      <c r="AE83" s="225">
        <f t="shared" si="190"/>
        <v>30</v>
      </c>
      <c r="AF83" s="494">
        <f t="shared" si="190"/>
        <v>30</v>
      </c>
      <c r="AG83" s="494">
        <f t="shared" si="190"/>
        <v>30</v>
      </c>
      <c r="AH83" s="494">
        <f t="shared" si="190"/>
        <v>30</v>
      </c>
      <c r="AI83" s="229">
        <f t="shared" si="190"/>
        <v>87.5</v>
      </c>
      <c r="AJ83" s="225">
        <f t="shared" si="190"/>
        <v>87.5</v>
      </c>
      <c r="AK83" s="225">
        <f t="shared" si="190"/>
        <v>87.5</v>
      </c>
      <c r="AL83" s="225">
        <f t="shared" si="190"/>
        <v>87.5</v>
      </c>
      <c r="AM83" s="225">
        <f t="shared" si="190"/>
        <v>87.5</v>
      </c>
      <c r="AN83" s="225">
        <f t="shared" si="190"/>
        <v>87.5</v>
      </c>
      <c r="AO83" s="225">
        <f t="shared" si="190"/>
        <v>87.5</v>
      </c>
      <c r="AP83" s="229"/>
      <c r="AQ83" s="230"/>
      <c r="AR83" s="104"/>
    </row>
    <row r="84" spans="1:44" x14ac:dyDescent="0.3">
      <c r="A84" s="976"/>
      <c r="B84" s="708" t="s">
        <v>269</v>
      </c>
      <c r="C84" s="229"/>
      <c r="D84" s="225"/>
      <c r="E84" s="225"/>
      <c r="F84" s="230"/>
      <c r="G84" s="233">
        <f>MAX(G78:G81)</f>
        <v>2592.4579352329415</v>
      </c>
      <c r="H84" s="233">
        <f t="shared" ref="H84:AO84" si="191">MAX(H78:H81)</f>
        <v>2130.7178489896</v>
      </c>
      <c r="I84" s="233">
        <f t="shared" si="191"/>
        <v>1668.9777627462586</v>
      </c>
      <c r="J84" s="233">
        <f t="shared" si="191"/>
        <v>1061.17</v>
      </c>
      <c r="K84" s="233">
        <f t="shared" si="191"/>
        <v>937.36</v>
      </c>
      <c r="L84" s="233">
        <f t="shared" si="191"/>
        <v>813.55</v>
      </c>
      <c r="M84" s="233">
        <f t="shared" si="191"/>
        <v>565.92999999999984</v>
      </c>
      <c r="N84" s="599">
        <f t="shared" si="191"/>
        <v>69.927507521719548</v>
      </c>
      <c r="O84" s="233">
        <f t="shared" si="191"/>
        <v>58.337885424285759</v>
      </c>
      <c r="P84" s="233">
        <f t="shared" si="191"/>
        <v>52.494224602964977</v>
      </c>
      <c r="Q84" s="233">
        <f t="shared" si="191"/>
        <v>42.935107344464321</v>
      </c>
      <c r="R84" s="233">
        <f t="shared" si="191"/>
        <v>37.925735009854293</v>
      </c>
      <c r="S84" s="233">
        <f t="shared" si="191"/>
        <v>32.916362675244258</v>
      </c>
      <c r="T84" s="233">
        <f t="shared" si="191"/>
        <v>22.897618006024189</v>
      </c>
      <c r="U84" s="234">
        <f t="shared" si="191"/>
        <v>0.02</v>
      </c>
      <c r="V84" s="232">
        <f t="shared" si="191"/>
        <v>0.02</v>
      </c>
      <c r="W84" s="232">
        <f t="shared" si="191"/>
        <v>0.02</v>
      </c>
      <c r="X84" s="232">
        <f t="shared" si="191"/>
        <v>0.02</v>
      </c>
      <c r="Y84" s="232">
        <f t="shared" si="191"/>
        <v>0.02</v>
      </c>
      <c r="Z84" s="232">
        <f t="shared" si="191"/>
        <v>0.02</v>
      </c>
      <c r="AA84" s="232">
        <f t="shared" si="191"/>
        <v>0.02</v>
      </c>
      <c r="AB84" s="234">
        <f t="shared" si="191"/>
        <v>30</v>
      </c>
      <c r="AC84" s="232">
        <f t="shared" si="191"/>
        <v>30</v>
      </c>
      <c r="AD84" s="232">
        <f t="shared" si="191"/>
        <v>30</v>
      </c>
      <c r="AE84" s="232">
        <f t="shared" si="191"/>
        <v>30</v>
      </c>
      <c r="AF84" s="498">
        <f t="shared" si="191"/>
        <v>30</v>
      </c>
      <c r="AG84" s="498">
        <f t="shared" si="191"/>
        <v>30</v>
      </c>
      <c r="AH84" s="498">
        <f t="shared" si="191"/>
        <v>30</v>
      </c>
      <c r="AI84" s="234">
        <f t="shared" si="191"/>
        <v>88</v>
      </c>
      <c r="AJ84" s="232">
        <f t="shared" si="191"/>
        <v>88</v>
      </c>
      <c r="AK84" s="232">
        <f t="shared" si="191"/>
        <v>88</v>
      </c>
      <c r="AL84" s="232">
        <f t="shared" si="191"/>
        <v>88</v>
      </c>
      <c r="AM84" s="232">
        <f t="shared" si="191"/>
        <v>88</v>
      </c>
      <c r="AN84" s="232">
        <f t="shared" si="191"/>
        <v>88</v>
      </c>
      <c r="AO84" s="232">
        <f t="shared" si="191"/>
        <v>88</v>
      </c>
      <c r="AP84" s="234"/>
      <c r="AQ84" s="235"/>
      <c r="AR84" s="104"/>
    </row>
    <row r="85" spans="1:44" ht="15" customHeight="1" x14ac:dyDescent="0.3">
      <c r="A85" s="976"/>
      <c r="B85" s="989" t="s">
        <v>393</v>
      </c>
      <c r="C85" s="205">
        <v>11</v>
      </c>
      <c r="D85" s="202" t="s">
        <v>57</v>
      </c>
      <c r="E85" s="202">
        <v>2022</v>
      </c>
      <c r="F85" s="703" t="s">
        <v>19</v>
      </c>
      <c r="G85" s="93">
        <f t="shared" ref="G85:G86" si="192">H85+((I85-H85)/(2030-2025))*(2020-2025)</f>
        <v>1061.9768326710068</v>
      </c>
      <c r="H85" s="93">
        <f t="shared" ref="H85:H86" si="193">I85+((J85-I85)/(2040-2030))*(2025-2030)</f>
        <v>862.17975818043442</v>
      </c>
      <c r="I85" s="204">
        <f>(783.4)/1.1827</f>
        <v>662.38268368986212</v>
      </c>
      <c r="J85" s="204">
        <f>(310.8)/1.1827</f>
        <v>262.78853470871735</v>
      </c>
      <c r="K85" s="93">
        <f t="shared" ref="K85:K86" si="194">J85+((L85-J85)/(2050-2040))*(2045-2040)</f>
        <v>215.56607761900733</v>
      </c>
      <c r="L85" s="204">
        <f>(199.1)/1.1827</f>
        <v>168.34362052929734</v>
      </c>
      <c r="M85" s="107">
        <v>168.57</v>
      </c>
      <c r="N85" s="92">
        <f t="shared" ref="N85:N86" si="195">O85+((P85-O85)/(2030-2025))*(2020-2025)</f>
        <v>42.967751922937808</v>
      </c>
      <c r="O85" s="93">
        <f t="shared" ref="O85:O86" si="196">P85+((Q85-P85)/(2040-2030))*(2025-2030)</f>
        <v>34.883930442531593</v>
      </c>
      <c r="P85" s="204">
        <f>I85*0.03*$BE$5</f>
        <v>26.800108962125378</v>
      </c>
      <c r="Q85" s="204">
        <f>J85*0.03*$BE$5</f>
        <v>10.632466001312954</v>
      </c>
      <c r="R85" s="93">
        <f t="shared" ref="R85:R86" si="197">Q85+((S85-Q85)/(2050-2040))*(2045-2040)</f>
        <v>8.7218378604721281</v>
      </c>
      <c r="S85" s="204">
        <f>L85*0.03*$BE$5</f>
        <v>6.811209719631302</v>
      </c>
      <c r="T85" s="93">
        <v>5.05</v>
      </c>
      <c r="U85" s="205"/>
      <c r="V85" s="202"/>
      <c r="W85" s="202"/>
      <c r="X85" s="202"/>
      <c r="Y85" s="204"/>
      <c r="Z85" s="202"/>
      <c r="AA85" s="204"/>
      <c r="AB85" s="205"/>
      <c r="AC85" s="202"/>
      <c r="AD85" s="202"/>
      <c r="AE85" s="202"/>
      <c r="AF85" s="207"/>
      <c r="AG85" s="207"/>
      <c r="AH85" s="207"/>
      <c r="AI85" s="92">
        <f t="shared" ref="AI85:AI86" si="198">AJ85+((AK85-AJ85)/(2030-2025))*(2020-2025)</f>
        <v>98</v>
      </c>
      <c r="AJ85" s="100">
        <f t="shared" ref="AJ85:AJ86" si="199">AK85+((AL85-AK85)/(2040-2030))*(2025-2030)</f>
        <v>98</v>
      </c>
      <c r="AK85" s="202">
        <v>98</v>
      </c>
      <c r="AL85" s="202">
        <v>98</v>
      </c>
      <c r="AM85" s="101">
        <f t="shared" ref="AM85:AM86" si="200">AL85+((AN85-AL85)/(2050-2040))*(2045-2040)</f>
        <v>98</v>
      </c>
      <c r="AN85" s="202">
        <v>98</v>
      </c>
      <c r="AO85" s="101">
        <f t="shared" ref="AO85:AO86" si="201">AM85+((AN85-AM85)/(2050-2045))*(2060-2045)</f>
        <v>98</v>
      </c>
      <c r="AP85" s="205"/>
      <c r="AQ85" s="21"/>
      <c r="AR85" t="s">
        <v>390</v>
      </c>
    </row>
    <row r="86" spans="1:44" x14ac:dyDescent="0.3">
      <c r="A86" s="976"/>
      <c r="B86" s="990"/>
      <c r="C86" s="210">
        <v>11</v>
      </c>
      <c r="D86" s="208" t="s">
        <v>57</v>
      </c>
      <c r="E86" s="208">
        <v>2022</v>
      </c>
      <c r="F86" s="704" t="s">
        <v>19</v>
      </c>
      <c r="G86" s="107">
        <f t="shared" si="192"/>
        <v>2066.8808658155067</v>
      </c>
      <c r="H86" s="107">
        <f t="shared" si="193"/>
        <v>1678.0248583749049</v>
      </c>
      <c r="I86" s="209">
        <f>(1524.7)/1.1827</f>
        <v>1289.1688509343028</v>
      </c>
      <c r="J86" s="209">
        <f>(604.9)/1.1827</f>
        <v>511.45683605309881</v>
      </c>
      <c r="K86" s="107">
        <f t="shared" si="194"/>
        <v>405.38598122939038</v>
      </c>
      <c r="L86" s="209">
        <f>(354)/1.1827</f>
        <v>299.31512640568189</v>
      </c>
      <c r="M86" s="107">
        <v>299.32</v>
      </c>
      <c r="N86" s="106">
        <f t="shared" si="195"/>
        <v>111.50177237327122</v>
      </c>
      <c r="O86" s="107">
        <f t="shared" si="196"/>
        <v>90.524204316626736</v>
      </c>
      <c r="P86" s="209">
        <f>I86*0.04*$BE$5</f>
        <v>69.54663625998225</v>
      </c>
      <c r="Q86" s="209">
        <f>J86*0.04*$BE$5</f>
        <v>27.591500146693292</v>
      </c>
      <c r="R86" s="107">
        <f t="shared" si="197"/>
        <v>21.869308555682096</v>
      </c>
      <c r="S86" s="209">
        <f>L86*0.04*$BE$5</f>
        <v>16.147116964670897</v>
      </c>
      <c r="T86" s="107">
        <v>11.97</v>
      </c>
      <c r="U86" s="210"/>
      <c r="V86" s="208"/>
      <c r="W86" s="208"/>
      <c r="X86" s="208"/>
      <c r="Y86" s="209"/>
      <c r="Z86" s="208"/>
      <c r="AA86" s="209"/>
      <c r="AB86" s="210"/>
      <c r="AC86" s="208"/>
      <c r="AD86" s="208"/>
      <c r="AE86" s="208"/>
      <c r="AF86" s="213"/>
      <c r="AG86" s="213"/>
      <c r="AH86" s="213"/>
      <c r="AI86" s="106">
        <f t="shared" si="198"/>
        <v>98</v>
      </c>
      <c r="AJ86" s="297">
        <f t="shared" si="199"/>
        <v>98</v>
      </c>
      <c r="AK86" s="208">
        <v>98</v>
      </c>
      <c r="AL86" s="208">
        <v>98</v>
      </c>
      <c r="AM86" s="378">
        <f t="shared" si="200"/>
        <v>98</v>
      </c>
      <c r="AN86" s="208">
        <v>98</v>
      </c>
      <c r="AO86" s="378">
        <f t="shared" si="201"/>
        <v>98</v>
      </c>
      <c r="AP86" s="210"/>
      <c r="AQ86" s="24"/>
      <c r="AR86" t="s">
        <v>391</v>
      </c>
    </row>
    <row r="87" spans="1:44" x14ac:dyDescent="0.3">
      <c r="A87" s="976"/>
      <c r="B87" s="991"/>
      <c r="C87" s="216">
        <v>4</v>
      </c>
      <c r="D87" s="214" t="s">
        <v>31</v>
      </c>
      <c r="E87" s="214">
        <v>2022</v>
      </c>
      <c r="F87" s="705" t="s">
        <v>19</v>
      </c>
      <c r="G87" s="215">
        <v>1062.107</v>
      </c>
      <c r="H87" s="215">
        <v>1062.107</v>
      </c>
      <c r="I87" s="215">
        <v>1062.107</v>
      </c>
      <c r="J87" s="215">
        <v>794.84900000000005</v>
      </c>
      <c r="K87" s="215">
        <v>661.221</v>
      </c>
      <c r="L87" s="215">
        <v>527.59199999999998</v>
      </c>
      <c r="M87" s="107">
        <f>K87+((L87-K87)/(2050-2045))*(2060-2045)</f>
        <v>260.33399999999995</v>
      </c>
      <c r="N87" s="597">
        <f t="shared" ref="N87:S87" si="202">G87*0.043*$BE$5</f>
        <v>61.594659869804069</v>
      </c>
      <c r="O87" s="215">
        <f t="shared" si="202"/>
        <v>61.594659869804069</v>
      </c>
      <c r="P87" s="215">
        <f t="shared" si="202"/>
        <v>61.594659869804069</v>
      </c>
      <c r="Q87" s="215">
        <f t="shared" si="202"/>
        <v>46.095594702656037</v>
      </c>
      <c r="R87" s="215">
        <f t="shared" si="202"/>
        <v>38.34612011197715</v>
      </c>
      <c r="S87" s="215">
        <f t="shared" si="202"/>
        <v>30.596587528403131</v>
      </c>
      <c r="T87" s="122">
        <v>22.69</v>
      </c>
      <c r="U87" s="216"/>
      <c r="V87" s="214"/>
      <c r="W87" s="214"/>
      <c r="X87" s="214"/>
      <c r="Y87" s="215"/>
      <c r="Z87" s="214"/>
      <c r="AA87" s="215"/>
      <c r="AB87" s="216">
        <v>25</v>
      </c>
      <c r="AC87" s="214">
        <v>25</v>
      </c>
      <c r="AD87" s="214">
        <v>25</v>
      </c>
      <c r="AE87" s="214">
        <v>25</v>
      </c>
      <c r="AF87" s="660">
        <v>25</v>
      </c>
      <c r="AG87" s="660">
        <v>25</v>
      </c>
      <c r="AH87" s="386">
        <f>AF87+((AG87-AF87)/(2050-2045))*(2060-2045)</f>
        <v>25</v>
      </c>
      <c r="AI87" s="597"/>
      <c r="AJ87" s="214"/>
      <c r="AK87" s="214"/>
      <c r="AL87" s="214"/>
      <c r="AM87" s="215"/>
      <c r="AN87" s="214"/>
      <c r="AO87" s="215"/>
      <c r="AP87" s="216"/>
      <c r="AQ87" s="27"/>
      <c r="AR87" t="s">
        <v>394</v>
      </c>
    </row>
    <row r="88" spans="1:44" x14ac:dyDescent="0.3">
      <c r="A88" s="976"/>
      <c r="B88" s="706" t="s">
        <v>267</v>
      </c>
      <c r="C88" s="229"/>
      <c r="D88" s="225"/>
      <c r="E88" s="225"/>
      <c r="F88" s="230"/>
      <c r="G88" s="220">
        <f>MIN(G85:G87)</f>
        <v>1061.9768326710068</v>
      </c>
      <c r="H88" s="220">
        <f t="shared" ref="H88:T88" si="203">MIN(H85:H87)</f>
        <v>862.17975818043442</v>
      </c>
      <c r="I88" s="220">
        <f t="shared" si="203"/>
        <v>662.38268368986212</v>
      </c>
      <c r="J88" s="220">
        <f t="shared" si="203"/>
        <v>262.78853470871735</v>
      </c>
      <c r="K88" s="220">
        <f t="shared" si="203"/>
        <v>215.56607761900733</v>
      </c>
      <c r="L88" s="220">
        <f t="shared" si="203"/>
        <v>168.34362052929734</v>
      </c>
      <c r="M88" s="220">
        <f t="shared" si="203"/>
        <v>168.57</v>
      </c>
      <c r="N88" s="219">
        <f t="shared" si="203"/>
        <v>42.967751922937808</v>
      </c>
      <c r="O88" s="220">
        <f t="shared" si="203"/>
        <v>34.883930442531593</v>
      </c>
      <c r="P88" s="220">
        <f t="shared" si="203"/>
        <v>26.800108962125378</v>
      </c>
      <c r="Q88" s="220">
        <f t="shared" si="203"/>
        <v>10.632466001312954</v>
      </c>
      <c r="R88" s="220">
        <f t="shared" si="203"/>
        <v>8.7218378604721281</v>
      </c>
      <c r="S88" s="220">
        <f t="shared" si="203"/>
        <v>6.811209719631302</v>
      </c>
      <c r="T88" s="220">
        <f t="shared" si="203"/>
        <v>5.05</v>
      </c>
      <c r="U88" s="222"/>
      <c r="V88" s="218"/>
      <c r="W88" s="218"/>
      <c r="X88" s="218"/>
      <c r="Y88" s="220"/>
      <c r="Z88" s="218"/>
      <c r="AA88" s="220"/>
      <c r="AB88" s="222">
        <f t="shared" ref="AB88:AO88" si="204">MIN(AB85:AB87)</f>
        <v>25</v>
      </c>
      <c r="AC88" s="218">
        <f t="shared" si="204"/>
        <v>25</v>
      </c>
      <c r="AD88" s="218">
        <f t="shared" si="204"/>
        <v>25</v>
      </c>
      <c r="AE88" s="218">
        <f t="shared" si="204"/>
        <v>25</v>
      </c>
      <c r="AF88" s="490">
        <f t="shared" si="204"/>
        <v>25</v>
      </c>
      <c r="AG88" s="490">
        <f t="shared" si="204"/>
        <v>25</v>
      </c>
      <c r="AH88" s="490">
        <f t="shared" si="204"/>
        <v>25</v>
      </c>
      <c r="AI88" s="222">
        <f t="shared" si="204"/>
        <v>98</v>
      </c>
      <c r="AJ88" s="218">
        <f t="shared" si="204"/>
        <v>98</v>
      </c>
      <c r="AK88" s="218">
        <f t="shared" si="204"/>
        <v>98</v>
      </c>
      <c r="AL88" s="218">
        <f t="shared" si="204"/>
        <v>98</v>
      </c>
      <c r="AM88" s="218">
        <f t="shared" si="204"/>
        <v>98</v>
      </c>
      <c r="AN88" s="218">
        <f t="shared" si="204"/>
        <v>98</v>
      </c>
      <c r="AO88" s="218">
        <f t="shared" si="204"/>
        <v>98</v>
      </c>
      <c r="AP88" s="222"/>
      <c r="AQ88" s="223"/>
      <c r="AR88" s="104"/>
    </row>
    <row r="89" spans="1:44" x14ac:dyDescent="0.3">
      <c r="A89" s="976"/>
      <c r="B89" s="707" t="s">
        <v>268</v>
      </c>
      <c r="C89" s="229"/>
      <c r="D89" s="225"/>
      <c r="E89" s="225"/>
      <c r="F89" s="230"/>
      <c r="G89" s="227">
        <f>MEDIAN(G85:G87)</f>
        <v>1062.107</v>
      </c>
      <c r="H89" s="227">
        <f t="shared" ref="H89:T89" si="205">MEDIAN(H85:H87)</f>
        <v>1062.107</v>
      </c>
      <c r="I89" s="227">
        <f t="shared" si="205"/>
        <v>1062.107</v>
      </c>
      <c r="J89" s="227">
        <f t="shared" si="205"/>
        <v>511.45683605309881</v>
      </c>
      <c r="K89" s="227">
        <f t="shared" si="205"/>
        <v>405.38598122939038</v>
      </c>
      <c r="L89" s="227">
        <f t="shared" si="205"/>
        <v>299.31512640568189</v>
      </c>
      <c r="M89" s="227">
        <f t="shared" si="205"/>
        <v>260.33399999999995</v>
      </c>
      <c r="N89" s="226">
        <f t="shared" si="205"/>
        <v>61.594659869804069</v>
      </c>
      <c r="O89" s="227">
        <f t="shared" si="205"/>
        <v>61.594659869804069</v>
      </c>
      <c r="P89" s="227">
        <f t="shared" si="205"/>
        <v>61.594659869804069</v>
      </c>
      <c r="Q89" s="227">
        <f t="shared" si="205"/>
        <v>27.591500146693292</v>
      </c>
      <c r="R89" s="227">
        <f t="shared" si="205"/>
        <v>21.869308555682096</v>
      </c>
      <c r="S89" s="227">
        <f t="shared" si="205"/>
        <v>16.147116964670897</v>
      </c>
      <c r="T89" s="227">
        <f t="shared" si="205"/>
        <v>11.97</v>
      </c>
      <c r="U89" s="229"/>
      <c r="V89" s="225"/>
      <c r="W89" s="225"/>
      <c r="X89" s="225"/>
      <c r="Y89" s="227"/>
      <c r="Z89" s="225"/>
      <c r="AA89" s="227"/>
      <c r="AB89" s="229">
        <f t="shared" ref="AB89:AO89" si="206">MEDIAN(AB85:AB87)</f>
        <v>25</v>
      </c>
      <c r="AC89" s="225">
        <f t="shared" si="206"/>
        <v>25</v>
      </c>
      <c r="AD89" s="225">
        <f t="shared" si="206"/>
        <v>25</v>
      </c>
      <c r="AE89" s="225">
        <f t="shared" si="206"/>
        <v>25</v>
      </c>
      <c r="AF89" s="494">
        <f t="shared" si="206"/>
        <v>25</v>
      </c>
      <c r="AG89" s="494">
        <f t="shared" si="206"/>
        <v>25</v>
      </c>
      <c r="AH89" s="494">
        <f t="shared" si="206"/>
        <v>25</v>
      </c>
      <c r="AI89" s="229">
        <f t="shared" si="206"/>
        <v>98</v>
      </c>
      <c r="AJ89" s="225">
        <f t="shared" si="206"/>
        <v>98</v>
      </c>
      <c r="AK89" s="225">
        <f t="shared" si="206"/>
        <v>98</v>
      </c>
      <c r="AL89" s="225">
        <f t="shared" si="206"/>
        <v>98</v>
      </c>
      <c r="AM89" s="225">
        <f t="shared" si="206"/>
        <v>98</v>
      </c>
      <c r="AN89" s="225">
        <f t="shared" si="206"/>
        <v>98</v>
      </c>
      <c r="AO89" s="225">
        <f t="shared" si="206"/>
        <v>98</v>
      </c>
      <c r="AP89" s="229"/>
      <c r="AQ89" s="230"/>
      <c r="AR89" s="104"/>
    </row>
    <row r="90" spans="1:44" x14ac:dyDescent="0.3">
      <c r="A90" s="976"/>
      <c r="B90" s="708" t="s">
        <v>269</v>
      </c>
      <c r="C90" s="229"/>
      <c r="D90" s="225"/>
      <c r="E90" s="225"/>
      <c r="F90" s="230"/>
      <c r="G90" s="233">
        <f>MAX(G85:G87)</f>
        <v>2066.8808658155067</v>
      </c>
      <c r="H90" s="233">
        <f t="shared" ref="H90:T90" si="207">MAX(H85:H87)</f>
        <v>1678.0248583749049</v>
      </c>
      <c r="I90" s="233">
        <f t="shared" si="207"/>
        <v>1289.1688509343028</v>
      </c>
      <c r="J90" s="233">
        <f t="shared" si="207"/>
        <v>794.84900000000005</v>
      </c>
      <c r="K90" s="233">
        <f t="shared" si="207"/>
        <v>661.221</v>
      </c>
      <c r="L90" s="233">
        <f t="shared" si="207"/>
        <v>527.59199999999998</v>
      </c>
      <c r="M90" s="233">
        <f t="shared" si="207"/>
        <v>299.32</v>
      </c>
      <c r="N90" s="599">
        <f t="shared" si="207"/>
        <v>111.50177237327122</v>
      </c>
      <c r="O90" s="233">
        <f t="shared" si="207"/>
        <v>90.524204316626736</v>
      </c>
      <c r="P90" s="233">
        <f t="shared" si="207"/>
        <v>69.54663625998225</v>
      </c>
      <c r="Q90" s="233">
        <f t="shared" si="207"/>
        <v>46.095594702656037</v>
      </c>
      <c r="R90" s="233">
        <f t="shared" si="207"/>
        <v>38.34612011197715</v>
      </c>
      <c r="S90" s="233">
        <f t="shared" si="207"/>
        <v>30.596587528403131</v>
      </c>
      <c r="T90" s="233">
        <f t="shared" si="207"/>
        <v>22.69</v>
      </c>
      <c r="U90" s="234"/>
      <c r="V90" s="232"/>
      <c r="W90" s="232"/>
      <c r="X90" s="232"/>
      <c r="Y90" s="233"/>
      <c r="Z90" s="232"/>
      <c r="AA90" s="233"/>
      <c r="AB90" s="234">
        <f t="shared" ref="AB90:AO90" si="208">MAX(AB85:AB87)</f>
        <v>25</v>
      </c>
      <c r="AC90" s="232">
        <f t="shared" si="208"/>
        <v>25</v>
      </c>
      <c r="AD90" s="232">
        <f t="shared" si="208"/>
        <v>25</v>
      </c>
      <c r="AE90" s="232">
        <f t="shared" si="208"/>
        <v>25</v>
      </c>
      <c r="AF90" s="498">
        <f t="shared" si="208"/>
        <v>25</v>
      </c>
      <c r="AG90" s="498">
        <f t="shared" si="208"/>
        <v>25</v>
      </c>
      <c r="AH90" s="498">
        <f t="shared" si="208"/>
        <v>25</v>
      </c>
      <c r="AI90" s="234">
        <f t="shared" si="208"/>
        <v>98</v>
      </c>
      <c r="AJ90" s="232">
        <f t="shared" si="208"/>
        <v>98</v>
      </c>
      <c r="AK90" s="232">
        <f t="shared" si="208"/>
        <v>98</v>
      </c>
      <c r="AL90" s="232">
        <f t="shared" si="208"/>
        <v>98</v>
      </c>
      <c r="AM90" s="232">
        <f t="shared" si="208"/>
        <v>98</v>
      </c>
      <c r="AN90" s="232">
        <f t="shared" si="208"/>
        <v>98</v>
      </c>
      <c r="AO90" s="232">
        <f t="shared" si="208"/>
        <v>98</v>
      </c>
      <c r="AP90" s="234"/>
      <c r="AQ90" s="235"/>
      <c r="AR90" s="104"/>
    </row>
    <row r="91" spans="1:44" x14ac:dyDescent="0.3">
      <c r="A91" s="976"/>
      <c r="B91" s="992" t="s">
        <v>67</v>
      </c>
      <c r="C91" s="240">
        <v>2</v>
      </c>
      <c r="D91" s="236" t="s">
        <v>23</v>
      </c>
      <c r="E91" s="236">
        <v>2019</v>
      </c>
      <c r="F91" s="709" t="s">
        <v>19</v>
      </c>
      <c r="G91" s="239">
        <f>((230*10^6)/1.1297)/(4200*10^3)/1.256</f>
        <v>38.594531862289664</v>
      </c>
      <c r="H91" s="239"/>
      <c r="I91" s="239"/>
      <c r="J91" s="239"/>
      <c r="K91" s="239"/>
      <c r="L91" s="239"/>
      <c r="M91" s="239"/>
      <c r="N91" s="92">
        <f>G91*0.02*$BE$5</f>
        <v>1.0410272739314501</v>
      </c>
      <c r="O91" s="239"/>
      <c r="P91" s="239"/>
      <c r="Q91" s="239"/>
      <c r="R91" s="239"/>
      <c r="S91" s="239"/>
      <c r="T91" s="239"/>
      <c r="U91" s="240"/>
      <c r="V91" s="236"/>
      <c r="W91" s="236"/>
      <c r="X91" s="236"/>
      <c r="Y91" s="239"/>
      <c r="Z91" s="236"/>
      <c r="AA91" s="239"/>
      <c r="AB91" s="240"/>
      <c r="AC91" s="236"/>
      <c r="AD91" s="236"/>
      <c r="AE91" s="236"/>
      <c r="AF91" s="242"/>
      <c r="AG91" s="242"/>
      <c r="AH91" s="242"/>
      <c r="AI91" s="240"/>
      <c r="AJ91" s="236"/>
      <c r="AK91" s="236"/>
      <c r="AL91" s="236"/>
      <c r="AM91" s="239"/>
      <c r="AN91" s="236"/>
      <c r="AO91" s="239"/>
      <c r="AP91" s="240"/>
      <c r="AQ91" s="30"/>
      <c r="AR91" s="104"/>
    </row>
    <row r="92" spans="1:44" x14ac:dyDescent="0.3">
      <c r="A92" s="976"/>
      <c r="B92" s="993"/>
      <c r="C92" s="247">
        <v>4</v>
      </c>
      <c r="D92" s="243" t="s">
        <v>31</v>
      </c>
      <c r="E92" s="243">
        <v>2022</v>
      </c>
      <c r="F92" s="710" t="s">
        <v>19</v>
      </c>
      <c r="G92" s="245">
        <v>51.259540000000001</v>
      </c>
      <c r="H92" s="245">
        <v>51.259540000000001</v>
      </c>
      <c r="I92" s="245">
        <v>51.259540000000001</v>
      </c>
      <c r="J92" s="245">
        <v>51.259540000000001</v>
      </c>
      <c r="K92" s="245">
        <v>51.259540000000001</v>
      </c>
      <c r="L92" s="245">
        <v>51.259540000000001</v>
      </c>
      <c r="M92" s="107">
        <f>K92+((L92-K92)/(2050-2045))*(2060-2045)</f>
        <v>51.259540000000001</v>
      </c>
      <c r="N92" s="244">
        <f t="shared" ref="N92:S92" si="209">G92*0.03*$BE$5</f>
        <v>2.0739691588792208</v>
      </c>
      <c r="O92" s="245">
        <f t="shared" si="209"/>
        <v>2.0739691588792208</v>
      </c>
      <c r="P92" s="245">
        <f t="shared" si="209"/>
        <v>2.0739691588792208</v>
      </c>
      <c r="Q92" s="245">
        <f t="shared" si="209"/>
        <v>2.0739691588792208</v>
      </c>
      <c r="R92" s="245">
        <f t="shared" si="209"/>
        <v>2.0739691588792208</v>
      </c>
      <c r="S92" s="245">
        <f t="shared" si="209"/>
        <v>2.0739691588792208</v>
      </c>
      <c r="T92" s="107">
        <f>R92+((S92-R92)/(2050-2045))*(2060-2045)</f>
        <v>2.0739691588792208</v>
      </c>
      <c r="U92" s="247"/>
      <c r="V92" s="243"/>
      <c r="W92" s="243"/>
      <c r="X92" s="243"/>
      <c r="Y92" s="245"/>
      <c r="Z92" s="243"/>
      <c r="AA92" s="245"/>
      <c r="AB92" s="247">
        <v>20</v>
      </c>
      <c r="AC92" s="243">
        <v>20</v>
      </c>
      <c r="AD92" s="243">
        <v>20</v>
      </c>
      <c r="AE92" s="243">
        <v>20</v>
      </c>
      <c r="AF92" s="669">
        <v>20</v>
      </c>
      <c r="AG92" s="669">
        <v>20</v>
      </c>
      <c r="AH92" s="378">
        <f>AF92+((AG92-AF92)/(2050-2045))*(2060-2045)</f>
        <v>20</v>
      </c>
      <c r="AI92" s="247"/>
      <c r="AJ92" s="243"/>
      <c r="AK92" s="243"/>
      <c r="AL92" s="243"/>
      <c r="AM92" s="245"/>
      <c r="AN92" s="243"/>
      <c r="AO92" s="245"/>
      <c r="AP92" s="247"/>
      <c r="AQ92" s="33"/>
      <c r="AR92" s="104"/>
    </row>
    <row r="93" spans="1:44" x14ac:dyDescent="0.3">
      <c r="A93" s="976"/>
      <c r="B93" s="993"/>
      <c r="C93" s="247">
        <v>11</v>
      </c>
      <c r="D93" s="243" t="s">
        <v>57</v>
      </c>
      <c r="E93" s="243">
        <v>2022</v>
      </c>
      <c r="F93" s="710" t="s">
        <v>19</v>
      </c>
      <c r="G93" s="107">
        <f t="shared" ref="G93:G94" si="210">H93+((I93-H93)/(2030-2025))*(2020-2025)</f>
        <v>303.79639807220769</v>
      </c>
      <c r="H93" s="107">
        <f t="shared" ref="H93:H94" si="211">I93+((J93-I93)/(2040-2030))*(2025-2030)</f>
        <v>247.35774076266171</v>
      </c>
      <c r="I93" s="245">
        <f>(225.8)/1.1827</f>
        <v>190.91908345311575</v>
      </c>
      <c r="J93" s="245">
        <f>(92.3)/1.1827</f>
        <v>78.041768834023841</v>
      </c>
      <c r="K93" s="107">
        <f t="shared" ref="K93:K94" si="212">J93+((L93-J93)/(2050-2040))*(2045-2040)</f>
        <v>63.62560243510611</v>
      </c>
      <c r="L93" s="245">
        <f>(58.2)/1.1827</f>
        <v>49.209436036188379</v>
      </c>
      <c r="M93" s="107">
        <v>49.21</v>
      </c>
      <c r="N93" s="106">
        <f t="shared" ref="N93:N94" si="213">O93+((P93-O93)/(2030-2025))*(2020-2025)</f>
        <v>12.291650689420026</v>
      </c>
      <c r="O93" s="107">
        <f t="shared" ref="O93:O94" si="214">P93+((Q93-P93)/(2040-2030))*(2025-2030)</f>
        <v>10.008133618674725</v>
      </c>
      <c r="P93" s="245">
        <f>I93*0.03*$BE$5</f>
        <v>7.7246165479294238</v>
      </c>
      <c r="Q93" s="245">
        <f>J93*0.03*$BE$5</f>
        <v>3.1575824064388209</v>
      </c>
      <c r="R93" s="107">
        <f t="shared" ref="R93:R94" si="215">Q93+((S93-Q93)/(2050-2040))*(2045-2040)</f>
        <v>2.5743020160836543</v>
      </c>
      <c r="S93" s="245">
        <f>L93*0.03*$BE$5</f>
        <v>1.9910216257284874</v>
      </c>
      <c r="T93" s="107">
        <v>1.48</v>
      </c>
      <c r="U93" s="247"/>
      <c r="V93" s="243"/>
      <c r="W93" s="243"/>
      <c r="X93" s="243"/>
      <c r="Y93" s="245"/>
      <c r="Z93" s="243"/>
      <c r="AA93" s="245"/>
      <c r="AB93" s="247"/>
      <c r="AC93" s="243"/>
      <c r="AD93" s="243"/>
      <c r="AE93" s="243"/>
      <c r="AF93" s="669"/>
      <c r="AG93" s="669"/>
      <c r="AH93" s="669"/>
      <c r="AI93" s="106">
        <f t="shared" ref="AI93:AI94" si="216">AJ93+((AK93-AJ93)/(2030-2025))*(2020-2025)</f>
        <v>93</v>
      </c>
      <c r="AJ93" s="297">
        <f t="shared" ref="AJ93:AJ94" si="217">AK93+((AL93-AK93)/(2040-2030))*(2025-2030)</f>
        <v>94</v>
      </c>
      <c r="AK93" s="243">
        <v>95</v>
      </c>
      <c r="AL93" s="243">
        <v>97</v>
      </c>
      <c r="AM93" s="378">
        <f t="shared" ref="AM93:AM94" si="218">AL93+((AN93-AL93)/(2050-2040))*(2045-2040)</f>
        <v>98</v>
      </c>
      <c r="AN93" s="243">
        <v>99</v>
      </c>
      <c r="AO93" s="378">
        <v>99</v>
      </c>
      <c r="AP93" s="247"/>
      <c r="AQ93" s="33"/>
      <c r="AR93" t="s">
        <v>395</v>
      </c>
    </row>
    <row r="94" spans="1:44" x14ac:dyDescent="0.3">
      <c r="A94" s="976"/>
      <c r="B94" s="994"/>
      <c r="C94" s="250">
        <v>11</v>
      </c>
      <c r="D94" s="248" t="s">
        <v>57</v>
      </c>
      <c r="E94" s="248">
        <v>2022</v>
      </c>
      <c r="F94" s="711" t="s">
        <v>19</v>
      </c>
      <c r="G94" s="122">
        <f t="shared" si="210"/>
        <v>607.76190073560474</v>
      </c>
      <c r="H94" s="122">
        <f t="shared" si="211"/>
        <v>494.84230996871554</v>
      </c>
      <c r="I94" s="249">
        <f>(451.7)/1.1827</f>
        <v>381.92271920182628</v>
      </c>
      <c r="J94" s="249">
        <f>(184.6)/1.1827</f>
        <v>156.08353766804768</v>
      </c>
      <c r="K94" s="122">
        <f t="shared" si="212"/>
        <v>127.25120487021222</v>
      </c>
      <c r="L94" s="249">
        <f>(116.4)/1.1827</f>
        <v>98.418872072376757</v>
      </c>
      <c r="M94" s="107">
        <v>98.42</v>
      </c>
      <c r="N94" s="607">
        <f t="shared" si="213"/>
        <v>32.78685783673852</v>
      </c>
      <c r="O94" s="122">
        <f t="shared" si="214"/>
        <v>26.695198315179773</v>
      </c>
      <c r="P94" s="249">
        <f>I94*0.04*$BE$5</f>
        <v>20.603538793621023</v>
      </c>
      <c r="Q94" s="249">
        <f>J94*0.04*$BE$5</f>
        <v>8.4202197505035237</v>
      </c>
      <c r="R94" s="122">
        <f t="shared" si="215"/>
        <v>6.8648053762230781</v>
      </c>
      <c r="S94" s="249">
        <f>L94*0.04*$BE$5</f>
        <v>5.3093910019426334</v>
      </c>
      <c r="T94" s="122">
        <v>3.94</v>
      </c>
      <c r="U94" s="250"/>
      <c r="V94" s="248"/>
      <c r="W94" s="248"/>
      <c r="X94" s="248"/>
      <c r="Y94" s="249"/>
      <c r="Z94" s="248"/>
      <c r="AA94" s="249"/>
      <c r="AB94" s="250"/>
      <c r="AC94" s="248"/>
      <c r="AD94" s="248"/>
      <c r="AE94" s="248"/>
      <c r="AF94" s="673"/>
      <c r="AG94" s="673"/>
      <c r="AH94" s="673"/>
      <c r="AI94" s="607">
        <f t="shared" si="216"/>
        <v>87</v>
      </c>
      <c r="AJ94" s="306">
        <f t="shared" si="217"/>
        <v>88.5</v>
      </c>
      <c r="AK94" s="248">
        <v>90</v>
      </c>
      <c r="AL94" s="248">
        <v>93</v>
      </c>
      <c r="AM94" s="712">
        <f t="shared" si="218"/>
        <v>94.5</v>
      </c>
      <c r="AN94" s="248">
        <v>96</v>
      </c>
      <c r="AO94" s="386">
        <f>AM94+((AN94-AM94)/(2050-2045))*(2060-2045)</f>
        <v>99</v>
      </c>
      <c r="AP94" s="250"/>
      <c r="AQ94" s="36"/>
      <c r="AR94" t="s">
        <v>396</v>
      </c>
    </row>
    <row r="95" spans="1:44" x14ac:dyDescent="0.3">
      <c r="A95" s="976"/>
      <c r="B95" s="713" t="s">
        <v>267</v>
      </c>
      <c r="C95" s="265"/>
      <c r="D95" s="261"/>
      <c r="E95" s="261"/>
      <c r="F95" s="268"/>
      <c r="G95" s="254">
        <f>MIN(G91:G94)</f>
        <v>38.594531862289664</v>
      </c>
      <c r="H95" s="254">
        <f t="shared" ref="H95:T95" si="219">MIN(H91:H94)</f>
        <v>51.259540000000001</v>
      </c>
      <c r="I95" s="254">
        <f t="shared" si="219"/>
        <v>51.259540000000001</v>
      </c>
      <c r="J95" s="254">
        <f t="shared" si="219"/>
        <v>51.259540000000001</v>
      </c>
      <c r="K95" s="254">
        <f t="shared" si="219"/>
        <v>51.259540000000001</v>
      </c>
      <c r="L95" s="254">
        <f t="shared" si="219"/>
        <v>49.209436036188379</v>
      </c>
      <c r="M95" s="254">
        <f t="shared" si="219"/>
        <v>49.21</v>
      </c>
      <c r="N95" s="253">
        <f t="shared" si="219"/>
        <v>1.0410272739314501</v>
      </c>
      <c r="O95" s="254">
        <f t="shared" si="219"/>
        <v>2.0739691588792208</v>
      </c>
      <c r="P95" s="254">
        <f t="shared" si="219"/>
        <v>2.0739691588792208</v>
      </c>
      <c r="Q95" s="254">
        <f t="shared" si="219"/>
        <v>2.0739691588792208</v>
      </c>
      <c r="R95" s="254">
        <f t="shared" si="219"/>
        <v>2.0739691588792208</v>
      </c>
      <c r="S95" s="254">
        <f t="shared" si="219"/>
        <v>1.9910216257284874</v>
      </c>
      <c r="T95" s="254">
        <f t="shared" si="219"/>
        <v>1.48</v>
      </c>
      <c r="U95" s="256"/>
      <c r="V95" s="252"/>
      <c r="W95" s="252"/>
      <c r="X95" s="252"/>
      <c r="Y95" s="254"/>
      <c r="Z95" s="252"/>
      <c r="AA95" s="254"/>
      <c r="AB95" s="256">
        <f t="shared" ref="AB95:AO95" si="220">MIN(AB91:AB94)</f>
        <v>20</v>
      </c>
      <c r="AC95" s="252">
        <f t="shared" si="220"/>
        <v>20</v>
      </c>
      <c r="AD95" s="252">
        <f t="shared" si="220"/>
        <v>20</v>
      </c>
      <c r="AE95" s="252">
        <f t="shared" si="220"/>
        <v>20</v>
      </c>
      <c r="AF95" s="257">
        <f t="shared" si="220"/>
        <v>20</v>
      </c>
      <c r="AG95" s="257">
        <f t="shared" si="220"/>
        <v>20</v>
      </c>
      <c r="AH95" s="257">
        <f t="shared" si="220"/>
        <v>20</v>
      </c>
      <c r="AI95" s="256">
        <f t="shared" si="220"/>
        <v>87</v>
      </c>
      <c r="AJ95" s="252">
        <f t="shared" si="220"/>
        <v>88.5</v>
      </c>
      <c r="AK95" s="252">
        <f t="shared" si="220"/>
        <v>90</v>
      </c>
      <c r="AL95" s="252">
        <f t="shared" si="220"/>
        <v>93</v>
      </c>
      <c r="AM95" s="252">
        <f t="shared" si="220"/>
        <v>94.5</v>
      </c>
      <c r="AN95" s="252">
        <f t="shared" si="220"/>
        <v>96</v>
      </c>
      <c r="AO95" s="252">
        <f t="shared" si="220"/>
        <v>99</v>
      </c>
      <c r="AP95" s="256"/>
      <c r="AQ95" s="259"/>
      <c r="AR95" s="104"/>
    </row>
    <row r="96" spans="1:44" x14ac:dyDescent="0.3">
      <c r="A96" s="976"/>
      <c r="B96" s="714" t="s">
        <v>268</v>
      </c>
      <c r="C96" s="265"/>
      <c r="D96" s="261"/>
      <c r="E96" s="261"/>
      <c r="F96" s="268"/>
      <c r="G96" s="263">
        <f>MEDIAN(G91:G94)</f>
        <v>177.52796903610385</v>
      </c>
      <c r="H96" s="263">
        <f t="shared" ref="H96:T96" si="221">MEDIAN(H91:H94)</f>
        <v>247.35774076266171</v>
      </c>
      <c r="I96" s="263">
        <f t="shared" si="221"/>
        <v>190.91908345311575</v>
      </c>
      <c r="J96" s="263">
        <f t="shared" si="221"/>
        <v>78.041768834023841</v>
      </c>
      <c r="K96" s="263">
        <f t="shared" si="221"/>
        <v>63.62560243510611</v>
      </c>
      <c r="L96" s="263">
        <f t="shared" si="221"/>
        <v>51.259540000000001</v>
      </c>
      <c r="M96" s="263">
        <f t="shared" si="221"/>
        <v>51.259540000000001</v>
      </c>
      <c r="N96" s="262">
        <f t="shared" si="221"/>
        <v>7.1828099241496233</v>
      </c>
      <c r="O96" s="263">
        <f t="shared" si="221"/>
        <v>10.008133618674725</v>
      </c>
      <c r="P96" s="263">
        <f t="shared" si="221"/>
        <v>7.7246165479294238</v>
      </c>
      <c r="Q96" s="263">
        <f t="shared" si="221"/>
        <v>3.1575824064388209</v>
      </c>
      <c r="R96" s="263">
        <f t="shared" si="221"/>
        <v>2.5743020160836543</v>
      </c>
      <c r="S96" s="263">
        <f t="shared" si="221"/>
        <v>2.0739691588792208</v>
      </c>
      <c r="T96" s="263">
        <f t="shared" si="221"/>
        <v>2.0739691588792208</v>
      </c>
      <c r="U96" s="265"/>
      <c r="V96" s="261"/>
      <c r="W96" s="261"/>
      <c r="X96" s="261"/>
      <c r="Y96" s="263"/>
      <c r="Z96" s="261"/>
      <c r="AA96" s="263"/>
      <c r="AB96" s="265">
        <f t="shared" ref="AB96:AO96" si="222">MEDIAN(AB91:AB94)</f>
        <v>20</v>
      </c>
      <c r="AC96" s="261">
        <f t="shared" si="222"/>
        <v>20</v>
      </c>
      <c r="AD96" s="261">
        <f t="shared" si="222"/>
        <v>20</v>
      </c>
      <c r="AE96" s="261">
        <f t="shared" si="222"/>
        <v>20</v>
      </c>
      <c r="AF96" s="266">
        <f t="shared" si="222"/>
        <v>20</v>
      </c>
      <c r="AG96" s="266">
        <f t="shared" si="222"/>
        <v>20</v>
      </c>
      <c r="AH96" s="266">
        <f t="shared" si="222"/>
        <v>20</v>
      </c>
      <c r="AI96" s="265">
        <f t="shared" si="222"/>
        <v>90</v>
      </c>
      <c r="AJ96" s="261">
        <f t="shared" si="222"/>
        <v>91.25</v>
      </c>
      <c r="AK96" s="261">
        <f t="shared" si="222"/>
        <v>92.5</v>
      </c>
      <c r="AL96" s="261">
        <f t="shared" si="222"/>
        <v>95</v>
      </c>
      <c r="AM96" s="261">
        <f t="shared" si="222"/>
        <v>96.25</v>
      </c>
      <c r="AN96" s="261">
        <f t="shared" si="222"/>
        <v>97.5</v>
      </c>
      <c r="AO96" s="261">
        <f t="shared" si="222"/>
        <v>99</v>
      </c>
      <c r="AP96" s="265"/>
      <c r="AQ96" s="268"/>
      <c r="AR96" s="104"/>
    </row>
    <row r="97" spans="1:47" x14ac:dyDescent="0.3">
      <c r="A97" s="976"/>
      <c r="B97" s="715" t="s">
        <v>269</v>
      </c>
      <c r="C97" s="265"/>
      <c r="D97" s="261"/>
      <c r="E97" s="261"/>
      <c r="F97" s="268"/>
      <c r="G97" s="271">
        <f>MAX(G91:G94)</f>
        <v>607.76190073560474</v>
      </c>
      <c r="H97" s="271">
        <f t="shared" ref="H97:T97" si="223">MAX(H91:H94)</f>
        <v>494.84230996871554</v>
      </c>
      <c r="I97" s="271">
        <f t="shared" si="223"/>
        <v>381.92271920182628</v>
      </c>
      <c r="J97" s="271">
        <f t="shared" si="223"/>
        <v>156.08353766804768</v>
      </c>
      <c r="K97" s="271">
        <f t="shared" si="223"/>
        <v>127.25120487021222</v>
      </c>
      <c r="L97" s="271">
        <f t="shared" si="223"/>
        <v>98.418872072376757</v>
      </c>
      <c r="M97" s="271">
        <f t="shared" si="223"/>
        <v>98.42</v>
      </c>
      <c r="N97" s="270">
        <f t="shared" si="223"/>
        <v>32.78685783673852</v>
      </c>
      <c r="O97" s="271">
        <f t="shared" si="223"/>
        <v>26.695198315179773</v>
      </c>
      <c r="P97" s="271">
        <f t="shared" si="223"/>
        <v>20.603538793621023</v>
      </c>
      <c r="Q97" s="271">
        <f t="shared" si="223"/>
        <v>8.4202197505035237</v>
      </c>
      <c r="R97" s="271">
        <f t="shared" si="223"/>
        <v>6.8648053762230781</v>
      </c>
      <c r="S97" s="271">
        <f t="shared" si="223"/>
        <v>5.3093910019426334</v>
      </c>
      <c r="T97" s="271">
        <f t="shared" si="223"/>
        <v>3.94</v>
      </c>
      <c r="U97" s="273"/>
      <c r="V97" s="274"/>
      <c r="W97" s="274"/>
      <c r="X97" s="274"/>
      <c r="Y97" s="271"/>
      <c r="Z97" s="274"/>
      <c r="AA97" s="271"/>
      <c r="AB97" s="273">
        <f t="shared" ref="AB97:AO97" si="224">MAX(AB91:AB94)</f>
        <v>20</v>
      </c>
      <c r="AC97" s="274">
        <f t="shared" si="224"/>
        <v>20</v>
      </c>
      <c r="AD97" s="274">
        <f t="shared" si="224"/>
        <v>20</v>
      </c>
      <c r="AE97" s="274">
        <f t="shared" si="224"/>
        <v>20</v>
      </c>
      <c r="AF97" s="275">
        <f t="shared" si="224"/>
        <v>20</v>
      </c>
      <c r="AG97" s="275">
        <f t="shared" si="224"/>
        <v>20</v>
      </c>
      <c r="AH97" s="275">
        <f t="shared" si="224"/>
        <v>20</v>
      </c>
      <c r="AI97" s="273">
        <f t="shared" si="224"/>
        <v>93</v>
      </c>
      <c r="AJ97" s="274">
        <f t="shared" si="224"/>
        <v>94</v>
      </c>
      <c r="AK97" s="274">
        <f t="shared" si="224"/>
        <v>95</v>
      </c>
      <c r="AL97" s="274">
        <f t="shared" si="224"/>
        <v>97</v>
      </c>
      <c r="AM97" s="274">
        <f t="shared" si="224"/>
        <v>98</v>
      </c>
      <c r="AN97" s="274">
        <f t="shared" si="224"/>
        <v>99</v>
      </c>
      <c r="AO97" s="274">
        <f t="shared" si="224"/>
        <v>99</v>
      </c>
      <c r="AP97" s="273"/>
      <c r="AQ97" s="277"/>
      <c r="AR97" s="104"/>
    </row>
    <row r="98" spans="1:47" ht="14.4" customHeight="1" x14ac:dyDescent="0.3">
      <c r="A98" s="976"/>
      <c r="B98" s="992" t="s">
        <v>397</v>
      </c>
      <c r="C98" s="240">
        <v>4</v>
      </c>
      <c r="D98" s="236" t="s">
        <v>31</v>
      </c>
      <c r="E98" s="236">
        <v>2022</v>
      </c>
      <c r="F98" s="709" t="s">
        <v>19</v>
      </c>
      <c r="G98" s="239">
        <v>50.728029999999997</v>
      </c>
      <c r="H98" s="239">
        <v>50.728029999999997</v>
      </c>
      <c r="I98" s="239">
        <v>50.728029999999997</v>
      </c>
      <c r="J98" s="239">
        <v>50.728029999999997</v>
      </c>
      <c r="K98" s="239">
        <v>50.728029999999997</v>
      </c>
      <c r="L98" s="239">
        <v>50.728029999999997</v>
      </c>
      <c r="M98" s="107">
        <f>K98+((L98-K98)/(2050-2045))*(2060-2045)</f>
        <v>50.728029999999997</v>
      </c>
      <c r="N98" s="238">
        <f t="shared" ref="N98:S98" si="225">G98*0.03*$BE$5</f>
        <v>2.0524641795595486</v>
      </c>
      <c r="O98" s="239">
        <f t="shared" si="225"/>
        <v>2.0524641795595486</v>
      </c>
      <c r="P98" s="239">
        <f t="shared" si="225"/>
        <v>2.0524641795595486</v>
      </c>
      <c r="Q98" s="239">
        <f t="shared" si="225"/>
        <v>2.0524641795595486</v>
      </c>
      <c r="R98" s="239">
        <f t="shared" si="225"/>
        <v>2.0524641795595486</v>
      </c>
      <c r="S98" s="239">
        <f t="shared" si="225"/>
        <v>2.0524641795595486</v>
      </c>
      <c r="T98" s="93">
        <f>R98+((S98-R98)/(2050-2045))*(2060-2045)</f>
        <v>2.0524641795595486</v>
      </c>
      <c r="U98" s="240"/>
      <c r="V98" s="236"/>
      <c r="W98" s="236"/>
      <c r="X98" s="236"/>
      <c r="Y98" s="239"/>
      <c r="Z98" s="236"/>
      <c r="AA98" s="239"/>
      <c r="AB98" s="240">
        <v>20</v>
      </c>
      <c r="AC98" s="236">
        <v>20</v>
      </c>
      <c r="AD98" s="236">
        <v>20</v>
      </c>
      <c r="AE98" s="236">
        <v>20</v>
      </c>
      <c r="AF98" s="242">
        <v>20</v>
      </c>
      <c r="AG98" s="242">
        <v>20</v>
      </c>
      <c r="AH98" s="101">
        <f>AF98+((AG98-AF98)/(2050-2045))*(2060-2045)</f>
        <v>20</v>
      </c>
      <c r="AI98" s="240"/>
      <c r="AJ98" s="236"/>
      <c r="AK98" s="236"/>
      <c r="AL98" s="236"/>
      <c r="AM98" s="239"/>
      <c r="AN98" s="236"/>
      <c r="AO98" s="239"/>
      <c r="AP98" s="240"/>
      <c r="AQ98" s="30"/>
      <c r="AR98" s="104"/>
    </row>
    <row r="99" spans="1:47" ht="15" customHeight="1" x14ac:dyDescent="0.3">
      <c r="A99" s="976"/>
      <c r="B99" s="993"/>
      <c r="C99" s="247">
        <v>11</v>
      </c>
      <c r="D99" s="243" t="s">
        <v>57</v>
      </c>
      <c r="E99" s="243">
        <v>2022</v>
      </c>
      <c r="F99" s="710" t="s">
        <v>19</v>
      </c>
      <c r="G99" s="107">
        <f>H99+((I99-H99)/(2030-2025))*(2020-2025)</f>
        <v>553.64843155491667</v>
      </c>
      <c r="H99" s="107">
        <f>I99+((J99-I99)/(2040-2030))*(2025-2030)</f>
        <v>452.86209520588477</v>
      </c>
      <c r="I99" s="245">
        <f>(416.4)/1.1827</f>
        <v>352.07575885685293</v>
      </c>
      <c r="J99" s="245">
        <f>(178)/1.1827</f>
        <v>150.50308615878919</v>
      </c>
      <c r="K99" s="107">
        <f t="shared" ref="K99:K100" si="226">J99+((L99-J99)/(2050-2040))*(2045-2040)</f>
        <v>116.25940644288491</v>
      </c>
      <c r="L99" s="245">
        <f>(97)/1.1827</f>
        <v>82.015726726980631</v>
      </c>
      <c r="M99" s="107">
        <v>82.02</v>
      </c>
      <c r="N99" s="106">
        <f>O99+((P99-O99)/(2030-2025))*(2020-2025)</f>
        <v>22.400703789123941</v>
      </c>
      <c r="O99" s="107">
        <f>P99+((Q99-P99)/(2040-2030))*(2025-2030)</f>
        <v>18.322872555673158</v>
      </c>
      <c r="P99" s="245">
        <f>I99*0.03*$BE$5</f>
        <v>14.245041322222374</v>
      </c>
      <c r="Q99" s="245">
        <f>J99*0.03*$BE$5</f>
        <v>6.0893788553208035</v>
      </c>
      <c r="R99" s="107">
        <f t="shared" ref="R99:R100" si="227">Q99+((S99-Q99)/(2050-2040))*(2045-2040)</f>
        <v>4.7038741157674746</v>
      </c>
      <c r="S99" s="245">
        <f>L99*0.03*$BE$5</f>
        <v>3.3183693762141457</v>
      </c>
      <c r="T99" s="107">
        <v>2.46</v>
      </c>
      <c r="U99" s="247"/>
      <c r="V99" s="243"/>
      <c r="W99" s="243"/>
      <c r="X99" s="243"/>
      <c r="Y99" s="245"/>
      <c r="Z99" s="243"/>
      <c r="AA99" s="245"/>
      <c r="AB99" s="247"/>
      <c r="AC99" s="243"/>
      <c r="AD99" s="243"/>
      <c r="AE99" s="243"/>
      <c r="AF99" s="669"/>
      <c r="AG99" s="669"/>
      <c r="AH99" s="669"/>
      <c r="AI99" s="106">
        <f>AJ99+((AK99-AJ99)/(2030-2025))*(2020-2025)</f>
        <v>98</v>
      </c>
      <c r="AJ99" s="297">
        <f>AK99+((AL99-AK99)/(2040-2030))*(2025-2030)</f>
        <v>98</v>
      </c>
      <c r="AK99" s="243">
        <v>98</v>
      </c>
      <c r="AL99" s="243">
        <v>98</v>
      </c>
      <c r="AM99" s="378">
        <f>AL99+((AN99-AL99)/(2050-2040))*(2045-2040)</f>
        <v>98</v>
      </c>
      <c r="AN99" s="243">
        <v>98</v>
      </c>
      <c r="AO99" s="378">
        <f>AM99+((AN99-AM99)/(2050-2045))*(2060-2045)</f>
        <v>98</v>
      </c>
      <c r="AP99" s="247"/>
      <c r="AQ99" s="33"/>
      <c r="AR99" t="s">
        <v>395</v>
      </c>
    </row>
    <row r="100" spans="1:47" x14ac:dyDescent="0.3">
      <c r="A100" s="976"/>
      <c r="B100" s="994"/>
      <c r="C100" s="250">
        <v>11</v>
      </c>
      <c r="D100" s="248" t="s">
        <v>57</v>
      </c>
      <c r="E100" s="248">
        <v>2022</v>
      </c>
      <c r="F100" s="711" t="s">
        <v>19</v>
      </c>
      <c r="G100" s="122">
        <f>H100+((I100-H100)/(2030-2025))*(2020-2025)</f>
        <v>1446.3515684450833</v>
      </c>
      <c r="H100" s="122">
        <f>I100+((J100-I100)/(2040-2030))*(2025-2030)</f>
        <v>1183.055719962797</v>
      </c>
      <c r="I100" s="249">
        <f>(1087.8)/1.1827</f>
        <v>919.75987148051058</v>
      </c>
      <c r="J100" s="249">
        <f>(465)/1.1827</f>
        <v>393.16817451593806</v>
      </c>
      <c r="K100" s="122">
        <f t="shared" si="226"/>
        <v>299.10374566669481</v>
      </c>
      <c r="L100" s="249">
        <f>(242.5)/1.1827</f>
        <v>205.03931681745158</v>
      </c>
      <c r="M100" s="107">
        <v>205.04</v>
      </c>
      <c r="N100" s="607">
        <f>O100+((P100-O100)/(2030-2025))*(2020-2025)</f>
        <v>117.03922999900861</v>
      </c>
      <c r="O100" s="122">
        <f>P100+((Q100-P100)/(2040-2030))*(2025-2030)</f>
        <v>95.733246004099641</v>
      </c>
      <c r="P100" s="249">
        <f>I100*0.06*$BE$5</f>
        <v>74.42726200919067</v>
      </c>
      <c r="Q100" s="249">
        <f>J100*0.06*$BE$5</f>
        <v>31.815294019372736</v>
      </c>
      <c r="R100" s="122">
        <f t="shared" si="227"/>
        <v>24.203570450221733</v>
      </c>
      <c r="S100" s="249">
        <f>L100*0.06*$BE$5</f>
        <v>16.59184688107073</v>
      </c>
      <c r="T100" s="122">
        <v>12.3</v>
      </c>
      <c r="U100" s="250"/>
      <c r="V100" s="248"/>
      <c r="W100" s="248"/>
      <c r="X100" s="248"/>
      <c r="Y100" s="249"/>
      <c r="Z100" s="248"/>
      <c r="AA100" s="249"/>
      <c r="AB100" s="250"/>
      <c r="AC100" s="248"/>
      <c r="AD100" s="248"/>
      <c r="AE100" s="248"/>
      <c r="AF100" s="673"/>
      <c r="AG100" s="673"/>
      <c r="AH100" s="673"/>
      <c r="AI100" s="607">
        <f>AJ100+((AK100-AJ100)/(2030-2025))*(2020-2025)</f>
        <v>98</v>
      </c>
      <c r="AJ100" s="306">
        <f>AK100+((AL100-AK100)/(2040-2030))*(2025-2030)</f>
        <v>98</v>
      </c>
      <c r="AK100" s="248">
        <v>98</v>
      </c>
      <c r="AL100" s="248">
        <v>98</v>
      </c>
      <c r="AM100" s="386">
        <f>AL100+((AN100-AL100)/(2050-2040))*(2045-2040)</f>
        <v>98</v>
      </c>
      <c r="AN100" s="248">
        <v>98</v>
      </c>
      <c r="AO100" s="386">
        <f>AM100+((AN100-AM100)/(2050-2045))*(2060-2045)</f>
        <v>98</v>
      </c>
      <c r="AP100" s="250"/>
      <c r="AQ100" s="36"/>
      <c r="AR100" t="s">
        <v>396</v>
      </c>
    </row>
    <row r="101" spans="1:47" x14ac:dyDescent="0.3">
      <c r="A101" s="976"/>
      <c r="B101" s="713" t="s">
        <v>267</v>
      </c>
      <c r="C101" s="256"/>
      <c r="D101" s="252"/>
      <c r="E101" s="252"/>
      <c r="F101" s="259"/>
      <c r="G101" s="254">
        <f>MIN(G98:G100)</f>
        <v>50.728029999999997</v>
      </c>
      <c r="H101" s="254">
        <f t="shared" ref="H101:T101" si="228">MIN(H98:H100)</f>
        <v>50.728029999999997</v>
      </c>
      <c r="I101" s="254">
        <f t="shared" si="228"/>
        <v>50.728029999999997</v>
      </c>
      <c r="J101" s="254">
        <f t="shared" si="228"/>
        <v>50.728029999999997</v>
      </c>
      <c r="K101" s="254">
        <f t="shared" si="228"/>
        <v>50.728029999999997</v>
      </c>
      <c r="L101" s="254">
        <f t="shared" si="228"/>
        <v>50.728029999999997</v>
      </c>
      <c r="M101" s="254">
        <f t="shared" si="228"/>
        <v>50.728029999999997</v>
      </c>
      <c r="N101" s="253">
        <f t="shared" si="228"/>
        <v>2.0524641795595486</v>
      </c>
      <c r="O101" s="254">
        <f t="shared" si="228"/>
        <v>2.0524641795595486</v>
      </c>
      <c r="P101" s="254">
        <f t="shared" si="228"/>
        <v>2.0524641795595486</v>
      </c>
      <c r="Q101" s="254">
        <f t="shared" si="228"/>
        <v>2.0524641795595486</v>
      </c>
      <c r="R101" s="254">
        <f t="shared" si="228"/>
        <v>2.0524641795595486</v>
      </c>
      <c r="S101" s="254">
        <f t="shared" si="228"/>
        <v>2.0524641795595486</v>
      </c>
      <c r="T101" s="254">
        <f t="shared" si="228"/>
        <v>2.0524641795595486</v>
      </c>
      <c r="U101" s="256"/>
      <c r="V101" s="252"/>
      <c r="W101" s="252"/>
      <c r="X101" s="252"/>
      <c r="Y101" s="254"/>
      <c r="Z101" s="252"/>
      <c r="AA101" s="254"/>
      <c r="AB101" s="256">
        <f t="shared" ref="AB101:AO101" si="229">MIN(AB98:AB100)</f>
        <v>20</v>
      </c>
      <c r="AC101" s="252">
        <f t="shared" si="229"/>
        <v>20</v>
      </c>
      <c r="AD101" s="252">
        <f t="shared" si="229"/>
        <v>20</v>
      </c>
      <c r="AE101" s="252">
        <f t="shared" si="229"/>
        <v>20</v>
      </c>
      <c r="AF101" s="257">
        <f t="shared" si="229"/>
        <v>20</v>
      </c>
      <c r="AG101" s="257">
        <f t="shared" si="229"/>
        <v>20</v>
      </c>
      <c r="AH101" s="257">
        <f t="shared" si="229"/>
        <v>20</v>
      </c>
      <c r="AI101" s="256">
        <f t="shared" si="229"/>
        <v>98</v>
      </c>
      <c r="AJ101" s="252">
        <f t="shared" si="229"/>
        <v>98</v>
      </c>
      <c r="AK101" s="252">
        <f t="shared" si="229"/>
        <v>98</v>
      </c>
      <c r="AL101" s="252">
        <f t="shared" si="229"/>
        <v>98</v>
      </c>
      <c r="AM101" s="252">
        <f t="shared" si="229"/>
        <v>98</v>
      </c>
      <c r="AN101" s="252">
        <f t="shared" si="229"/>
        <v>98</v>
      </c>
      <c r="AO101" s="252">
        <f t="shared" si="229"/>
        <v>98</v>
      </c>
      <c r="AP101" s="256"/>
      <c r="AQ101" s="259"/>
      <c r="AR101" s="104"/>
    </row>
    <row r="102" spans="1:47" x14ac:dyDescent="0.3">
      <c r="A102" s="976"/>
      <c r="B102" s="714" t="s">
        <v>268</v>
      </c>
      <c r="C102" s="265"/>
      <c r="D102" s="261"/>
      <c r="E102" s="261"/>
      <c r="F102" s="268"/>
      <c r="G102" s="263">
        <f>MEDIAN(G98:G100)</f>
        <v>553.64843155491667</v>
      </c>
      <c r="H102" s="263">
        <f t="shared" ref="H102:T102" si="230">MEDIAN(H98:H100)</f>
        <v>452.86209520588477</v>
      </c>
      <c r="I102" s="263">
        <f t="shared" si="230"/>
        <v>352.07575885685293</v>
      </c>
      <c r="J102" s="263">
        <f t="shared" si="230"/>
        <v>150.50308615878919</v>
      </c>
      <c r="K102" s="263">
        <f t="shared" si="230"/>
        <v>116.25940644288491</v>
      </c>
      <c r="L102" s="263">
        <f t="shared" si="230"/>
        <v>82.015726726980631</v>
      </c>
      <c r="M102" s="263">
        <f t="shared" si="230"/>
        <v>82.02</v>
      </c>
      <c r="N102" s="262">
        <f t="shared" si="230"/>
        <v>22.400703789123941</v>
      </c>
      <c r="O102" s="263">
        <f t="shared" si="230"/>
        <v>18.322872555673158</v>
      </c>
      <c r="P102" s="263">
        <f t="shared" si="230"/>
        <v>14.245041322222374</v>
      </c>
      <c r="Q102" s="263">
        <f t="shared" si="230"/>
        <v>6.0893788553208035</v>
      </c>
      <c r="R102" s="263">
        <f t="shared" si="230"/>
        <v>4.7038741157674746</v>
      </c>
      <c r="S102" s="263">
        <f t="shared" si="230"/>
        <v>3.3183693762141457</v>
      </c>
      <c r="T102" s="263">
        <f t="shared" si="230"/>
        <v>2.46</v>
      </c>
      <c r="U102" s="265"/>
      <c r="V102" s="261"/>
      <c r="W102" s="261"/>
      <c r="X102" s="261"/>
      <c r="Y102" s="263"/>
      <c r="Z102" s="261"/>
      <c r="AA102" s="263"/>
      <c r="AB102" s="265">
        <f t="shared" ref="AB102:AO102" si="231">MEDIAN(AB98:AB100)</f>
        <v>20</v>
      </c>
      <c r="AC102" s="261">
        <f t="shared" si="231"/>
        <v>20</v>
      </c>
      <c r="AD102" s="261">
        <f t="shared" si="231"/>
        <v>20</v>
      </c>
      <c r="AE102" s="261">
        <f t="shared" si="231"/>
        <v>20</v>
      </c>
      <c r="AF102" s="266">
        <f t="shared" si="231"/>
        <v>20</v>
      </c>
      <c r="AG102" s="266">
        <f t="shared" si="231"/>
        <v>20</v>
      </c>
      <c r="AH102" s="266">
        <f t="shared" si="231"/>
        <v>20</v>
      </c>
      <c r="AI102" s="265">
        <f t="shared" si="231"/>
        <v>98</v>
      </c>
      <c r="AJ102" s="261">
        <f t="shared" si="231"/>
        <v>98</v>
      </c>
      <c r="AK102" s="261">
        <f t="shared" si="231"/>
        <v>98</v>
      </c>
      <c r="AL102" s="261">
        <f t="shared" si="231"/>
        <v>98</v>
      </c>
      <c r="AM102" s="261">
        <f t="shared" si="231"/>
        <v>98</v>
      </c>
      <c r="AN102" s="261">
        <f t="shared" si="231"/>
        <v>98</v>
      </c>
      <c r="AO102" s="261">
        <f t="shared" si="231"/>
        <v>98</v>
      </c>
      <c r="AP102" s="265"/>
      <c r="AQ102" s="268"/>
      <c r="AR102" s="104"/>
    </row>
    <row r="103" spans="1:47" x14ac:dyDescent="0.3">
      <c r="A103" s="976"/>
      <c r="B103" s="715" t="s">
        <v>269</v>
      </c>
      <c r="C103" s="273"/>
      <c r="D103" s="274"/>
      <c r="E103" s="274"/>
      <c r="F103" s="277"/>
      <c r="G103" s="271">
        <f>MAX(G98:G100)</f>
        <v>1446.3515684450833</v>
      </c>
      <c r="H103" s="271">
        <f t="shared" ref="H103:T103" si="232">MAX(H98:H100)</f>
        <v>1183.055719962797</v>
      </c>
      <c r="I103" s="271">
        <f t="shared" si="232"/>
        <v>919.75987148051058</v>
      </c>
      <c r="J103" s="271">
        <f t="shared" si="232"/>
        <v>393.16817451593806</v>
      </c>
      <c r="K103" s="271">
        <f t="shared" si="232"/>
        <v>299.10374566669481</v>
      </c>
      <c r="L103" s="271">
        <f t="shared" si="232"/>
        <v>205.03931681745158</v>
      </c>
      <c r="M103" s="271">
        <f t="shared" si="232"/>
        <v>205.04</v>
      </c>
      <c r="N103" s="270">
        <f t="shared" si="232"/>
        <v>117.03922999900861</v>
      </c>
      <c r="O103" s="271">
        <f t="shared" si="232"/>
        <v>95.733246004099641</v>
      </c>
      <c r="P103" s="271">
        <f t="shared" si="232"/>
        <v>74.42726200919067</v>
      </c>
      <c r="Q103" s="271">
        <f t="shared" si="232"/>
        <v>31.815294019372736</v>
      </c>
      <c r="R103" s="271">
        <f t="shared" si="232"/>
        <v>24.203570450221733</v>
      </c>
      <c r="S103" s="271">
        <f t="shared" si="232"/>
        <v>16.59184688107073</v>
      </c>
      <c r="T103" s="271">
        <f t="shared" si="232"/>
        <v>12.3</v>
      </c>
      <c r="U103" s="273"/>
      <c r="V103" s="274"/>
      <c r="W103" s="274"/>
      <c r="X103" s="274"/>
      <c r="Y103" s="271"/>
      <c r="Z103" s="274"/>
      <c r="AA103" s="271"/>
      <c r="AB103" s="273">
        <f t="shared" ref="AB103:AO103" si="233">MAX(AB98:AB100)</f>
        <v>20</v>
      </c>
      <c r="AC103" s="274">
        <f t="shared" si="233"/>
        <v>20</v>
      </c>
      <c r="AD103" s="274">
        <f t="shared" si="233"/>
        <v>20</v>
      </c>
      <c r="AE103" s="274">
        <f t="shared" si="233"/>
        <v>20</v>
      </c>
      <c r="AF103" s="275">
        <f t="shared" si="233"/>
        <v>20</v>
      </c>
      <c r="AG103" s="275">
        <f t="shared" si="233"/>
        <v>20</v>
      </c>
      <c r="AH103" s="275">
        <f t="shared" si="233"/>
        <v>20</v>
      </c>
      <c r="AI103" s="273">
        <f t="shared" si="233"/>
        <v>98</v>
      </c>
      <c r="AJ103" s="274">
        <f t="shared" si="233"/>
        <v>98</v>
      </c>
      <c r="AK103" s="274">
        <f t="shared" si="233"/>
        <v>98</v>
      </c>
      <c r="AL103" s="274">
        <f t="shared" si="233"/>
        <v>98</v>
      </c>
      <c r="AM103" s="274">
        <f t="shared" si="233"/>
        <v>98</v>
      </c>
      <c r="AN103" s="274">
        <f t="shared" si="233"/>
        <v>98</v>
      </c>
      <c r="AO103" s="274">
        <f t="shared" si="233"/>
        <v>98</v>
      </c>
      <c r="AP103" s="273"/>
      <c r="AQ103" s="277"/>
      <c r="AR103" s="104"/>
    </row>
    <row r="104" spans="1:47" ht="15" customHeight="1" x14ac:dyDescent="0.3">
      <c r="A104" s="976"/>
      <c r="B104" s="943" t="s">
        <v>398</v>
      </c>
      <c r="C104" s="278">
        <v>12</v>
      </c>
      <c r="D104" s="279" t="s">
        <v>60</v>
      </c>
      <c r="E104" s="279">
        <v>2022</v>
      </c>
      <c r="F104" s="280" t="s">
        <v>19</v>
      </c>
      <c r="G104" s="279">
        <f>2.2*10^6/10^3</f>
        <v>2200</v>
      </c>
      <c r="H104" s="279"/>
      <c r="I104" s="281"/>
      <c r="J104" s="281"/>
      <c r="K104" s="281"/>
      <c r="L104" s="281"/>
      <c r="M104" s="281"/>
      <c r="N104" s="508">
        <f t="shared" ref="N104:N106" si="234">G104*0.017*$BE$5</f>
        <v>50.440332044911621</v>
      </c>
      <c r="O104" s="281"/>
      <c r="P104" s="281"/>
      <c r="Q104" s="281"/>
      <c r="R104" s="281"/>
      <c r="S104" s="281"/>
      <c r="T104" s="281"/>
      <c r="U104" s="278"/>
      <c r="V104" s="279"/>
      <c r="W104" s="279"/>
      <c r="X104" s="279"/>
      <c r="Y104" s="281"/>
      <c r="Z104" s="279"/>
      <c r="AA104" s="281"/>
      <c r="AB104" s="278"/>
      <c r="AC104" s="279"/>
      <c r="AD104" s="279"/>
      <c r="AE104" s="279"/>
      <c r="AF104" s="281"/>
      <c r="AG104" s="279"/>
      <c r="AH104" s="281"/>
      <c r="AI104" s="278"/>
      <c r="AJ104" s="279"/>
      <c r="AK104" s="279"/>
      <c r="AL104" s="279"/>
      <c r="AM104" s="281"/>
      <c r="AN104" s="279"/>
      <c r="AO104" s="281"/>
      <c r="AP104" s="278"/>
      <c r="AQ104" s="7"/>
      <c r="AR104" s="104" t="s">
        <v>399</v>
      </c>
    </row>
    <row r="105" spans="1:47" x14ac:dyDescent="0.3">
      <c r="A105" s="976"/>
      <c r="B105" s="944"/>
      <c r="C105" s="289">
        <v>12</v>
      </c>
      <c r="D105" s="290" t="s">
        <v>60</v>
      </c>
      <c r="E105" s="290">
        <v>2022</v>
      </c>
      <c r="F105" s="291" t="s">
        <v>19</v>
      </c>
      <c r="G105" s="290">
        <f>3.4*10^6/10^3</f>
        <v>3400</v>
      </c>
      <c r="H105" s="290"/>
      <c r="I105" s="282"/>
      <c r="J105" s="282"/>
      <c r="K105" s="282"/>
      <c r="L105" s="282"/>
      <c r="M105" s="282"/>
      <c r="N105" s="510">
        <f t="shared" si="234"/>
        <v>77.953240433045224</v>
      </c>
      <c r="O105" s="282"/>
      <c r="P105" s="282"/>
      <c r="Q105" s="282"/>
      <c r="R105" s="282"/>
      <c r="S105" s="282"/>
      <c r="T105" s="282"/>
      <c r="U105" s="289"/>
      <c r="V105" s="290"/>
      <c r="W105" s="290"/>
      <c r="X105" s="290"/>
      <c r="Y105" s="282"/>
      <c r="Z105" s="290"/>
      <c r="AA105" s="282"/>
      <c r="AB105" s="289"/>
      <c r="AC105" s="290"/>
      <c r="AD105" s="290"/>
      <c r="AE105" s="290"/>
      <c r="AF105" s="282"/>
      <c r="AG105" s="290"/>
      <c r="AH105" s="282"/>
      <c r="AI105" s="289"/>
      <c r="AJ105" s="290"/>
      <c r="AK105" s="290"/>
      <c r="AL105" s="290"/>
      <c r="AM105" s="282"/>
      <c r="AN105" s="290"/>
      <c r="AO105" s="282"/>
      <c r="AP105" s="289"/>
      <c r="AQ105" s="11"/>
      <c r="AR105" s="104" t="s">
        <v>400</v>
      </c>
    </row>
    <row r="106" spans="1:47" x14ac:dyDescent="0.3">
      <c r="A106" s="976"/>
      <c r="B106" s="944"/>
      <c r="C106" s="289">
        <v>12</v>
      </c>
      <c r="D106" s="290" t="s">
        <v>60</v>
      </c>
      <c r="E106" s="290">
        <v>2022</v>
      </c>
      <c r="F106" s="291" t="s">
        <v>19</v>
      </c>
      <c r="G106" s="290">
        <f>6.7*10^6/10^3</f>
        <v>6700</v>
      </c>
      <c r="H106" s="290"/>
      <c r="I106" s="282"/>
      <c r="J106" s="282"/>
      <c r="K106" s="282"/>
      <c r="L106" s="282"/>
      <c r="M106" s="282"/>
      <c r="N106" s="510">
        <f t="shared" si="234"/>
        <v>153.61373850041264</v>
      </c>
      <c r="O106" s="282"/>
      <c r="P106" s="282"/>
      <c r="Q106" s="282"/>
      <c r="R106" s="282"/>
      <c r="S106" s="282"/>
      <c r="T106" s="282"/>
      <c r="U106" s="289"/>
      <c r="V106" s="290"/>
      <c r="W106" s="290"/>
      <c r="X106" s="290"/>
      <c r="Y106" s="282"/>
      <c r="Z106" s="290"/>
      <c r="AA106" s="282"/>
      <c r="AB106" s="289"/>
      <c r="AC106" s="290"/>
      <c r="AD106" s="290"/>
      <c r="AE106" s="290"/>
      <c r="AF106" s="282"/>
      <c r="AG106" s="290"/>
      <c r="AH106" s="282"/>
      <c r="AI106" s="289"/>
      <c r="AJ106" s="290"/>
      <c r="AK106" s="290"/>
      <c r="AL106" s="290"/>
      <c r="AM106" s="282"/>
      <c r="AN106" s="290"/>
      <c r="AO106" s="282"/>
      <c r="AP106" s="289"/>
      <c r="AQ106" s="11"/>
      <c r="AR106" s="104" t="s">
        <v>401</v>
      </c>
    </row>
    <row r="107" spans="1:47" x14ac:dyDescent="0.3">
      <c r="A107" s="976"/>
      <c r="B107" s="944"/>
      <c r="C107" s="289">
        <v>17</v>
      </c>
      <c r="D107" s="716" t="s">
        <v>72</v>
      </c>
      <c r="E107" s="290">
        <v>2021</v>
      </c>
      <c r="F107" s="291" t="s">
        <v>19</v>
      </c>
      <c r="G107" s="290">
        <v>2083</v>
      </c>
      <c r="H107" s="290"/>
      <c r="I107" s="282"/>
      <c r="J107" s="282"/>
      <c r="K107" s="282"/>
      <c r="L107" s="282"/>
      <c r="M107" s="282"/>
      <c r="N107" s="106">
        <f t="shared" ref="N107:N108" si="235">G107*0.02*$BE$5</f>
        <v>56.185674678904221</v>
      </c>
      <c r="O107" s="282"/>
      <c r="P107" s="282"/>
      <c r="Q107" s="282"/>
      <c r="R107" s="282"/>
      <c r="S107" s="282"/>
      <c r="T107" s="282"/>
      <c r="U107" s="289"/>
      <c r="V107" s="290"/>
      <c r="W107" s="290"/>
      <c r="X107" s="290"/>
      <c r="Y107" s="282"/>
      <c r="Z107" s="290"/>
      <c r="AA107" s="282"/>
      <c r="AB107" s="289"/>
      <c r="AC107" s="290"/>
      <c r="AD107" s="290"/>
      <c r="AE107" s="290"/>
      <c r="AF107" s="282"/>
      <c r="AG107" s="290"/>
      <c r="AH107" s="282"/>
      <c r="AI107" s="289"/>
      <c r="AJ107" s="290"/>
      <c r="AK107" s="290"/>
      <c r="AL107" s="290"/>
      <c r="AM107" s="282"/>
      <c r="AN107" s="290"/>
      <c r="AO107" s="282"/>
      <c r="AP107" s="289"/>
      <c r="AQ107" s="11"/>
      <c r="AR107" s="104"/>
    </row>
    <row r="108" spans="1:47" x14ac:dyDescent="0.3">
      <c r="A108" s="976"/>
      <c r="B108" s="945"/>
      <c r="C108" s="299">
        <v>17</v>
      </c>
      <c r="D108" s="717" t="s">
        <v>72</v>
      </c>
      <c r="E108" s="300">
        <v>2021</v>
      </c>
      <c r="F108" s="301" t="s">
        <v>19</v>
      </c>
      <c r="G108" s="717"/>
      <c r="H108" s="300"/>
      <c r="I108" s="302"/>
      <c r="J108" s="302"/>
      <c r="K108" s="302"/>
      <c r="L108" s="302"/>
      <c r="M108" s="302"/>
      <c r="N108" s="607">
        <f t="shared" si="235"/>
        <v>0</v>
      </c>
      <c r="O108" s="302"/>
      <c r="P108" s="302"/>
      <c r="Q108" s="302"/>
      <c r="R108" s="302"/>
      <c r="S108" s="302"/>
      <c r="T108" s="302"/>
      <c r="U108" s="299"/>
      <c r="V108" s="300"/>
      <c r="W108" s="300"/>
      <c r="X108" s="300"/>
      <c r="Y108" s="302"/>
      <c r="Z108" s="300"/>
      <c r="AA108" s="302"/>
      <c r="AB108" s="299"/>
      <c r="AC108" s="300"/>
      <c r="AD108" s="300"/>
      <c r="AE108" s="300"/>
      <c r="AF108" s="302"/>
      <c r="AG108" s="300"/>
      <c r="AH108" s="302"/>
      <c r="AI108" s="299"/>
      <c r="AJ108" s="300"/>
      <c r="AK108" s="300"/>
      <c r="AL108" s="300"/>
      <c r="AM108" s="302"/>
      <c r="AN108" s="300"/>
      <c r="AO108" s="302"/>
      <c r="AP108" s="299"/>
      <c r="AQ108" s="18"/>
      <c r="AR108" s="104"/>
    </row>
    <row r="109" spans="1:47" x14ac:dyDescent="0.3">
      <c r="A109" s="976"/>
      <c r="B109" s="718" t="s">
        <v>267</v>
      </c>
      <c r="C109" s="317"/>
      <c r="D109" s="318"/>
      <c r="E109" s="318"/>
      <c r="F109" s="321"/>
      <c r="G109" s="311">
        <f>MIN(G104:G108)</f>
        <v>2083</v>
      </c>
      <c r="H109" s="311"/>
      <c r="I109" s="311"/>
      <c r="J109" s="311"/>
      <c r="K109" s="311"/>
      <c r="L109" s="311"/>
      <c r="M109" s="311"/>
      <c r="N109" s="312">
        <f>MIN(N104:N108)</f>
        <v>0</v>
      </c>
      <c r="O109" s="318"/>
      <c r="P109" s="318"/>
      <c r="Q109" s="318"/>
      <c r="R109" s="318"/>
      <c r="S109" s="318"/>
      <c r="T109" s="321"/>
      <c r="U109" s="328"/>
      <c r="V109" s="311"/>
      <c r="W109" s="311"/>
      <c r="X109" s="311"/>
      <c r="Y109" s="311"/>
      <c r="Z109" s="311"/>
      <c r="AA109" s="311"/>
      <c r="AB109" s="328"/>
      <c r="AC109" s="311"/>
      <c r="AD109" s="311"/>
      <c r="AE109" s="311"/>
      <c r="AF109" s="311"/>
      <c r="AG109" s="311"/>
      <c r="AH109" s="311"/>
      <c r="AI109" s="328"/>
      <c r="AJ109" s="311"/>
      <c r="AK109" s="311"/>
      <c r="AL109" s="311"/>
      <c r="AM109" s="311"/>
      <c r="AN109" s="311"/>
      <c r="AO109" s="311"/>
      <c r="AP109" s="328"/>
      <c r="AQ109" s="331"/>
      <c r="AR109" s="104"/>
    </row>
    <row r="110" spans="1:47" x14ac:dyDescent="0.3">
      <c r="A110" s="976"/>
      <c r="B110" s="718" t="s">
        <v>268</v>
      </c>
      <c r="C110" s="328"/>
      <c r="D110" s="311"/>
      <c r="E110" s="311"/>
      <c r="F110" s="331"/>
      <c r="G110" s="311">
        <f>MEDIAN(G104:G108)</f>
        <v>2800</v>
      </c>
      <c r="H110" s="311"/>
      <c r="I110" s="311"/>
      <c r="J110" s="311"/>
      <c r="K110" s="311"/>
      <c r="L110" s="311"/>
      <c r="M110" s="311"/>
      <c r="N110" s="323">
        <f>MEDIAN(N104:N108)</f>
        <v>56.185674678904221</v>
      </c>
      <c r="O110" s="311"/>
      <c r="P110" s="311"/>
      <c r="Q110" s="311"/>
      <c r="R110" s="311"/>
      <c r="S110" s="311"/>
      <c r="T110" s="331"/>
      <c r="U110" s="328"/>
      <c r="V110" s="311"/>
      <c r="W110" s="311"/>
      <c r="X110" s="311"/>
      <c r="Y110" s="311"/>
      <c r="Z110" s="311"/>
      <c r="AA110" s="311"/>
      <c r="AB110" s="328"/>
      <c r="AC110" s="311"/>
      <c r="AD110" s="311"/>
      <c r="AE110" s="311"/>
      <c r="AF110" s="311"/>
      <c r="AG110" s="311"/>
      <c r="AH110" s="311"/>
      <c r="AI110" s="328"/>
      <c r="AJ110" s="311"/>
      <c r="AK110" s="311"/>
      <c r="AL110" s="311"/>
      <c r="AM110" s="311"/>
      <c r="AN110" s="311"/>
      <c r="AO110" s="311"/>
      <c r="AP110" s="328"/>
      <c r="AQ110" s="331"/>
      <c r="AR110" s="104"/>
    </row>
    <row r="111" spans="1:47" x14ac:dyDescent="0.3">
      <c r="A111" s="977"/>
      <c r="B111" s="719" t="s">
        <v>269</v>
      </c>
      <c r="C111" s="339"/>
      <c r="D111" s="333"/>
      <c r="E111" s="333"/>
      <c r="F111" s="342"/>
      <c r="G111" s="333">
        <f>MAX(G104:G108)</f>
        <v>6700</v>
      </c>
      <c r="H111" s="333"/>
      <c r="I111" s="333"/>
      <c r="J111" s="333"/>
      <c r="K111" s="333"/>
      <c r="L111" s="333"/>
      <c r="M111" s="333"/>
      <c r="N111" s="334">
        <f>MAX(N104:N108)</f>
        <v>153.61373850041264</v>
      </c>
      <c r="O111" s="333"/>
      <c r="P111" s="333"/>
      <c r="Q111" s="333"/>
      <c r="R111" s="333"/>
      <c r="S111" s="333"/>
      <c r="T111" s="342"/>
      <c r="U111" s="339"/>
      <c r="V111" s="333"/>
      <c r="W111" s="333"/>
      <c r="X111" s="333"/>
      <c r="Y111" s="333"/>
      <c r="Z111" s="333"/>
      <c r="AA111" s="333"/>
      <c r="AB111" s="339"/>
      <c r="AC111" s="333"/>
      <c r="AD111" s="333"/>
      <c r="AE111" s="333"/>
      <c r="AF111" s="333"/>
      <c r="AG111" s="333"/>
      <c r="AH111" s="333"/>
      <c r="AI111" s="339"/>
      <c r="AJ111" s="333"/>
      <c r="AK111" s="333"/>
      <c r="AL111" s="333"/>
      <c r="AM111" s="333"/>
      <c r="AN111" s="333"/>
      <c r="AO111" s="333"/>
      <c r="AP111" s="339"/>
      <c r="AQ111" s="342"/>
      <c r="AR111" s="104"/>
    </row>
    <row r="112" spans="1:47" x14ac:dyDescent="0.3">
      <c r="A112" s="678"/>
      <c r="B112" s="678"/>
      <c r="C112" s="445"/>
      <c r="D112" s="439"/>
      <c r="E112" s="439"/>
      <c r="F112" s="446"/>
      <c r="G112" s="439"/>
      <c r="H112" s="439"/>
      <c r="I112" s="439"/>
      <c r="J112" s="439"/>
      <c r="K112" s="439"/>
      <c r="L112" s="439"/>
      <c r="M112" s="439"/>
      <c r="N112" s="440"/>
      <c r="O112" s="439"/>
      <c r="P112" s="439"/>
      <c r="Q112" s="439"/>
      <c r="R112" s="439"/>
      <c r="S112" s="439"/>
      <c r="T112" s="439"/>
      <c r="U112" s="445"/>
      <c r="V112" s="439"/>
      <c r="W112" s="439"/>
      <c r="X112" s="439"/>
      <c r="Y112" s="439"/>
      <c r="Z112" s="439"/>
      <c r="AA112" s="439"/>
      <c r="AB112" s="445"/>
      <c r="AC112" s="439"/>
      <c r="AD112" s="439"/>
      <c r="AE112" s="439"/>
      <c r="AF112" s="439"/>
      <c r="AG112" s="439"/>
      <c r="AH112" s="439"/>
      <c r="AI112" s="445"/>
      <c r="AJ112" s="439"/>
      <c r="AK112" s="439"/>
      <c r="AL112" s="439"/>
      <c r="AM112" s="439"/>
      <c r="AN112" s="439"/>
      <c r="AO112" s="439"/>
      <c r="AP112" s="445"/>
      <c r="AQ112" s="446"/>
      <c r="AR112" s="635"/>
      <c r="AS112" s="635"/>
      <c r="AT112" s="635"/>
      <c r="AU112" s="635"/>
    </row>
    <row r="113" spans="1:57" x14ac:dyDescent="0.3">
      <c r="A113" s="995" t="s">
        <v>132</v>
      </c>
      <c r="B113" s="983" t="s">
        <v>52</v>
      </c>
      <c r="C113" s="687">
        <v>1</v>
      </c>
      <c r="D113" s="90" t="s">
        <v>18</v>
      </c>
      <c r="E113" s="90">
        <v>2020</v>
      </c>
      <c r="F113" s="688" t="s">
        <v>19</v>
      </c>
      <c r="G113" s="94">
        <f>(5385)/1.1422/3.805</f>
        <v>1239.0501673810666</v>
      </c>
      <c r="H113" s="93">
        <f>G113+((I113-G113)/(2030-2020))*(2025-2020)</f>
        <v>1177.0401357916148</v>
      </c>
      <c r="I113" s="94">
        <f>(4846)/1.1422/3.805</f>
        <v>1115.0301042021633</v>
      </c>
      <c r="J113" s="94">
        <f>(4362)/1.1422/3.805</f>
        <v>1003.6651495109029</v>
      </c>
      <c r="K113" s="93">
        <f>J113+((L113-J113)/(2050-2040))*(2045-2040)</f>
        <v>947.86762572447606</v>
      </c>
      <c r="L113" s="94">
        <f>(3877)/1.1422/3.805</f>
        <v>892.07010193804922</v>
      </c>
      <c r="M113" s="95">
        <f>K113+((L113-K113)/(2050-2045))*(2060-2045)</f>
        <v>780.47505436519555</v>
      </c>
      <c r="N113" s="447">
        <f t="shared" ref="N113:N114" si="236">G113*0.04*$BE$6</f>
        <v>66.285181229634631</v>
      </c>
      <c r="O113" s="93">
        <f>N113+((P113-N113)/(2030-2020))*(2025-2020)</f>
        <v>62.96784486168913</v>
      </c>
      <c r="P113" s="94">
        <f>I113*0.04*$BE$6</f>
        <v>59.650508493743622</v>
      </c>
      <c r="Q113" s="94">
        <f>J113*0.04*$BE$6</f>
        <v>53.692843179882303</v>
      </c>
      <c r="R113" s="93">
        <f>Q113+((S113-Q113)/(2050-2040))*(2045-2040)</f>
        <v>50.707855910024108</v>
      </c>
      <c r="S113" s="94">
        <f>L113*0.04*$BE$6</f>
        <v>47.722868640165913</v>
      </c>
      <c r="T113" s="93">
        <f>R113+((S113-R113)/(2050-2045))*(2060-2045)</f>
        <v>41.752894100449524</v>
      </c>
      <c r="U113" s="96"/>
      <c r="V113" s="97"/>
      <c r="W113" s="97"/>
      <c r="X113" s="97"/>
      <c r="Y113" s="94"/>
      <c r="Z113" s="97"/>
      <c r="AA113" s="94"/>
      <c r="AB113" s="96">
        <v>30</v>
      </c>
      <c r="AC113" s="100">
        <v>30</v>
      </c>
      <c r="AD113" s="97">
        <v>30</v>
      </c>
      <c r="AE113" s="97">
        <v>30</v>
      </c>
      <c r="AF113" s="101">
        <f>AE113+((AG113-AE113)/(2050-2040))*(2045-2040)</f>
        <v>30</v>
      </c>
      <c r="AG113" s="102">
        <v>30</v>
      </c>
      <c r="AH113" s="101">
        <f>AF113+((AG113-AF113)/(2050-2045))*(2060-2045)</f>
        <v>30</v>
      </c>
      <c r="AI113" s="96"/>
      <c r="AJ113" s="97"/>
      <c r="AK113" s="97"/>
      <c r="AL113" s="97"/>
      <c r="AM113" s="94"/>
      <c r="AN113" s="97"/>
      <c r="AO113" s="94"/>
      <c r="AP113" s="96"/>
      <c r="AQ113" s="43"/>
      <c r="AR113" s="104"/>
    </row>
    <row r="114" spans="1:57" x14ac:dyDescent="0.3">
      <c r="A114" s="995"/>
      <c r="B114" s="984"/>
      <c r="C114" s="689">
        <v>2</v>
      </c>
      <c r="D114" s="105" t="s">
        <v>23</v>
      </c>
      <c r="E114" s="105">
        <v>2019</v>
      </c>
      <c r="F114" s="690" t="s">
        <v>19</v>
      </c>
      <c r="G114" s="108">
        <f>((1400*10^6)/1.1297)/(260*10^3)/3.805</f>
        <v>1252.6706378771578</v>
      </c>
      <c r="H114" s="108"/>
      <c r="I114" s="108"/>
      <c r="J114" s="108"/>
      <c r="K114" s="108"/>
      <c r="L114" s="108"/>
      <c r="M114" s="108"/>
      <c r="N114" s="113">
        <f t="shared" si="236"/>
        <v>67.013832400534824</v>
      </c>
      <c r="O114" s="108"/>
      <c r="P114" s="108"/>
      <c r="Q114" s="108"/>
      <c r="R114" s="108"/>
      <c r="S114" s="108"/>
      <c r="T114" s="108"/>
      <c r="U114" s="110"/>
      <c r="V114" s="111"/>
      <c r="W114" s="111"/>
      <c r="X114" s="111"/>
      <c r="Y114" s="108"/>
      <c r="Z114" s="111"/>
      <c r="AA114" s="108"/>
      <c r="AB114" s="110"/>
      <c r="AC114" s="111"/>
      <c r="AD114" s="111"/>
      <c r="AE114" s="111"/>
      <c r="AF114" s="117"/>
      <c r="AG114" s="117"/>
      <c r="AH114" s="117"/>
      <c r="AI114" s="110"/>
      <c r="AJ114" s="111"/>
      <c r="AK114" s="111"/>
      <c r="AL114" s="111"/>
      <c r="AM114" s="108"/>
      <c r="AN114" s="111"/>
      <c r="AO114" s="108"/>
      <c r="AP114" s="110"/>
      <c r="AQ114" s="46"/>
      <c r="AR114" s="104"/>
    </row>
    <row r="115" spans="1:57" x14ac:dyDescent="0.3">
      <c r="A115" s="995"/>
      <c r="B115" s="984"/>
      <c r="C115" s="689">
        <v>9</v>
      </c>
      <c r="D115" s="105" t="s">
        <v>50</v>
      </c>
      <c r="E115" s="105">
        <v>2021</v>
      </c>
      <c r="F115" s="690" t="s">
        <v>19</v>
      </c>
      <c r="G115" s="108"/>
      <c r="H115" s="108"/>
      <c r="I115" s="108"/>
      <c r="J115" s="108"/>
      <c r="K115" s="108"/>
      <c r="L115" s="108"/>
      <c r="M115" s="108"/>
      <c r="N115" s="113"/>
      <c r="O115" s="108"/>
      <c r="P115" s="108"/>
      <c r="Q115" s="108"/>
      <c r="R115" s="108"/>
      <c r="S115" s="108"/>
      <c r="T115" s="108"/>
      <c r="U115" s="110"/>
      <c r="V115" s="111"/>
      <c r="W115" s="111"/>
      <c r="X115" s="111"/>
      <c r="Y115" s="108"/>
      <c r="Z115" s="111"/>
      <c r="AA115" s="108"/>
      <c r="AB115" s="110"/>
      <c r="AC115" s="111"/>
      <c r="AD115" s="111"/>
      <c r="AE115" s="111"/>
      <c r="AF115" s="117"/>
      <c r="AG115" s="117"/>
      <c r="AH115" s="117"/>
      <c r="AI115" s="110"/>
      <c r="AJ115" s="111"/>
      <c r="AK115" s="111"/>
      <c r="AL115" s="111"/>
      <c r="AM115" s="108"/>
      <c r="AN115" s="111"/>
      <c r="AO115" s="108"/>
      <c r="AP115" s="110"/>
      <c r="AQ115" s="46"/>
      <c r="AR115" s="104" t="s">
        <v>385</v>
      </c>
      <c r="BE115" s="76"/>
    </row>
    <row r="116" spans="1:57" x14ac:dyDescent="0.3">
      <c r="A116" s="995"/>
      <c r="B116" s="984"/>
      <c r="C116" s="689">
        <v>11</v>
      </c>
      <c r="D116" s="105" t="s">
        <v>57</v>
      </c>
      <c r="E116" s="105">
        <v>2022</v>
      </c>
      <c r="F116" s="690" t="s">
        <v>19</v>
      </c>
      <c r="G116" s="107">
        <f t="shared" ref="G116:G117" si="237">H116+((I116-H116)/(2030-2025))*(2020-2025)</f>
        <v>2272.7657055889067</v>
      </c>
      <c r="H116" s="107">
        <f t="shared" ref="H116:H117" si="238">I116+((J116-I116)/(2040-2030))*(2025-2030)</f>
        <v>1922.9305825653166</v>
      </c>
      <c r="I116" s="108">
        <f>1860.5/1.1827</f>
        <v>1573.0954595417265</v>
      </c>
      <c r="J116" s="108">
        <f>1033/1.1827</f>
        <v>873.42521349454637</v>
      </c>
      <c r="K116" s="107">
        <f t="shared" ref="K116:K117" si="239">J116+((L116-J116)/(2050-2040))*(2045-2040)</f>
        <v>691.80688255686141</v>
      </c>
      <c r="L116" s="108">
        <f>603.4/1.1827</f>
        <v>510.18855161917639</v>
      </c>
      <c r="M116" s="107">
        <v>510.18855161917639</v>
      </c>
      <c r="N116" s="106">
        <f t="shared" ref="N116:N117" si="240">O116+((P116-O116)/(2030-2025))*(2020-2025)</f>
        <v>121.58562312766055</v>
      </c>
      <c r="O116" s="107">
        <f t="shared" ref="O116:O117" si="241">P116+((Q116-P116)/(2040-2030))*(2025-2030)</f>
        <v>102.87057418083408</v>
      </c>
      <c r="P116" s="108">
        <f t="shared" ref="P116:P117" si="242">I116*0.04*$BE$6</f>
        <v>84.155525234007612</v>
      </c>
      <c r="Q116" s="108">
        <f t="shared" ref="Q116:Q117" si="243">J116*0.04*$BE$6</f>
        <v>46.72542734035467</v>
      </c>
      <c r="R116" s="107">
        <f t="shared" ref="R116:R117" si="244">Q116+((S116-Q116)/(2050-2040))*(2045-2040)</f>
        <v>37.009433349349649</v>
      </c>
      <c r="S116" s="108">
        <f t="shared" ref="S116:S117" si="245">L116*0.04*$BE$6</f>
        <v>27.293439358344632</v>
      </c>
      <c r="T116" s="107">
        <v>20.41</v>
      </c>
      <c r="U116" s="110"/>
      <c r="V116" s="111"/>
      <c r="W116" s="111"/>
      <c r="X116" s="111"/>
      <c r="Y116" s="108"/>
      <c r="Z116" s="111"/>
      <c r="AA116" s="108"/>
      <c r="AB116" s="110"/>
      <c r="AC116" s="111"/>
      <c r="AD116" s="111"/>
      <c r="AE116" s="111"/>
      <c r="AF116" s="117"/>
      <c r="AG116" s="117"/>
      <c r="AH116" s="117"/>
      <c r="AI116" s="106">
        <f t="shared" ref="AI116:AI117" si="246">AJ116+((AK116-AJ116)/(2030-2025))*(2020-2025)</f>
        <v>92</v>
      </c>
      <c r="AJ116" s="297">
        <f t="shared" ref="AJ116:AJ117" si="247">AK116+((AL116-AK116)/(2040-2030))*(2025-2030)</f>
        <v>93.5</v>
      </c>
      <c r="AK116" s="111">
        <v>95</v>
      </c>
      <c r="AL116" s="111">
        <v>98</v>
      </c>
      <c r="AM116" s="378">
        <f t="shared" ref="AM116:AM117" si="248">AL116+((AN116-AL116)/(2050-2040))*(2045-2040)</f>
        <v>99</v>
      </c>
      <c r="AN116" s="111">
        <v>100</v>
      </c>
      <c r="AO116" s="117">
        <v>100</v>
      </c>
      <c r="AP116" s="110"/>
      <c r="AQ116" s="46"/>
      <c r="AR116" s="104" t="s">
        <v>386</v>
      </c>
      <c r="BE116" s="76"/>
    </row>
    <row r="117" spans="1:57" x14ac:dyDescent="0.3">
      <c r="A117" s="995"/>
      <c r="B117" s="984"/>
      <c r="C117" s="689">
        <v>11</v>
      </c>
      <c r="D117" s="105" t="s">
        <v>57</v>
      </c>
      <c r="E117" s="105">
        <v>2022</v>
      </c>
      <c r="F117" s="690" t="s">
        <v>19</v>
      </c>
      <c r="G117" s="107">
        <f t="shared" si="237"/>
        <v>4788.2810518305578</v>
      </c>
      <c r="H117" s="107">
        <f t="shared" si="238"/>
        <v>3951.5092584763679</v>
      </c>
      <c r="I117" s="108">
        <f>(3683.8)/1.1827</f>
        <v>3114.737465122178</v>
      </c>
      <c r="J117" s="108">
        <f>(1704.5)/1.1827</f>
        <v>1441.1938784137988</v>
      </c>
      <c r="K117" s="107">
        <f t="shared" si="239"/>
        <v>1141.4982666779401</v>
      </c>
      <c r="L117" s="108">
        <f>(995.6)/1.1827</f>
        <v>841.80265494208163</v>
      </c>
      <c r="M117" s="107">
        <v>841.80265494208163</v>
      </c>
      <c r="N117" s="106">
        <f t="shared" si="240"/>
        <v>256.15756783268398</v>
      </c>
      <c r="O117" s="107">
        <f t="shared" si="241"/>
        <v>211.392980061743</v>
      </c>
      <c r="P117" s="108">
        <f t="shared" si="242"/>
        <v>166.62839229080205</v>
      </c>
      <c r="Q117" s="108">
        <f t="shared" si="243"/>
        <v>77.099216748920156</v>
      </c>
      <c r="R117" s="107">
        <f t="shared" si="244"/>
        <v>61.0664696813609</v>
      </c>
      <c r="S117" s="108">
        <f t="shared" si="245"/>
        <v>45.03372261380165</v>
      </c>
      <c r="T117" s="107">
        <v>33.67</v>
      </c>
      <c r="U117" s="110"/>
      <c r="V117" s="111"/>
      <c r="W117" s="111"/>
      <c r="X117" s="111"/>
      <c r="Y117" s="108"/>
      <c r="Z117" s="111"/>
      <c r="AA117" s="108"/>
      <c r="AB117" s="110"/>
      <c r="AC117" s="111"/>
      <c r="AD117" s="111"/>
      <c r="AE117" s="111"/>
      <c r="AF117" s="117"/>
      <c r="AG117" s="117"/>
      <c r="AH117" s="117"/>
      <c r="AI117" s="106">
        <f t="shared" si="246"/>
        <v>92</v>
      </c>
      <c r="AJ117" s="297">
        <f t="shared" si="247"/>
        <v>93.5</v>
      </c>
      <c r="AK117" s="111">
        <v>95</v>
      </c>
      <c r="AL117" s="111">
        <v>98</v>
      </c>
      <c r="AM117" s="378">
        <f t="shared" si="248"/>
        <v>99</v>
      </c>
      <c r="AN117" s="111">
        <v>100</v>
      </c>
      <c r="AO117" s="117">
        <v>100</v>
      </c>
      <c r="AP117" s="110"/>
      <c r="AQ117" s="46"/>
      <c r="AR117" s="116" t="s">
        <v>387</v>
      </c>
      <c r="BE117" s="76"/>
    </row>
    <row r="118" spans="1:57" x14ac:dyDescent="0.3">
      <c r="A118" s="995"/>
      <c r="B118" s="985"/>
      <c r="C118" s="691">
        <v>4</v>
      </c>
      <c r="D118" s="120" t="s">
        <v>31</v>
      </c>
      <c r="E118" s="120">
        <v>2022</v>
      </c>
      <c r="F118" s="692" t="s">
        <v>19</v>
      </c>
      <c r="G118" s="121">
        <f>870.56</f>
        <v>870.56</v>
      </c>
      <c r="H118" s="121">
        <f>870.56</f>
        <v>870.56</v>
      </c>
      <c r="I118" s="121">
        <f>870.56</f>
        <v>870.56</v>
      </c>
      <c r="J118" s="121">
        <v>696.45</v>
      </c>
      <c r="K118" s="121">
        <v>609.39</v>
      </c>
      <c r="L118" s="121">
        <v>522.34</v>
      </c>
      <c r="M118" s="122">
        <v>522.34</v>
      </c>
      <c r="N118" s="587">
        <f t="shared" ref="N118:S118" si="249">G118*0.025*$BE$6</f>
        <v>29.107592296504865</v>
      </c>
      <c r="O118" s="121">
        <f t="shared" si="249"/>
        <v>29.107592296504865</v>
      </c>
      <c r="P118" s="121">
        <f t="shared" si="249"/>
        <v>29.107592296504865</v>
      </c>
      <c r="Q118" s="121">
        <f t="shared" si="249"/>
        <v>23.286140708165796</v>
      </c>
      <c r="R118" s="121">
        <f t="shared" si="249"/>
        <v>20.375247736591504</v>
      </c>
      <c r="S118" s="121">
        <f t="shared" si="249"/>
        <v>17.464689119826726</v>
      </c>
      <c r="T118" s="107">
        <v>13.06</v>
      </c>
      <c r="U118" s="123"/>
      <c r="V118" s="124"/>
      <c r="W118" s="124"/>
      <c r="X118" s="124"/>
      <c r="Y118" s="121"/>
      <c r="Z118" s="124"/>
      <c r="AA118" s="121"/>
      <c r="AB118" s="123">
        <v>20</v>
      </c>
      <c r="AC118" s="124">
        <v>20</v>
      </c>
      <c r="AD118" s="124">
        <v>20</v>
      </c>
      <c r="AE118" s="124">
        <v>20</v>
      </c>
      <c r="AF118" s="639">
        <v>20</v>
      </c>
      <c r="AG118" s="639">
        <v>20</v>
      </c>
      <c r="AH118" s="386">
        <f>AF118+((AG118-AF118)/(2050-2045))*(2060-2045)</f>
        <v>20</v>
      </c>
      <c r="AI118" s="587"/>
      <c r="AJ118" s="124"/>
      <c r="AK118" s="124"/>
      <c r="AL118" s="124"/>
      <c r="AM118" s="121"/>
      <c r="AN118" s="124"/>
      <c r="AO118" s="121"/>
      <c r="AP118" s="123"/>
      <c r="AQ118" s="51"/>
      <c r="AR118" s="116"/>
    </row>
    <row r="119" spans="1:57" x14ac:dyDescent="0.3">
      <c r="A119" s="995"/>
      <c r="B119" s="693" t="s">
        <v>267</v>
      </c>
      <c r="C119" s="139"/>
      <c r="D119" s="134"/>
      <c r="E119" s="134"/>
      <c r="F119" s="140"/>
      <c r="G119" s="128">
        <f>MIN(G113:G114, G116:G118)</f>
        <v>870.56</v>
      </c>
      <c r="H119" s="128">
        <f t="shared" ref="H119:M119" si="250">MIN(H113:H114, H116:H118)</f>
        <v>870.56</v>
      </c>
      <c r="I119" s="128">
        <f t="shared" si="250"/>
        <v>870.56</v>
      </c>
      <c r="J119" s="128">
        <f t="shared" si="250"/>
        <v>696.45</v>
      </c>
      <c r="K119" s="128">
        <f t="shared" si="250"/>
        <v>609.39</v>
      </c>
      <c r="L119" s="128">
        <f t="shared" si="250"/>
        <v>510.18855161917639</v>
      </c>
      <c r="M119" s="128">
        <f t="shared" si="250"/>
        <v>510.18855161917639</v>
      </c>
      <c r="N119" s="127">
        <f>MIN(N113:N118)</f>
        <v>29.107592296504865</v>
      </c>
      <c r="O119" s="128">
        <f t="shared" ref="O119:T119" si="251">MIN(O113:O118)</f>
        <v>29.107592296504865</v>
      </c>
      <c r="P119" s="128">
        <f t="shared" si="251"/>
        <v>29.107592296504865</v>
      </c>
      <c r="Q119" s="128">
        <f t="shared" si="251"/>
        <v>23.286140708165796</v>
      </c>
      <c r="R119" s="128">
        <f t="shared" si="251"/>
        <v>20.375247736591504</v>
      </c>
      <c r="S119" s="128">
        <f t="shared" si="251"/>
        <v>17.464689119826726</v>
      </c>
      <c r="T119" s="128">
        <f t="shared" si="251"/>
        <v>13.06</v>
      </c>
      <c r="U119" s="131"/>
      <c r="V119" s="126"/>
      <c r="W119" s="126"/>
      <c r="X119" s="126"/>
      <c r="Y119" s="128"/>
      <c r="Z119" s="126"/>
      <c r="AA119" s="128"/>
      <c r="AB119" s="131">
        <f>MIN(AB113:AB118)</f>
        <v>20</v>
      </c>
      <c r="AC119" s="126">
        <f t="shared" ref="AC119:AO119" si="252">MIN(AC113:AC118)</f>
        <v>20</v>
      </c>
      <c r="AD119" s="126">
        <f t="shared" si="252"/>
        <v>20</v>
      </c>
      <c r="AE119" s="126">
        <f t="shared" si="252"/>
        <v>20</v>
      </c>
      <c r="AF119" s="641">
        <f t="shared" si="252"/>
        <v>20</v>
      </c>
      <c r="AG119" s="641">
        <f t="shared" si="252"/>
        <v>20</v>
      </c>
      <c r="AH119" s="641">
        <f t="shared" si="252"/>
        <v>20</v>
      </c>
      <c r="AI119" s="131">
        <f t="shared" si="252"/>
        <v>92</v>
      </c>
      <c r="AJ119" s="126">
        <f t="shared" si="252"/>
        <v>93.5</v>
      </c>
      <c r="AK119" s="126">
        <f t="shared" si="252"/>
        <v>95</v>
      </c>
      <c r="AL119" s="126">
        <f t="shared" si="252"/>
        <v>98</v>
      </c>
      <c r="AM119" s="126">
        <f t="shared" si="252"/>
        <v>99</v>
      </c>
      <c r="AN119" s="126">
        <f t="shared" si="252"/>
        <v>100</v>
      </c>
      <c r="AO119" s="126">
        <f t="shared" si="252"/>
        <v>100</v>
      </c>
      <c r="AP119" s="131"/>
      <c r="AQ119" s="132"/>
      <c r="AR119" s="104"/>
    </row>
    <row r="120" spans="1:57" x14ac:dyDescent="0.3">
      <c r="A120" s="995"/>
      <c r="B120" s="694" t="s">
        <v>268</v>
      </c>
      <c r="C120" s="139"/>
      <c r="D120" s="134"/>
      <c r="E120" s="134"/>
      <c r="F120" s="140"/>
      <c r="G120" s="136">
        <f>MEDIAN(G113:G114, G116:G118)</f>
        <v>1252.6706378771578</v>
      </c>
      <c r="H120" s="136">
        <f t="shared" ref="H120:M120" si="253">MEDIAN(H113:H114, H116:H118)</f>
        <v>1549.9853591784658</v>
      </c>
      <c r="I120" s="136">
        <f t="shared" si="253"/>
        <v>1344.0627818719449</v>
      </c>
      <c r="J120" s="136">
        <f t="shared" si="253"/>
        <v>938.54518150272463</v>
      </c>
      <c r="K120" s="136">
        <f t="shared" si="253"/>
        <v>819.83725414066873</v>
      </c>
      <c r="L120" s="136">
        <f t="shared" si="253"/>
        <v>682.07132747104083</v>
      </c>
      <c r="M120" s="136">
        <f t="shared" si="253"/>
        <v>651.40752718259773</v>
      </c>
      <c r="N120" s="135">
        <f>MEDIAN(N113:N118)</f>
        <v>67.013832400534824</v>
      </c>
      <c r="O120" s="136">
        <f t="shared" ref="O120:T120" si="254">MEDIAN(O113:O118)</f>
        <v>82.919209521261607</v>
      </c>
      <c r="P120" s="136">
        <f t="shared" si="254"/>
        <v>71.903016863875621</v>
      </c>
      <c r="Q120" s="136">
        <f t="shared" si="254"/>
        <v>50.209135260118487</v>
      </c>
      <c r="R120" s="136">
        <f t="shared" si="254"/>
        <v>43.858644629686879</v>
      </c>
      <c r="S120" s="136">
        <f t="shared" si="254"/>
        <v>36.163580986073143</v>
      </c>
      <c r="T120" s="136">
        <f t="shared" si="254"/>
        <v>27.04</v>
      </c>
      <c r="U120" s="139"/>
      <c r="V120" s="134"/>
      <c r="W120" s="134"/>
      <c r="X120" s="134"/>
      <c r="Y120" s="136"/>
      <c r="Z120" s="134"/>
      <c r="AA120" s="136"/>
      <c r="AB120" s="139">
        <f t="shared" ref="AB120:AO120" si="255">MEDIAN(AB113:AB118)</f>
        <v>25</v>
      </c>
      <c r="AC120" s="134">
        <f t="shared" si="255"/>
        <v>25</v>
      </c>
      <c r="AD120" s="134">
        <f t="shared" si="255"/>
        <v>25</v>
      </c>
      <c r="AE120" s="134">
        <f t="shared" si="255"/>
        <v>25</v>
      </c>
      <c r="AF120" s="644">
        <f t="shared" si="255"/>
        <v>25</v>
      </c>
      <c r="AG120" s="644">
        <f t="shared" si="255"/>
        <v>25</v>
      </c>
      <c r="AH120" s="644">
        <f t="shared" si="255"/>
        <v>25</v>
      </c>
      <c r="AI120" s="139">
        <f t="shared" si="255"/>
        <v>92</v>
      </c>
      <c r="AJ120" s="134">
        <f t="shared" si="255"/>
        <v>93.5</v>
      </c>
      <c r="AK120" s="134">
        <f t="shared" si="255"/>
        <v>95</v>
      </c>
      <c r="AL120" s="134">
        <f t="shared" si="255"/>
        <v>98</v>
      </c>
      <c r="AM120" s="134">
        <f t="shared" si="255"/>
        <v>99</v>
      </c>
      <c r="AN120" s="134">
        <f t="shared" si="255"/>
        <v>100</v>
      </c>
      <c r="AO120" s="134">
        <f t="shared" si="255"/>
        <v>100</v>
      </c>
      <c r="AP120" s="139"/>
      <c r="AQ120" s="140"/>
      <c r="AR120" s="104"/>
    </row>
    <row r="121" spans="1:57" x14ac:dyDescent="0.3">
      <c r="A121" s="995"/>
      <c r="B121" s="695" t="s">
        <v>269</v>
      </c>
      <c r="C121" s="139"/>
      <c r="D121" s="134"/>
      <c r="E121" s="134"/>
      <c r="F121" s="140"/>
      <c r="G121" s="143">
        <f>MAX(G113:G114, G116:G118)</f>
        <v>4788.2810518305578</v>
      </c>
      <c r="H121" s="143">
        <f t="shared" ref="H121:M121" si="256">MAX(H113:H114, H116:H118)</f>
        <v>3951.5092584763679</v>
      </c>
      <c r="I121" s="143">
        <f t="shared" si="256"/>
        <v>3114.737465122178</v>
      </c>
      <c r="J121" s="143">
        <f t="shared" si="256"/>
        <v>1441.1938784137988</v>
      </c>
      <c r="K121" s="143">
        <f t="shared" si="256"/>
        <v>1141.4982666779401</v>
      </c>
      <c r="L121" s="143">
        <f t="shared" si="256"/>
        <v>892.07010193804922</v>
      </c>
      <c r="M121" s="143">
        <f t="shared" si="256"/>
        <v>841.80265494208163</v>
      </c>
      <c r="N121" s="591">
        <f>MAX(N113:N118)</f>
        <v>256.15756783268398</v>
      </c>
      <c r="O121" s="143">
        <f t="shared" ref="O121:T121" si="257">MAX(O113:O118)</f>
        <v>211.392980061743</v>
      </c>
      <c r="P121" s="143">
        <f t="shared" si="257"/>
        <v>166.62839229080205</v>
      </c>
      <c r="Q121" s="143">
        <f t="shared" si="257"/>
        <v>77.099216748920156</v>
      </c>
      <c r="R121" s="143">
        <f t="shared" si="257"/>
        <v>61.0664696813609</v>
      </c>
      <c r="S121" s="143">
        <f t="shared" si="257"/>
        <v>47.722868640165913</v>
      </c>
      <c r="T121" s="143">
        <f t="shared" si="257"/>
        <v>41.752894100449524</v>
      </c>
      <c r="U121" s="145"/>
      <c r="V121" s="142"/>
      <c r="W121" s="142"/>
      <c r="X121" s="142"/>
      <c r="Y121" s="143"/>
      <c r="Z121" s="142"/>
      <c r="AA121" s="143"/>
      <c r="AB121" s="145">
        <f t="shared" ref="AB121:AO121" si="258">MAX(AB113:AB118)</f>
        <v>30</v>
      </c>
      <c r="AC121" s="142">
        <f t="shared" si="258"/>
        <v>30</v>
      </c>
      <c r="AD121" s="142">
        <f t="shared" si="258"/>
        <v>30</v>
      </c>
      <c r="AE121" s="142">
        <f t="shared" si="258"/>
        <v>30</v>
      </c>
      <c r="AF121" s="647">
        <f t="shared" si="258"/>
        <v>30</v>
      </c>
      <c r="AG121" s="647">
        <f t="shared" si="258"/>
        <v>30</v>
      </c>
      <c r="AH121" s="647">
        <f t="shared" si="258"/>
        <v>30</v>
      </c>
      <c r="AI121" s="145">
        <f t="shared" si="258"/>
        <v>92</v>
      </c>
      <c r="AJ121" s="142">
        <f t="shared" si="258"/>
        <v>93.5</v>
      </c>
      <c r="AK121" s="142">
        <f t="shared" si="258"/>
        <v>95</v>
      </c>
      <c r="AL121" s="142">
        <f t="shared" si="258"/>
        <v>98</v>
      </c>
      <c r="AM121" s="142">
        <f t="shared" si="258"/>
        <v>99</v>
      </c>
      <c r="AN121" s="142">
        <f t="shared" si="258"/>
        <v>100</v>
      </c>
      <c r="AO121" s="142">
        <f t="shared" si="258"/>
        <v>100</v>
      </c>
      <c r="AP121" s="145"/>
      <c r="AQ121" s="146"/>
      <c r="AR121" s="104"/>
    </row>
    <row r="122" spans="1:57" ht="14.4" customHeight="1" x14ac:dyDescent="0.3">
      <c r="A122" s="995"/>
      <c r="B122" s="986" t="s">
        <v>388</v>
      </c>
      <c r="C122" s="687">
        <v>11</v>
      </c>
      <c r="D122" s="90" t="s">
        <v>57</v>
      </c>
      <c r="E122" s="90">
        <v>2022</v>
      </c>
      <c r="F122" s="688" t="s">
        <v>19</v>
      </c>
      <c r="G122" s="93">
        <f t="shared" ref="G122:G123" si="259">H122+((I122-H122)/(2030-2025))*(2020-2025)</f>
        <v>490.99518051915112</v>
      </c>
      <c r="H122" s="93">
        <f t="shared" ref="H122:H123" si="260">I122+((J122-I122)/(2040-2030))*(2025-2030)</f>
        <v>400.0591866069164</v>
      </c>
      <c r="I122" s="94">
        <f>(365.6)/1.1827</f>
        <v>309.12319269468168</v>
      </c>
      <c r="J122" s="94">
        <f>(150.5)/1.1827</f>
        <v>127.25120487021222</v>
      </c>
      <c r="K122" s="93">
        <f t="shared" ref="K122:K123" si="261">J122+((L122-J122)/(2050-2040))*(2045-2040)</f>
        <v>89.160395704743379</v>
      </c>
      <c r="L122" s="94">
        <f>(60.4)/1.1827</f>
        <v>51.069586539274539</v>
      </c>
      <c r="M122" s="93">
        <v>51.07</v>
      </c>
      <c r="N122" s="92">
        <f t="shared" ref="N122:N123" si="262">O122+((P122-O122)/(2030-2025))*(2020-2025)</f>
        <v>19.69999200620326</v>
      </c>
      <c r="O122" s="93">
        <f t="shared" ref="O122:O123" si="263">P122+((Q122-P122)/(2040-2030))*(2025-2030)</f>
        <v>16.051405575572709</v>
      </c>
      <c r="P122" s="94">
        <f>I122*0.03*$BE$6</f>
        <v>12.402819144942159</v>
      </c>
      <c r="Q122" s="94">
        <f>J122*0.03*$BE$6</f>
        <v>5.1056462836810583</v>
      </c>
      <c r="R122" s="107">
        <f t="shared" ref="R122:R123" si="264">Q122+((S122-Q122)/(2050-2040))*(2045-2040)</f>
        <v>3.5773448545791866</v>
      </c>
      <c r="S122" s="94">
        <f>L122*0.03*$BE$6</f>
        <v>2.0490434254773149</v>
      </c>
      <c r="T122" s="93">
        <v>1.53</v>
      </c>
      <c r="U122" s="96"/>
      <c r="V122" s="97"/>
      <c r="W122" s="97"/>
      <c r="X122" s="97"/>
      <c r="Y122" s="94"/>
      <c r="Z122" s="97"/>
      <c r="AA122" s="94"/>
      <c r="AB122" s="96"/>
      <c r="AC122" s="97"/>
      <c r="AD122" s="97"/>
      <c r="AE122" s="97"/>
      <c r="AF122" s="102"/>
      <c r="AG122" s="102"/>
      <c r="AH122" s="102"/>
      <c r="AI122" s="92">
        <f t="shared" ref="AI122:AI123" si="265">AJ122+((AK122-AJ122)/(2030-2025))*(2020-2025)</f>
        <v>98</v>
      </c>
      <c r="AJ122" s="100">
        <f t="shared" ref="AJ122:AJ123" si="266">AK122+((AL122-AK122)/(2040-2030))*(2025-2030)</f>
        <v>98</v>
      </c>
      <c r="AK122" s="97">
        <v>98</v>
      </c>
      <c r="AL122" s="97">
        <v>98</v>
      </c>
      <c r="AM122" s="101">
        <f t="shared" ref="AM122:AM123" si="267">AL122+((AN122-AL122)/(2050-2040))*(2045-2040)</f>
        <v>98</v>
      </c>
      <c r="AN122" s="97">
        <v>98</v>
      </c>
      <c r="AO122" s="101">
        <f t="shared" ref="AO122:AO123" si="268">AM122+((AN122-AM122)/(2050-2045))*(2060-2045)</f>
        <v>98</v>
      </c>
      <c r="AP122" s="96"/>
      <c r="AQ122" s="43"/>
      <c r="AR122" s="104" t="s">
        <v>386</v>
      </c>
    </row>
    <row r="123" spans="1:57" x14ac:dyDescent="0.3">
      <c r="A123" s="995"/>
      <c r="B123" s="985"/>
      <c r="C123" s="691">
        <v>11</v>
      </c>
      <c r="D123" s="120" t="s">
        <v>57</v>
      </c>
      <c r="E123" s="120">
        <v>2022</v>
      </c>
      <c r="F123" s="692" t="s">
        <v>19</v>
      </c>
      <c r="G123" s="122">
        <f t="shared" si="259"/>
        <v>1253.4877821932864</v>
      </c>
      <c r="H123" s="122">
        <f t="shared" si="260"/>
        <v>1021.3071784898958</v>
      </c>
      <c r="I123" s="121">
        <f>(933.3)/1.1827</f>
        <v>789.12657478650533</v>
      </c>
      <c r="J123" s="121">
        <f>(384.1)/1.1827</f>
        <v>324.76536737972435</v>
      </c>
      <c r="K123" s="122">
        <f t="shared" si="261"/>
        <v>242.91874524393336</v>
      </c>
      <c r="L123" s="121">
        <f>(190.5)/1.1827</f>
        <v>161.07212310814236</v>
      </c>
      <c r="M123" s="122">
        <v>161.07</v>
      </c>
      <c r="N123" s="607">
        <f t="shared" si="262"/>
        <v>67.057546981680332</v>
      </c>
      <c r="O123" s="122">
        <f t="shared" si="263"/>
        <v>54.636634738058461</v>
      </c>
      <c r="P123" s="121">
        <f>I123*0.04*$BE$6</f>
        <v>42.215722494436598</v>
      </c>
      <c r="Q123" s="121">
        <f>J123*0.04*$BE$6</f>
        <v>17.373898007192864</v>
      </c>
      <c r="R123" s="122">
        <f t="shared" si="264"/>
        <v>12.995368126702706</v>
      </c>
      <c r="S123" s="121">
        <f>L123*0.04*$BE$6</f>
        <v>8.6168382462125486</v>
      </c>
      <c r="T123" s="122">
        <v>6.44</v>
      </c>
      <c r="U123" s="123"/>
      <c r="V123" s="124"/>
      <c r="W123" s="124"/>
      <c r="X123" s="124"/>
      <c r="Y123" s="121"/>
      <c r="Z123" s="124"/>
      <c r="AA123" s="121"/>
      <c r="AB123" s="123"/>
      <c r="AC123" s="124"/>
      <c r="AD123" s="124"/>
      <c r="AE123" s="124"/>
      <c r="AF123" s="639"/>
      <c r="AG123" s="639"/>
      <c r="AH123" s="639"/>
      <c r="AI123" s="607">
        <f t="shared" si="265"/>
        <v>98</v>
      </c>
      <c r="AJ123" s="306">
        <f t="shared" si="266"/>
        <v>98</v>
      </c>
      <c r="AK123" s="124">
        <v>98</v>
      </c>
      <c r="AL123" s="124">
        <v>98</v>
      </c>
      <c r="AM123" s="386">
        <f t="shared" si="267"/>
        <v>98</v>
      </c>
      <c r="AN123" s="124">
        <v>98</v>
      </c>
      <c r="AO123" s="386">
        <f t="shared" si="268"/>
        <v>98</v>
      </c>
      <c r="AP123" s="123"/>
      <c r="AQ123" s="51"/>
      <c r="AR123" s="116" t="s">
        <v>387</v>
      </c>
    </row>
    <row r="124" spans="1:57" x14ac:dyDescent="0.3">
      <c r="A124" s="995"/>
      <c r="B124" s="693" t="s">
        <v>267</v>
      </c>
      <c r="C124" s="139"/>
      <c r="D124" s="134"/>
      <c r="E124" s="134"/>
      <c r="F124" s="140"/>
      <c r="G124" s="128">
        <f>MIN(G122:G123)</f>
        <v>490.99518051915112</v>
      </c>
      <c r="H124" s="126">
        <f t="shared" ref="H124:T124" si="269">MIN(H122:H123)</f>
        <v>400.0591866069164</v>
      </c>
      <c r="I124" s="128">
        <f t="shared" si="269"/>
        <v>309.12319269468168</v>
      </c>
      <c r="J124" s="128">
        <f t="shared" si="269"/>
        <v>127.25120487021222</v>
      </c>
      <c r="K124" s="128">
        <f t="shared" si="269"/>
        <v>89.160395704743379</v>
      </c>
      <c r="L124" s="128">
        <f t="shared" si="269"/>
        <v>51.069586539274539</v>
      </c>
      <c r="M124" s="128">
        <f t="shared" si="269"/>
        <v>51.07</v>
      </c>
      <c r="N124" s="127">
        <f t="shared" si="269"/>
        <v>19.69999200620326</v>
      </c>
      <c r="O124" s="128">
        <f t="shared" si="269"/>
        <v>16.051405575572709</v>
      </c>
      <c r="P124" s="128">
        <f t="shared" si="269"/>
        <v>12.402819144942159</v>
      </c>
      <c r="Q124" s="128">
        <f t="shared" si="269"/>
        <v>5.1056462836810583</v>
      </c>
      <c r="R124" s="128">
        <f t="shared" si="269"/>
        <v>3.5773448545791866</v>
      </c>
      <c r="S124" s="128">
        <f t="shared" si="269"/>
        <v>2.0490434254773149</v>
      </c>
      <c r="T124" s="128">
        <f t="shared" si="269"/>
        <v>1.53</v>
      </c>
      <c r="U124" s="131"/>
      <c r="V124" s="126"/>
      <c r="W124" s="126"/>
      <c r="X124" s="126"/>
      <c r="Y124" s="128"/>
      <c r="Z124" s="126"/>
      <c r="AA124" s="128"/>
      <c r="AB124" s="131"/>
      <c r="AC124" s="126"/>
      <c r="AD124" s="126"/>
      <c r="AE124" s="126"/>
      <c r="AF124" s="641"/>
      <c r="AG124" s="641"/>
      <c r="AH124" s="641"/>
      <c r="AI124" s="131">
        <f t="shared" ref="AI124:AO124" si="270">MIN(AI122:AI123)</f>
        <v>98</v>
      </c>
      <c r="AJ124" s="126">
        <f t="shared" si="270"/>
        <v>98</v>
      </c>
      <c r="AK124" s="126">
        <f t="shared" si="270"/>
        <v>98</v>
      </c>
      <c r="AL124" s="126">
        <f t="shared" si="270"/>
        <v>98</v>
      </c>
      <c r="AM124" s="126">
        <f t="shared" si="270"/>
        <v>98</v>
      </c>
      <c r="AN124" s="126">
        <f t="shared" si="270"/>
        <v>98</v>
      </c>
      <c r="AO124" s="126">
        <f t="shared" si="270"/>
        <v>98</v>
      </c>
      <c r="AP124" s="131"/>
      <c r="AQ124" s="132"/>
      <c r="AR124" s="104"/>
    </row>
    <row r="125" spans="1:57" x14ac:dyDescent="0.3">
      <c r="A125" s="995"/>
      <c r="B125" s="694" t="s">
        <v>268</v>
      </c>
      <c r="C125" s="139"/>
      <c r="D125" s="134"/>
      <c r="E125" s="134"/>
      <c r="F125" s="140"/>
      <c r="G125" s="136">
        <f>MEDIAN(G122:G123)</f>
        <v>872.24148135621886</v>
      </c>
      <c r="H125" s="134">
        <f t="shared" ref="H125:T125" si="271">MEDIAN(H122:H123)</f>
        <v>710.68318254840619</v>
      </c>
      <c r="I125" s="136">
        <f t="shared" si="271"/>
        <v>549.12488374059353</v>
      </c>
      <c r="J125" s="136">
        <f t="shared" si="271"/>
        <v>226.00828612496827</v>
      </c>
      <c r="K125" s="136">
        <f t="shared" si="271"/>
        <v>166.03957047433835</v>
      </c>
      <c r="L125" s="136">
        <f t="shared" si="271"/>
        <v>106.07085482370846</v>
      </c>
      <c r="M125" s="136">
        <f t="shared" si="271"/>
        <v>106.07</v>
      </c>
      <c r="N125" s="135">
        <f t="shared" si="271"/>
        <v>43.378769493941796</v>
      </c>
      <c r="O125" s="136">
        <f t="shared" si="271"/>
        <v>35.344020156815589</v>
      </c>
      <c r="P125" s="136">
        <f t="shared" si="271"/>
        <v>27.309270819689381</v>
      </c>
      <c r="Q125" s="136">
        <f t="shared" si="271"/>
        <v>11.239772145436962</v>
      </c>
      <c r="R125" s="136">
        <f t="shared" si="271"/>
        <v>8.2863564906409461</v>
      </c>
      <c r="S125" s="136">
        <f t="shared" si="271"/>
        <v>5.3329408358449317</v>
      </c>
      <c r="T125" s="136">
        <f t="shared" si="271"/>
        <v>3.9850000000000003</v>
      </c>
      <c r="U125" s="139"/>
      <c r="V125" s="134"/>
      <c r="W125" s="134"/>
      <c r="X125" s="134"/>
      <c r="Y125" s="136"/>
      <c r="Z125" s="134"/>
      <c r="AA125" s="136"/>
      <c r="AB125" s="139"/>
      <c r="AC125" s="134"/>
      <c r="AD125" s="134"/>
      <c r="AE125" s="134"/>
      <c r="AF125" s="644"/>
      <c r="AG125" s="644"/>
      <c r="AH125" s="644"/>
      <c r="AI125" s="139">
        <f t="shared" ref="AI125:AO125" si="272">MEDIAN(AI122:AI123)</f>
        <v>98</v>
      </c>
      <c r="AJ125" s="134">
        <f t="shared" si="272"/>
        <v>98</v>
      </c>
      <c r="AK125" s="134">
        <f t="shared" si="272"/>
        <v>98</v>
      </c>
      <c r="AL125" s="134">
        <f t="shared" si="272"/>
        <v>98</v>
      </c>
      <c r="AM125" s="134">
        <f t="shared" si="272"/>
        <v>98</v>
      </c>
      <c r="AN125" s="134">
        <f t="shared" si="272"/>
        <v>98</v>
      </c>
      <c r="AO125" s="134">
        <f t="shared" si="272"/>
        <v>98</v>
      </c>
      <c r="AP125" s="139"/>
      <c r="AQ125" s="140"/>
      <c r="AR125" s="104"/>
    </row>
    <row r="126" spans="1:57" x14ac:dyDescent="0.3">
      <c r="A126" s="995"/>
      <c r="B126" s="695" t="s">
        <v>269</v>
      </c>
      <c r="C126" s="139"/>
      <c r="D126" s="134"/>
      <c r="E126" s="134"/>
      <c r="F126" s="140"/>
      <c r="G126" s="143">
        <f>MAX(G122:G123)</f>
        <v>1253.4877821932864</v>
      </c>
      <c r="H126" s="142">
        <f t="shared" ref="H126:T126" si="273">MAX(H122:H123)</f>
        <v>1021.3071784898958</v>
      </c>
      <c r="I126" s="143">
        <f t="shared" si="273"/>
        <v>789.12657478650533</v>
      </c>
      <c r="J126" s="143">
        <f t="shared" si="273"/>
        <v>324.76536737972435</v>
      </c>
      <c r="K126" s="143">
        <f t="shared" si="273"/>
        <v>242.91874524393336</v>
      </c>
      <c r="L126" s="143">
        <f t="shared" si="273"/>
        <v>161.07212310814236</v>
      </c>
      <c r="M126" s="143">
        <f t="shared" si="273"/>
        <v>161.07</v>
      </c>
      <c r="N126" s="591">
        <f t="shared" si="273"/>
        <v>67.057546981680332</v>
      </c>
      <c r="O126" s="143">
        <f t="shared" si="273"/>
        <v>54.636634738058461</v>
      </c>
      <c r="P126" s="143">
        <f t="shared" si="273"/>
        <v>42.215722494436598</v>
      </c>
      <c r="Q126" s="143">
        <f t="shared" si="273"/>
        <v>17.373898007192864</v>
      </c>
      <c r="R126" s="143">
        <f t="shared" si="273"/>
        <v>12.995368126702706</v>
      </c>
      <c r="S126" s="143">
        <f t="shared" si="273"/>
        <v>8.6168382462125486</v>
      </c>
      <c r="T126" s="143">
        <f t="shared" si="273"/>
        <v>6.44</v>
      </c>
      <c r="U126" s="145"/>
      <c r="V126" s="142"/>
      <c r="W126" s="142"/>
      <c r="X126" s="142"/>
      <c r="Y126" s="143"/>
      <c r="Z126" s="142"/>
      <c r="AA126" s="143"/>
      <c r="AB126" s="145"/>
      <c r="AC126" s="142"/>
      <c r="AD126" s="142"/>
      <c r="AE126" s="142"/>
      <c r="AF126" s="647"/>
      <c r="AG126" s="647"/>
      <c r="AH126" s="647"/>
      <c r="AI126" s="145">
        <f t="shared" ref="AI126:AO126" si="274">MAX(AI122:AI123)</f>
        <v>98</v>
      </c>
      <c r="AJ126" s="142">
        <f t="shared" si="274"/>
        <v>98</v>
      </c>
      <c r="AK126" s="142">
        <f t="shared" si="274"/>
        <v>98</v>
      </c>
      <c r="AL126" s="142">
        <f t="shared" si="274"/>
        <v>98</v>
      </c>
      <c r="AM126" s="142">
        <f t="shared" si="274"/>
        <v>98</v>
      </c>
      <c r="AN126" s="142">
        <f t="shared" si="274"/>
        <v>98</v>
      </c>
      <c r="AO126" s="142">
        <f t="shared" si="274"/>
        <v>98</v>
      </c>
      <c r="AP126" s="145"/>
      <c r="AQ126" s="146"/>
      <c r="AR126" s="104"/>
    </row>
    <row r="127" spans="1:57" ht="15" customHeight="1" x14ac:dyDescent="0.3">
      <c r="A127" s="995"/>
      <c r="B127" s="987" t="s">
        <v>389</v>
      </c>
      <c r="C127" s="150">
        <v>4</v>
      </c>
      <c r="D127" s="147" t="s">
        <v>31</v>
      </c>
      <c r="E127" s="147">
        <v>2022</v>
      </c>
      <c r="F127" s="696" t="s">
        <v>19</v>
      </c>
      <c r="G127" s="149">
        <f>718.95</f>
        <v>718.95</v>
      </c>
      <c r="H127" s="149">
        <f>673.78</f>
        <v>673.78</v>
      </c>
      <c r="I127" s="149">
        <f>628.6</f>
        <v>628.6</v>
      </c>
      <c r="J127" s="149">
        <f>554.59</f>
        <v>554.59</v>
      </c>
      <c r="K127" s="149">
        <f>517.59</f>
        <v>517.59</v>
      </c>
      <c r="L127" s="149">
        <f>480.58</f>
        <v>480.58</v>
      </c>
      <c r="M127" s="93">
        <f>K127+((L127-K127)/(2050-2045))*(2060-2045)</f>
        <v>406.55999999999989</v>
      </c>
      <c r="N127" s="464">
        <f t="shared" ref="N127:S127" si="275">G127*0.03*$BE$6</f>
        <v>28.846126835469821</v>
      </c>
      <c r="O127" s="149">
        <f t="shared" si="275"/>
        <v>27.033790026014128</v>
      </c>
      <c r="P127" s="149">
        <f t="shared" si="275"/>
        <v>25.221051990787021</v>
      </c>
      <c r="Q127" s="149">
        <f t="shared" si="275"/>
        <v>22.251580056586977</v>
      </c>
      <c r="R127" s="149">
        <f t="shared" si="275"/>
        <v>20.767044702372662</v>
      </c>
      <c r="S127" s="149">
        <f t="shared" si="275"/>
        <v>19.282108122386934</v>
      </c>
      <c r="T127" s="93">
        <f>R127+((S127-R127)/(2050-2045))*(2060-2045)</f>
        <v>16.312234962415477</v>
      </c>
      <c r="U127" s="150"/>
      <c r="V127" s="147"/>
      <c r="W127" s="147"/>
      <c r="X127" s="147"/>
      <c r="Y127" s="149"/>
      <c r="Z127" s="147"/>
      <c r="AA127" s="149"/>
      <c r="AB127" s="150">
        <v>20</v>
      </c>
      <c r="AC127" s="147">
        <v>20</v>
      </c>
      <c r="AD127" s="147">
        <v>20</v>
      </c>
      <c r="AE127" s="147">
        <v>20</v>
      </c>
      <c r="AF127" s="697">
        <v>20</v>
      </c>
      <c r="AG127" s="697">
        <v>20</v>
      </c>
      <c r="AH127" s="101">
        <f>AF127+((AG127-AF127)/(2050-2045))*(2060-2045)</f>
        <v>20</v>
      </c>
      <c r="AI127" s="150">
        <v>80</v>
      </c>
      <c r="AJ127" s="147">
        <v>80</v>
      </c>
      <c r="AK127" s="147">
        <v>80</v>
      </c>
      <c r="AL127" s="147">
        <v>80</v>
      </c>
      <c r="AM127" s="697">
        <v>80</v>
      </c>
      <c r="AN127" s="147">
        <v>80</v>
      </c>
      <c r="AO127" s="101">
        <f>AM127+((AN127-AM127)/(2050-2045))*(2060-2045)</f>
        <v>80</v>
      </c>
      <c r="AP127" s="150"/>
      <c r="AQ127" s="152"/>
      <c r="AR127" s="104"/>
    </row>
    <row r="128" spans="1:57" x14ac:dyDescent="0.3">
      <c r="A128" s="995"/>
      <c r="B128" s="988"/>
      <c r="C128" s="155">
        <v>9</v>
      </c>
      <c r="D128" s="153" t="s">
        <v>50</v>
      </c>
      <c r="E128" s="153">
        <v>2021</v>
      </c>
      <c r="F128" s="698" t="s">
        <v>19</v>
      </c>
      <c r="G128" s="154">
        <v>600</v>
      </c>
      <c r="H128" s="107">
        <f t="shared" ref="H128:H129" si="276">G128+((I128-G128)/(2030-2020))*(2025-2020)</f>
        <v>541.66666666666674</v>
      </c>
      <c r="I128" s="107">
        <f>G128+((L128-G128)/(2050-2020))*(2030-2020)</f>
        <v>483.33333333333337</v>
      </c>
      <c r="J128" s="107">
        <f t="shared" ref="J128:J129" si="277">I128+((L128-I128)/(2050-2030))*(2040-2030)</f>
        <v>366.66666666666669</v>
      </c>
      <c r="K128" s="107">
        <f t="shared" ref="K128:K129" si="278">J128+((L128-J128)/(2050-2040))*(2045-2040)</f>
        <v>308.33333333333337</v>
      </c>
      <c r="L128" s="154">
        <v>250</v>
      </c>
      <c r="M128" s="107">
        <v>250</v>
      </c>
      <c r="N128" s="158">
        <f>18*$BE$6</f>
        <v>24.073546284556496</v>
      </c>
      <c r="O128" s="107">
        <f t="shared" ref="O128:O129" si="279">N128+((P128-N128)/(2030-2020))*(2025-2020)</f>
        <v>21.844514221171636</v>
      </c>
      <c r="P128" s="107">
        <f>N128+((S128-N128)/(2050-2020))*(2030-2020)</f>
        <v>19.615482157786776</v>
      </c>
      <c r="Q128" s="107">
        <f t="shared" ref="Q128:Q129" si="280">P128+((S128-P128)/(2050-2030))*(2040-2030)</f>
        <v>15.157418031017054</v>
      </c>
      <c r="R128" s="107">
        <f t="shared" ref="R128:R129" si="281">Q128+((S128-Q128)/(2050-2040))*(2045-2040)</f>
        <v>12.928385967632192</v>
      </c>
      <c r="S128" s="154">
        <f>8*$BE$6</f>
        <v>10.699353904247332</v>
      </c>
      <c r="T128" s="107">
        <v>8</v>
      </c>
      <c r="U128" s="155"/>
      <c r="V128" s="153"/>
      <c r="W128" s="153"/>
      <c r="X128" s="153"/>
      <c r="Y128" s="154"/>
      <c r="Z128" s="153"/>
      <c r="AA128" s="154"/>
      <c r="AB128" s="155"/>
      <c r="AC128" s="153"/>
      <c r="AD128" s="153"/>
      <c r="AE128" s="153"/>
      <c r="AF128" s="161"/>
      <c r="AG128" s="161"/>
      <c r="AH128" s="161"/>
      <c r="AI128" s="155"/>
      <c r="AJ128" s="153"/>
      <c r="AK128" s="153"/>
      <c r="AL128" s="153"/>
      <c r="AM128" s="161"/>
      <c r="AN128" s="153"/>
      <c r="AO128" s="161"/>
      <c r="AP128" s="155"/>
      <c r="AQ128" s="157"/>
      <c r="AR128" s="104"/>
    </row>
    <row r="129" spans="1:44" x14ac:dyDescent="0.3">
      <c r="A129" s="995"/>
      <c r="B129" s="988"/>
      <c r="C129" s="155">
        <v>2</v>
      </c>
      <c r="D129" s="153" t="s">
        <v>23</v>
      </c>
      <c r="E129" s="153">
        <v>2019</v>
      </c>
      <c r="F129" s="698" t="s">
        <v>19</v>
      </c>
      <c r="G129" s="154">
        <f>845/1.1297</f>
        <v>747.98619102416581</v>
      </c>
      <c r="H129" s="107">
        <f t="shared" si="276"/>
        <v>699.30069930069931</v>
      </c>
      <c r="I129" s="154">
        <f>735/1.1297</f>
        <v>650.61520757723292</v>
      </c>
      <c r="J129" s="107">
        <f t="shared" si="277"/>
        <v>575.37399309551211</v>
      </c>
      <c r="K129" s="107">
        <f t="shared" si="278"/>
        <v>537.7533858546517</v>
      </c>
      <c r="L129" s="154">
        <f>565/1.1297</f>
        <v>500.13277861379129</v>
      </c>
      <c r="M129" s="107">
        <f>K129+((L129-K129)/(2050-2045))*(2060-2045)</f>
        <v>424.89156413207047</v>
      </c>
      <c r="N129" s="158">
        <f>G129*0.04*$BE$6</f>
        <v>40.014844866287497</v>
      </c>
      <c r="O129" s="107">
        <f t="shared" si="279"/>
        <v>37.410328336529133</v>
      </c>
      <c r="P129" s="154">
        <f>I129*0.04*$BE$6</f>
        <v>34.805811806770777</v>
      </c>
      <c r="Q129" s="107">
        <f t="shared" si="280"/>
        <v>30.780649897144222</v>
      </c>
      <c r="R129" s="107">
        <f t="shared" si="281"/>
        <v>28.768068942330949</v>
      </c>
      <c r="S129" s="154">
        <f>L129*0.04*$BE$6</f>
        <v>26.755487987517672</v>
      </c>
      <c r="T129" s="107">
        <f>R129+((S129-R129)/(2050-2045))*(2060-2045)</f>
        <v>22.730326077891117</v>
      </c>
      <c r="U129" s="155"/>
      <c r="V129" s="153"/>
      <c r="W129" s="153"/>
      <c r="X129" s="153"/>
      <c r="Y129" s="154"/>
      <c r="Z129" s="153"/>
      <c r="AA129" s="154"/>
      <c r="AB129" s="155">
        <v>30</v>
      </c>
      <c r="AC129" s="297">
        <v>30</v>
      </c>
      <c r="AD129" s="153">
        <v>30</v>
      </c>
      <c r="AE129" s="297">
        <v>30</v>
      </c>
      <c r="AF129" s="378">
        <f>AE129+((AG129-AE129)/(2050-2040))*(2045-2040)</f>
        <v>30</v>
      </c>
      <c r="AG129" s="161">
        <v>30</v>
      </c>
      <c r="AH129" s="386">
        <f>AF129+((AG129-AF129)/(2050-2045))*(2060-2045)</f>
        <v>30</v>
      </c>
      <c r="AI129" s="155">
        <v>77</v>
      </c>
      <c r="AJ129" s="297">
        <v>77</v>
      </c>
      <c r="AK129" s="153">
        <v>77</v>
      </c>
      <c r="AL129" s="297">
        <v>77</v>
      </c>
      <c r="AM129" s="386">
        <f>AL129+((AN129-AL129)/(2050-2040))*(2045-2040)</f>
        <v>77</v>
      </c>
      <c r="AN129" s="153">
        <v>77</v>
      </c>
      <c r="AO129" s="378">
        <f>AM129+((AN129-AM129)/(2050-2045))*(2060-2045)</f>
        <v>77</v>
      </c>
      <c r="AP129" s="155"/>
      <c r="AQ129" s="157"/>
      <c r="AR129" s="104"/>
    </row>
    <row r="130" spans="1:44" x14ac:dyDescent="0.3">
      <c r="A130" s="995"/>
      <c r="B130" s="699" t="s">
        <v>267</v>
      </c>
      <c r="C130" s="175"/>
      <c r="D130" s="168"/>
      <c r="E130" s="168"/>
      <c r="F130" s="178"/>
      <c r="G130" s="170">
        <f t="shared" ref="G130:T130" si="282">MIN(G127:G129)</f>
        <v>600</v>
      </c>
      <c r="H130" s="170">
        <f t="shared" si="282"/>
        <v>541.66666666666674</v>
      </c>
      <c r="I130" s="170">
        <f t="shared" si="282"/>
        <v>483.33333333333337</v>
      </c>
      <c r="J130" s="170">
        <f t="shared" si="282"/>
        <v>366.66666666666669</v>
      </c>
      <c r="K130" s="170">
        <f t="shared" si="282"/>
        <v>308.33333333333337</v>
      </c>
      <c r="L130" s="170">
        <f t="shared" si="282"/>
        <v>250</v>
      </c>
      <c r="M130" s="170">
        <f t="shared" si="282"/>
        <v>250</v>
      </c>
      <c r="N130" s="169">
        <f t="shared" si="282"/>
        <v>24.073546284556496</v>
      </c>
      <c r="O130" s="170">
        <f t="shared" si="282"/>
        <v>21.844514221171636</v>
      </c>
      <c r="P130" s="170">
        <f t="shared" si="282"/>
        <v>19.615482157786776</v>
      </c>
      <c r="Q130" s="170">
        <f t="shared" si="282"/>
        <v>15.157418031017054</v>
      </c>
      <c r="R130" s="170">
        <f t="shared" si="282"/>
        <v>12.928385967632192</v>
      </c>
      <c r="S130" s="170">
        <f t="shared" si="282"/>
        <v>10.699353904247332</v>
      </c>
      <c r="T130" s="170">
        <f t="shared" si="282"/>
        <v>8</v>
      </c>
      <c r="U130" s="175"/>
      <c r="V130" s="168"/>
      <c r="W130" s="168"/>
      <c r="X130" s="168"/>
      <c r="Y130" s="170"/>
      <c r="Z130" s="168"/>
      <c r="AA130" s="170"/>
      <c r="AB130" s="175">
        <f t="shared" ref="AB130:AO130" si="283">MIN(AB127:AB129)</f>
        <v>20</v>
      </c>
      <c r="AC130" s="168">
        <f t="shared" si="283"/>
        <v>20</v>
      </c>
      <c r="AD130" s="168">
        <f t="shared" si="283"/>
        <v>20</v>
      </c>
      <c r="AE130" s="168">
        <f t="shared" si="283"/>
        <v>20</v>
      </c>
      <c r="AF130" s="176">
        <f t="shared" si="283"/>
        <v>20</v>
      </c>
      <c r="AG130" s="176">
        <f t="shared" si="283"/>
        <v>20</v>
      </c>
      <c r="AH130" s="176">
        <f t="shared" si="283"/>
        <v>20</v>
      </c>
      <c r="AI130" s="175">
        <f t="shared" si="283"/>
        <v>77</v>
      </c>
      <c r="AJ130" s="168">
        <f t="shared" si="283"/>
        <v>77</v>
      </c>
      <c r="AK130" s="168">
        <f t="shared" si="283"/>
        <v>77</v>
      </c>
      <c r="AL130" s="168">
        <f t="shared" si="283"/>
        <v>77</v>
      </c>
      <c r="AM130" s="168">
        <f t="shared" si="283"/>
        <v>77</v>
      </c>
      <c r="AN130" s="168">
        <f t="shared" si="283"/>
        <v>77</v>
      </c>
      <c r="AO130" s="168">
        <f t="shared" si="283"/>
        <v>77</v>
      </c>
      <c r="AP130" s="175"/>
      <c r="AQ130" s="178"/>
      <c r="AR130" s="104"/>
    </row>
    <row r="131" spans="1:44" x14ac:dyDescent="0.3">
      <c r="A131" s="995"/>
      <c r="B131" s="700" t="s">
        <v>268</v>
      </c>
      <c r="C131" s="187"/>
      <c r="D131" s="180"/>
      <c r="E131" s="180"/>
      <c r="F131" s="190"/>
      <c r="G131" s="182">
        <f t="shared" ref="G131:T131" si="284">MEDIAN(G127:G129)</f>
        <v>718.95</v>
      </c>
      <c r="H131" s="182">
        <f t="shared" si="284"/>
        <v>673.78</v>
      </c>
      <c r="I131" s="182">
        <f t="shared" si="284"/>
        <v>628.6</v>
      </c>
      <c r="J131" s="182">
        <f t="shared" si="284"/>
        <v>554.59</v>
      </c>
      <c r="K131" s="182">
        <f t="shared" si="284"/>
        <v>517.59</v>
      </c>
      <c r="L131" s="182">
        <f t="shared" si="284"/>
        <v>480.58</v>
      </c>
      <c r="M131" s="182">
        <f t="shared" si="284"/>
        <v>406.55999999999989</v>
      </c>
      <c r="N131" s="181">
        <f t="shared" si="284"/>
        <v>28.846126835469821</v>
      </c>
      <c r="O131" s="182">
        <f t="shared" si="284"/>
        <v>27.033790026014128</v>
      </c>
      <c r="P131" s="182">
        <f t="shared" si="284"/>
        <v>25.221051990787021</v>
      </c>
      <c r="Q131" s="182">
        <f t="shared" si="284"/>
        <v>22.251580056586977</v>
      </c>
      <c r="R131" s="182">
        <f t="shared" si="284"/>
        <v>20.767044702372662</v>
      </c>
      <c r="S131" s="182">
        <f t="shared" si="284"/>
        <v>19.282108122386934</v>
      </c>
      <c r="T131" s="182">
        <f t="shared" si="284"/>
        <v>16.312234962415477</v>
      </c>
      <c r="U131" s="187"/>
      <c r="V131" s="180"/>
      <c r="W131" s="180"/>
      <c r="X131" s="180"/>
      <c r="Y131" s="182"/>
      <c r="Z131" s="180"/>
      <c r="AA131" s="182"/>
      <c r="AB131" s="187">
        <f t="shared" ref="AB131:AO131" si="285">MEDIAN(AB127:AB129)</f>
        <v>25</v>
      </c>
      <c r="AC131" s="180">
        <f t="shared" si="285"/>
        <v>25</v>
      </c>
      <c r="AD131" s="180">
        <f t="shared" si="285"/>
        <v>25</v>
      </c>
      <c r="AE131" s="180">
        <f t="shared" si="285"/>
        <v>25</v>
      </c>
      <c r="AF131" s="199">
        <f t="shared" si="285"/>
        <v>25</v>
      </c>
      <c r="AG131" s="199">
        <f t="shared" si="285"/>
        <v>25</v>
      </c>
      <c r="AH131" s="199">
        <f t="shared" si="285"/>
        <v>25</v>
      </c>
      <c r="AI131" s="187">
        <f t="shared" si="285"/>
        <v>78.5</v>
      </c>
      <c r="AJ131" s="180">
        <f t="shared" si="285"/>
        <v>78.5</v>
      </c>
      <c r="AK131" s="180">
        <f t="shared" si="285"/>
        <v>78.5</v>
      </c>
      <c r="AL131" s="180">
        <f t="shared" si="285"/>
        <v>78.5</v>
      </c>
      <c r="AM131" s="180">
        <f t="shared" si="285"/>
        <v>78.5</v>
      </c>
      <c r="AN131" s="180">
        <f t="shared" si="285"/>
        <v>78.5</v>
      </c>
      <c r="AO131" s="180">
        <f t="shared" si="285"/>
        <v>78.5</v>
      </c>
      <c r="AP131" s="187"/>
      <c r="AQ131" s="190"/>
      <c r="AR131" s="104"/>
    </row>
    <row r="132" spans="1:44" x14ac:dyDescent="0.3">
      <c r="A132" s="995"/>
      <c r="B132" s="701" t="s">
        <v>269</v>
      </c>
      <c r="C132" s="198"/>
      <c r="D132" s="192"/>
      <c r="E132" s="192"/>
      <c r="F132" s="201"/>
      <c r="G132" s="194">
        <f t="shared" ref="G132:T132" si="286">MAX(G127:G129)</f>
        <v>747.98619102416581</v>
      </c>
      <c r="H132" s="194">
        <f t="shared" si="286"/>
        <v>699.30069930069931</v>
      </c>
      <c r="I132" s="194">
        <f t="shared" si="286"/>
        <v>650.61520757723292</v>
      </c>
      <c r="J132" s="194">
        <f t="shared" si="286"/>
        <v>575.37399309551211</v>
      </c>
      <c r="K132" s="194">
        <f t="shared" si="286"/>
        <v>537.7533858546517</v>
      </c>
      <c r="L132" s="194">
        <f t="shared" si="286"/>
        <v>500.13277861379129</v>
      </c>
      <c r="M132" s="194">
        <f t="shared" si="286"/>
        <v>424.89156413207047</v>
      </c>
      <c r="N132" s="193">
        <f t="shared" si="286"/>
        <v>40.014844866287497</v>
      </c>
      <c r="O132" s="194">
        <f t="shared" si="286"/>
        <v>37.410328336529133</v>
      </c>
      <c r="P132" s="194">
        <f t="shared" si="286"/>
        <v>34.805811806770777</v>
      </c>
      <c r="Q132" s="194">
        <f t="shared" si="286"/>
        <v>30.780649897144222</v>
      </c>
      <c r="R132" s="194">
        <f t="shared" si="286"/>
        <v>28.768068942330949</v>
      </c>
      <c r="S132" s="194">
        <f t="shared" si="286"/>
        <v>26.755487987517672</v>
      </c>
      <c r="T132" s="194">
        <f t="shared" si="286"/>
        <v>22.730326077891117</v>
      </c>
      <c r="U132" s="198"/>
      <c r="V132" s="192"/>
      <c r="W132" s="192"/>
      <c r="X132" s="192"/>
      <c r="Y132" s="194"/>
      <c r="Z132" s="192"/>
      <c r="AA132" s="194"/>
      <c r="AB132" s="198">
        <f t="shared" ref="AB132:AO132" si="287">MAX(AB127:AB129)</f>
        <v>30</v>
      </c>
      <c r="AC132" s="192">
        <f t="shared" si="287"/>
        <v>30</v>
      </c>
      <c r="AD132" s="192">
        <f t="shared" si="287"/>
        <v>30</v>
      </c>
      <c r="AE132" s="192">
        <f t="shared" si="287"/>
        <v>30</v>
      </c>
      <c r="AF132" s="702">
        <f t="shared" si="287"/>
        <v>30</v>
      </c>
      <c r="AG132" s="702">
        <f t="shared" si="287"/>
        <v>30</v>
      </c>
      <c r="AH132" s="702">
        <f t="shared" si="287"/>
        <v>30</v>
      </c>
      <c r="AI132" s="198">
        <f t="shared" si="287"/>
        <v>80</v>
      </c>
      <c r="AJ132" s="192">
        <f t="shared" si="287"/>
        <v>80</v>
      </c>
      <c r="AK132" s="192">
        <f t="shared" si="287"/>
        <v>80</v>
      </c>
      <c r="AL132" s="192">
        <f t="shared" si="287"/>
        <v>80</v>
      </c>
      <c r="AM132" s="192">
        <f t="shared" si="287"/>
        <v>80</v>
      </c>
      <c r="AN132" s="192">
        <f t="shared" si="287"/>
        <v>80</v>
      </c>
      <c r="AO132" s="192">
        <f t="shared" si="287"/>
        <v>80</v>
      </c>
      <c r="AP132" s="198"/>
      <c r="AQ132" s="201"/>
      <c r="AR132" s="104"/>
    </row>
    <row r="133" spans="1:44" ht="15" customHeight="1" x14ac:dyDescent="0.3">
      <c r="A133" s="995"/>
      <c r="B133" s="989" t="s">
        <v>61</v>
      </c>
      <c r="C133" s="205">
        <v>2</v>
      </c>
      <c r="D133" s="202" t="s">
        <v>23</v>
      </c>
      <c r="E133" s="202">
        <v>2019</v>
      </c>
      <c r="F133" s="703" t="s">
        <v>19</v>
      </c>
      <c r="G133" s="204"/>
      <c r="H133" s="204"/>
      <c r="I133" s="204"/>
      <c r="J133" s="204"/>
      <c r="K133" s="204"/>
      <c r="L133" s="204"/>
      <c r="M133" s="204"/>
      <c r="N133" s="480">
        <f>G133*0.015*$BE$6</f>
        <v>0</v>
      </c>
      <c r="O133" s="93">
        <f t="shared" ref="O133:O135" si="288">P133+((Q133-P133)/(2040-2030))*(2025-2030)</f>
        <v>0</v>
      </c>
      <c r="P133" s="204">
        <f>I133*0.015*$BE$6</f>
        <v>0</v>
      </c>
      <c r="Q133" s="93">
        <f>S133+((U133-S133)/(2050-2030))*(2040-2030)</f>
        <v>0</v>
      </c>
      <c r="R133" s="93">
        <f t="shared" ref="R133:R135" si="289">Q133+((S133-Q133)/(2050-2040))*(2045-2040)</f>
        <v>0</v>
      </c>
      <c r="S133" s="204">
        <f>L133*0.015*$BE$6</f>
        <v>0</v>
      </c>
      <c r="T133" s="93">
        <f>R133+((S133-R133)/(2050-2045))*(2060-2045)</f>
        <v>0</v>
      </c>
      <c r="U133" s="205"/>
      <c r="V133" s="202"/>
      <c r="W133" s="202"/>
      <c r="X133" s="202"/>
      <c r="Y133" s="204"/>
      <c r="Z133" s="202"/>
      <c r="AA133" s="204"/>
      <c r="AB133" s="205"/>
      <c r="AC133" s="202"/>
      <c r="AD133" s="202"/>
      <c r="AE133" s="202"/>
      <c r="AF133" s="207"/>
      <c r="AG133" s="207"/>
      <c r="AH133" s="207"/>
      <c r="AI133" s="205"/>
      <c r="AJ133" s="202"/>
      <c r="AK133" s="202"/>
      <c r="AL133" s="202"/>
      <c r="AM133" s="204"/>
      <c r="AN133" s="202"/>
      <c r="AO133" s="207"/>
      <c r="AP133" s="205"/>
      <c r="AQ133" s="21"/>
      <c r="AR133" s="104"/>
    </row>
    <row r="134" spans="1:44" x14ac:dyDescent="0.3">
      <c r="A134" s="995"/>
      <c r="B134" s="990"/>
      <c r="C134" s="210">
        <v>11</v>
      </c>
      <c r="D134" s="208" t="s">
        <v>57</v>
      </c>
      <c r="E134" s="208">
        <v>2022</v>
      </c>
      <c r="F134" s="704" t="s">
        <v>19</v>
      </c>
      <c r="G134" s="107">
        <f t="shared" ref="G134:G135" si="290">H134+((I134-H134)/(2030-2025))*(2020-2025)</f>
        <v>1296.2712437642681</v>
      </c>
      <c r="H134" s="107">
        <f t="shared" ref="H134:H135" si="291">I134+((J134-I134)/(2040-2030))*(2025-2030)</f>
        <v>1065.4012006425974</v>
      </c>
      <c r="I134" s="209">
        <f>(987)/1.1827</f>
        <v>834.53115752092663</v>
      </c>
      <c r="J134" s="209">
        <f>(440.9)/1.1827</f>
        <v>372.79107127758516</v>
      </c>
      <c r="K134" s="107">
        <f t="shared" ref="K134:K135" si="292">J134+((L134-J134)/(2050-2040))*(2045-2040)</f>
        <v>310.13782024181955</v>
      </c>
      <c r="L134" s="209">
        <f>(292.7)/1.1827</f>
        <v>247.48456920605392</v>
      </c>
      <c r="M134" s="107">
        <v>247.48</v>
      </c>
      <c r="N134" s="106">
        <f t="shared" ref="N134:N135" si="293">O134+((P134-O134)/(2030-2025))*(2020-2025)</f>
        <v>34.673161982331905</v>
      </c>
      <c r="O134" s="107">
        <f t="shared" si="288"/>
        <v>28.497761239212917</v>
      </c>
      <c r="P134" s="209">
        <f t="shared" ref="P134:P135" si="294">I134*0.02*$BE$6</f>
        <v>22.322360496093925</v>
      </c>
      <c r="Q134" s="209">
        <f t="shared" ref="Q134:Q135" si="295">J134*0.02*$BE$6</f>
        <v>9.971559009855941</v>
      </c>
      <c r="R134" s="107">
        <f t="shared" si="289"/>
        <v>8.2956857446476739</v>
      </c>
      <c r="S134" s="209">
        <f t="shared" ref="S134:S135" si="296">L134*0.02*$BE$6</f>
        <v>6.6198124794394051</v>
      </c>
      <c r="T134" s="107">
        <v>4.95</v>
      </c>
      <c r="U134" s="210"/>
      <c r="V134" s="208"/>
      <c r="W134" s="208"/>
      <c r="X134" s="208"/>
      <c r="Y134" s="209"/>
      <c r="Z134" s="208"/>
      <c r="AA134" s="209"/>
      <c r="AB134" s="210"/>
      <c r="AC134" s="208"/>
      <c r="AD134" s="208"/>
      <c r="AE134" s="208"/>
      <c r="AF134" s="213"/>
      <c r="AG134" s="213"/>
      <c r="AH134" s="213"/>
      <c r="AI134" s="106">
        <f t="shared" ref="AI134:AI135" si="297">AJ134+((AK134-AJ134)/(2030-2025))*(2020-2025)</f>
        <v>88</v>
      </c>
      <c r="AJ134" s="297">
        <f t="shared" ref="AJ134:AJ135" si="298">AK134+((AL134-AK134)/(2040-2030))*(2025-2030)</f>
        <v>88</v>
      </c>
      <c r="AK134" s="208">
        <v>88</v>
      </c>
      <c r="AL134" s="208">
        <v>88</v>
      </c>
      <c r="AM134" s="378">
        <f t="shared" ref="AM134:AM135" si="299">AL134+((AN134-AL134)/(2050-2040))*(2045-2040)</f>
        <v>88</v>
      </c>
      <c r="AN134" s="208">
        <v>88</v>
      </c>
      <c r="AO134" s="378">
        <f t="shared" ref="AO134:AO135" si="300">AM134+((AN134-AM134)/(2050-2045))*(2060-2045)</f>
        <v>88</v>
      </c>
      <c r="AP134" s="210"/>
      <c r="AQ134" s="24"/>
      <c r="AR134" t="s">
        <v>390</v>
      </c>
    </row>
    <row r="135" spans="1:44" x14ac:dyDescent="0.3">
      <c r="A135" s="995"/>
      <c r="B135" s="990"/>
      <c r="C135" s="210">
        <v>11</v>
      </c>
      <c r="D135" s="208" t="s">
        <v>57</v>
      </c>
      <c r="E135" s="208">
        <v>2022</v>
      </c>
      <c r="F135" s="704" t="s">
        <v>19</v>
      </c>
      <c r="G135" s="107">
        <f t="shared" si="290"/>
        <v>2592.4579352329415</v>
      </c>
      <c r="H135" s="107">
        <f t="shared" si="291"/>
        <v>2130.7178489896</v>
      </c>
      <c r="I135" s="209">
        <f>(1973.9)/1.1827</f>
        <v>1668.9777627462586</v>
      </c>
      <c r="J135" s="209">
        <f>(881.7)/1.1827</f>
        <v>745.49759025957553</v>
      </c>
      <c r="K135" s="107">
        <f t="shared" si="292"/>
        <v>620.23336433584166</v>
      </c>
      <c r="L135" s="209">
        <f>(585.4)/1.1827</f>
        <v>494.96913841210784</v>
      </c>
      <c r="M135" s="107">
        <v>494.97</v>
      </c>
      <c r="N135" s="106">
        <f t="shared" si="293"/>
        <v>69.344062327328885</v>
      </c>
      <c r="O135" s="107">
        <f t="shared" si="288"/>
        <v>56.993260841090887</v>
      </c>
      <c r="P135" s="209">
        <f t="shared" si="294"/>
        <v>44.642459354852896</v>
      </c>
      <c r="Q135" s="209">
        <f t="shared" si="295"/>
        <v>19.940856382376918</v>
      </c>
      <c r="R135" s="107">
        <f t="shared" si="289"/>
        <v>16.590240670627864</v>
      </c>
      <c r="S135" s="209">
        <f t="shared" si="296"/>
        <v>13.23962495887881</v>
      </c>
      <c r="T135" s="107">
        <v>9.9</v>
      </c>
      <c r="U135" s="210"/>
      <c r="V135" s="208"/>
      <c r="W135" s="208"/>
      <c r="X135" s="208"/>
      <c r="Y135" s="209"/>
      <c r="Z135" s="208"/>
      <c r="AA135" s="209"/>
      <c r="AB135" s="210"/>
      <c r="AC135" s="208"/>
      <c r="AD135" s="208"/>
      <c r="AE135" s="208"/>
      <c r="AF135" s="213"/>
      <c r="AG135" s="213"/>
      <c r="AH135" s="213"/>
      <c r="AI135" s="106">
        <f t="shared" si="297"/>
        <v>87</v>
      </c>
      <c r="AJ135" s="297">
        <f t="shared" si="298"/>
        <v>87</v>
      </c>
      <c r="AK135" s="208">
        <v>87</v>
      </c>
      <c r="AL135" s="208">
        <v>87</v>
      </c>
      <c r="AM135" s="378">
        <f t="shared" si="299"/>
        <v>87</v>
      </c>
      <c r="AN135" s="208">
        <v>87</v>
      </c>
      <c r="AO135" s="378">
        <f t="shared" si="300"/>
        <v>87</v>
      </c>
      <c r="AP135" s="210"/>
      <c r="AQ135" s="24"/>
      <c r="AR135" t="s">
        <v>391</v>
      </c>
    </row>
    <row r="136" spans="1:44" x14ac:dyDescent="0.3">
      <c r="A136" s="995"/>
      <c r="B136" s="991"/>
      <c r="C136" s="216">
        <v>4</v>
      </c>
      <c r="D136" s="214" t="s">
        <v>31</v>
      </c>
      <c r="E136" s="214">
        <v>2022</v>
      </c>
      <c r="F136" s="705" t="s">
        <v>19</v>
      </c>
      <c r="G136" s="215">
        <f>1586.29</f>
        <v>1586.29</v>
      </c>
      <c r="H136" s="215">
        <v>1441.86</v>
      </c>
      <c r="I136" s="215">
        <v>1297.43</v>
      </c>
      <c r="J136" s="215">
        <v>1061.17</v>
      </c>
      <c r="K136" s="215">
        <v>937.36</v>
      </c>
      <c r="L136" s="215">
        <v>813.55</v>
      </c>
      <c r="M136" s="107">
        <f>K136+((L136-K136)/(2050-2045))*(2060-2045)</f>
        <v>565.92999999999984</v>
      </c>
      <c r="N136" s="597">
        <f t="shared" ref="N136:S136" si="301">G136*0.03*$BE$6</f>
        <v>63.646042892881866</v>
      </c>
      <c r="O136" s="215">
        <f t="shared" si="301"/>
        <v>57.851139076417709</v>
      </c>
      <c r="P136" s="215">
        <f t="shared" si="301"/>
        <v>52.056235259953553</v>
      </c>
      <c r="Q136" s="215">
        <f t="shared" si="301"/>
        <v>42.576875184638027</v>
      </c>
      <c r="R136" s="215">
        <f t="shared" si="301"/>
        <v>37.609298908819795</v>
      </c>
      <c r="S136" s="215">
        <f t="shared" si="301"/>
        <v>32.641722633001557</v>
      </c>
      <c r="T136" s="122">
        <f>R136+((S136-R136)/(2050-2045))*(2060-2045)</f>
        <v>22.706570081365079</v>
      </c>
      <c r="U136" s="216">
        <v>0.02</v>
      </c>
      <c r="V136" s="214">
        <v>0.02</v>
      </c>
      <c r="W136" s="214">
        <v>0.02</v>
      </c>
      <c r="X136" s="214">
        <v>0.02</v>
      </c>
      <c r="Y136" s="215">
        <v>0.02</v>
      </c>
      <c r="Z136" s="214">
        <v>0.02</v>
      </c>
      <c r="AA136" s="122">
        <f>Y136+((Z136-Y136)/(2050-2045))*(2060-2045)</f>
        <v>0.02</v>
      </c>
      <c r="AB136" s="216">
        <v>30</v>
      </c>
      <c r="AC136" s="214">
        <v>30</v>
      </c>
      <c r="AD136" s="214">
        <v>30</v>
      </c>
      <c r="AE136" s="214">
        <v>30</v>
      </c>
      <c r="AF136" s="660">
        <v>30</v>
      </c>
      <c r="AG136" s="660">
        <v>30</v>
      </c>
      <c r="AH136" s="386">
        <f>AF136+((AG136-AF136)/(2050-2045))*(2060-2045)</f>
        <v>30</v>
      </c>
      <c r="AI136" s="597"/>
      <c r="AJ136" s="214"/>
      <c r="AK136" s="214"/>
      <c r="AL136" s="214"/>
      <c r="AM136" s="215"/>
      <c r="AN136" s="214"/>
      <c r="AO136" s="215"/>
      <c r="AP136" s="216"/>
      <c r="AQ136" s="27"/>
      <c r="AR136" t="s">
        <v>392</v>
      </c>
    </row>
    <row r="137" spans="1:44" x14ac:dyDescent="0.3">
      <c r="A137" s="995"/>
      <c r="B137" s="706" t="s">
        <v>267</v>
      </c>
      <c r="C137" s="229"/>
      <c r="D137" s="225"/>
      <c r="E137" s="225"/>
      <c r="F137" s="230"/>
      <c r="G137" s="220">
        <f>MIN(G133:G136)</f>
        <v>1296.2712437642681</v>
      </c>
      <c r="H137" s="220">
        <f t="shared" ref="H137:AO137" si="302">MIN(H133:H136)</f>
        <v>1065.4012006425974</v>
      </c>
      <c r="I137" s="220">
        <f t="shared" si="302"/>
        <v>834.53115752092663</v>
      </c>
      <c r="J137" s="220">
        <f t="shared" si="302"/>
        <v>372.79107127758516</v>
      </c>
      <c r="K137" s="220">
        <f t="shared" si="302"/>
        <v>310.13782024181955</v>
      </c>
      <c r="L137" s="220">
        <f t="shared" si="302"/>
        <v>247.48456920605392</v>
      </c>
      <c r="M137" s="220">
        <f t="shared" si="302"/>
        <v>247.48</v>
      </c>
      <c r="N137" s="219">
        <f t="shared" si="302"/>
        <v>0</v>
      </c>
      <c r="O137" s="220">
        <f t="shared" si="302"/>
        <v>0</v>
      </c>
      <c r="P137" s="220">
        <f t="shared" si="302"/>
        <v>0</v>
      </c>
      <c r="Q137" s="220">
        <f t="shared" si="302"/>
        <v>0</v>
      </c>
      <c r="R137" s="220">
        <f t="shared" si="302"/>
        <v>0</v>
      </c>
      <c r="S137" s="220">
        <f t="shared" si="302"/>
        <v>0</v>
      </c>
      <c r="T137" s="220">
        <f t="shared" si="302"/>
        <v>0</v>
      </c>
      <c r="U137" s="222">
        <f t="shared" si="302"/>
        <v>0.02</v>
      </c>
      <c r="V137" s="218">
        <f t="shared" si="302"/>
        <v>0.02</v>
      </c>
      <c r="W137" s="218">
        <f t="shared" si="302"/>
        <v>0.02</v>
      </c>
      <c r="X137" s="218">
        <f t="shared" si="302"/>
        <v>0.02</v>
      </c>
      <c r="Y137" s="218">
        <f t="shared" si="302"/>
        <v>0.02</v>
      </c>
      <c r="Z137" s="218">
        <f t="shared" si="302"/>
        <v>0.02</v>
      </c>
      <c r="AA137" s="218">
        <f t="shared" si="302"/>
        <v>0.02</v>
      </c>
      <c r="AB137" s="222">
        <f t="shared" si="302"/>
        <v>30</v>
      </c>
      <c r="AC137" s="218">
        <f t="shared" si="302"/>
        <v>30</v>
      </c>
      <c r="AD137" s="218">
        <f t="shared" si="302"/>
        <v>30</v>
      </c>
      <c r="AE137" s="218">
        <f t="shared" si="302"/>
        <v>30</v>
      </c>
      <c r="AF137" s="490">
        <f t="shared" si="302"/>
        <v>30</v>
      </c>
      <c r="AG137" s="490">
        <f t="shared" si="302"/>
        <v>30</v>
      </c>
      <c r="AH137" s="490">
        <f t="shared" si="302"/>
        <v>30</v>
      </c>
      <c r="AI137" s="222">
        <f t="shared" si="302"/>
        <v>87</v>
      </c>
      <c r="AJ137" s="218">
        <f t="shared" si="302"/>
        <v>87</v>
      </c>
      <c r="AK137" s="218">
        <f t="shared" si="302"/>
        <v>87</v>
      </c>
      <c r="AL137" s="218">
        <f t="shared" si="302"/>
        <v>87</v>
      </c>
      <c r="AM137" s="218">
        <f t="shared" si="302"/>
        <v>87</v>
      </c>
      <c r="AN137" s="218">
        <f t="shared" si="302"/>
        <v>87</v>
      </c>
      <c r="AO137" s="218">
        <f t="shared" si="302"/>
        <v>87</v>
      </c>
      <c r="AP137" s="222"/>
      <c r="AQ137" s="223"/>
      <c r="AR137" s="104"/>
    </row>
    <row r="138" spans="1:44" ht="16.2" customHeight="1" x14ac:dyDescent="0.3">
      <c r="A138" s="995"/>
      <c r="B138" s="707" t="s">
        <v>268</v>
      </c>
      <c r="C138" s="229"/>
      <c r="D138" s="225"/>
      <c r="E138" s="225"/>
      <c r="F138" s="230"/>
      <c r="G138" s="227">
        <f>MEDIAN(G133:G136)</f>
        <v>1586.29</v>
      </c>
      <c r="H138" s="227">
        <f t="shared" ref="H138:AO138" si="303">MEDIAN(H133:H136)</f>
        <v>1441.86</v>
      </c>
      <c r="I138" s="227">
        <f t="shared" si="303"/>
        <v>1297.43</v>
      </c>
      <c r="J138" s="227">
        <f t="shared" si="303"/>
        <v>745.49759025957553</v>
      </c>
      <c r="K138" s="227">
        <f t="shared" si="303"/>
        <v>620.23336433584166</v>
      </c>
      <c r="L138" s="227">
        <f t="shared" si="303"/>
        <v>494.96913841210784</v>
      </c>
      <c r="M138" s="227">
        <f t="shared" si="303"/>
        <v>494.97</v>
      </c>
      <c r="N138" s="226">
        <f t="shared" si="303"/>
        <v>49.159602437606885</v>
      </c>
      <c r="O138" s="227">
        <f t="shared" si="303"/>
        <v>42.745511040151904</v>
      </c>
      <c r="P138" s="227">
        <f t="shared" si="303"/>
        <v>33.482409925473412</v>
      </c>
      <c r="Q138" s="227">
        <f t="shared" si="303"/>
        <v>14.956207696116429</v>
      </c>
      <c r="R138" s="227">
        <f t="shared" si="303"/>
        <v>12.442963207637769</v>
      </c>
      <c r="S138" s="227">
        <f t="shared" si="303"/>
        <v>9.9297187191591085</v>
      </c>
      <c r="T138" s="227">
        <f t="shared" si="303"/>
        <v>7.4250000000000007</v>
      </c>
      <c r="U138" s="229">
        <f t="shared" si="303"/>
        <v>0.02</v>
      </c>
      <c r="V138" s="225">
        <f t="shared" si="303"/>
        <v>0.02</v>
      </c>
      <c r="W138" s="225">
        <f t="shared" si="303"/>
        <v>0.02</v>
      </c>
      <c r="X138" s="225">
        <f t="shared" si="303"/>
        <v>0.02</v>
      </c>
      <c r="Y138" s="225">
        <f t="shared" si="303"/>
        <v>0.02</v>
      </c>
      <c r="Z138" s="225">
        <f t="shared" si="303"/>
        <v>0.02</v>
      </c>
      <c r="AA138" s="225">
        <f t="shared" si="303"/>
        <v>0.02</v>
      </c>
      <c r="AB138" s="229">
        <f t="shared" si="303"/>
        <v>30</v>
      </c>
      <c r="AC138" s="225">
        <f t="shared" si="303"/>
        <v>30</v>
      </c>
      <c r="AD138" s="225">
        <f t="shared" si="303"/>
        <v>30</v>
      </c>
      <c r="AE138" s="225">
        <f t="shared" si="303"/>
        <v>30</v>
      </c>
      <c r="AF138" s="494">
        <f t="shared" si="303"/>
        <v>30</v>
      </c>
      <c r="AG138" s="494">
        <f t="shared" si="303"/>
        <v>30</v>
      </c>
      <c r="AH138" s="494">
        <f t="shared" si="303"/>
        <v>30</v>
      </c>
      <c r="AI138" s="229">
        <f t="shared" si="303"/>
        <v>87.5</v>
      </c>
      <c r="AJ138" s="225">
        <f t="shared" si="303"/>
        <v>87.5</v>
      </c>
      <c r="AK138" s="225">
        <f t="shared" si="303"/>
        <v>87.5</v>
      </c>
      <c r="AL138" s="225">
        <f t="shared" si="303"/>
        <v>87.5</v>
      </c>
      <c r="AM138" s="225">
        <f t="shared" si="303"/>
        <v>87.5</v>
      </c>
      <c r="AN138" s="225">
        <f t="shared" si="303"/>
        <v>87.5</v>
      </c>
      <c r="AO138" s="225">
        <f t="shared" si="303"/>
        <v>87.5</v>
      </c>
      <c r="AP138" s="229"/>
      <c r="AQ138" s="230"/>
      <c r="AR138" s="104"/>
    </row>
    <row r="139" spans="1:44" x14ac:dyDescent="0.3">
      <c r="A139" s="995"/>
      <c r="B139" s="708" t="s">
        <v>269</v>
      </c>
      <c r="C139" s="229"/>
      <c r="D139" s="225"/>
      <c r="E139" s="225"/>
      <c r="F139" s="230"/>
      <c r="G139" s="233">
        <f>MAX(G133:G136)</f>
        <v>2592.4579352329415</v>
      </c>
      <c r="H139" s="233">
        <f t="shared" ref="H139:AO139" si="304">MAX(H133:H136)</f>
        <v>2130.7178489896</v>
      </c>
      <c r="I139" s="233">
        <f t="shared" si="304"/>
        <v>1668.9777627462586</v>
      </c>
      <c r="J139" s="233">
        <f t="shared" si="304"/>
        <v>1061.17</v>
      </c>
      <c r="K139" s="233">
        <f t="shared" si="304"/>
        <v>937.36</v>
      </c>
      <c r="L139" s="233">
        <f t="shared" si="304"/>
        <v>813.55</v>
      </c>
      <c r="M139" s="233">
        <f t="shared" si="304"/>
        <v>565.92999999999984</v>
      </c>
      <c r="N139" s="599">
        <f t="shared" si="304"/>
        <v>69.344062327328885</v>
      </c>
      <c r="O139" s="233">
        <f t="shared" si="304"/>
        <v>57.851139076417709</v>
      </c>
      <c r="P139" s="233">
        <f t="shared" si="304"/>
        <v>52.056235259953553</v>
      </c>
      <c r="Q139" s="233">
        <f t="shared" si="304"/>
        <v>42.576875184638027</v>
      </c>
      <c r="R139" s="233">
        <f t="shared" si="304"/>
        <v>37.609298908819795</v>
      </c>
      <c r="S139" s="233">
        <f t="shared" si="304"/>
        <v>32.641722633001557</v>
      </c>
      <c r="T139" s="233">
        <f t="shared" si="304"/>
        <v>22.706570081365079</v>
      </c>
      <c r="U139" s="234">
        <f t="shared" si="304"/>
        <v>0.02</v>
      </c>
      <c r="V139" s="232">
        <f t="shared" si="304"/>
        <v>0.02</v>
      </c>
      <c r="W139" s="232">
        <f t="shared" si="304"/>
        <v>0.02</v>
      </c>
      <c r="X139" s="232">
        <f t="shared" si="304"/>
        <v>0.02</v>
      </c>
      <c r="Y139" s="232">
        <f t="shared" si="304"/>
        <v>0.02</v>
      </c>
      <c r="Z139" s="232">
        <f t="shared" si="304"/>
        <v>0.02</v>
      </c>
      <c r="AA139" s="232">
        <f t="shared" si="304"/>
        <v>0.02</v>
      </c>
      <c r="AB139" s="234">
        <f t="shared" si="304"/>
        <v>30</v>
      </c>
      <c r="AC139" s="232">
        <f t="shared" si="304"/>
        <v>30</v>
      </c>
      <c r="AD139" s="232">
        <f t="shared" si="304"/>
        <v>30</v>
      </c>
      <c r="AE139" s="232">
        <f t="shared" si="304"/>
        <v>30</v>
      </c>
      <c r="AF139" s="498">
        <f t="shared" si="304"/>
        <v>30</v>
      </c>
      <c r="AG139" s="498">
        <f t="shared" si="304"/>
        <v>30</v>
      </c>
      <c r="AH139" s="498">
        <f t="shared" si="304"/>
        <v>30</v>
      </c>
      <c r="AI139" s="234">
        <f t="shared" si="304"/>
        <v>88</v>
      </c>
      <c r="AJ139" s="232">
        <f t="shared" si="304"/>
        <v>88</v>
      </c>
      <c r="AK139" s="232">
        <f t="shared" si="304"/>
        <v>88</v>
      </c>
      <c r="AL139" s="232">
        <f t="shared" si="304"/>
        <v>88</v>
      </c>
      <c r="AM139" s="232">
        <f t="shared" si="304"/>
        <v>88</v>
      </c>
      <c r="AN139" s="232">
        <f t="shared" si="304"/>
        <v>88</v>
      </c>
      <c r="AO139" s="232">
        <f t="shared" si="304"/>
        <v>88</v>
      </c>
      <c r="AP139" s="234"/>
      <c r="AQ139" s="235"/>
      <c r="AR139" s="104"/>
    </row>
    <row r="140" spans="1:44" ht="15" customHeight="1" x14ac:dyDescent="0.3">
      <c r="A140" s="995"/>
      <c r="B140" s="989" t="s">
        <v>393</v>
      </c>
      <c r="C140" s="205">
        <v>11</v>
      </c>
      <c r="D140" s="202" t="s">
        <v>57</v>
      </c>
      <c r="E140" s="202">
        <v>2022</v>
      </c>
      <c r="F140" s="703" t="s">
        <v>19</v>
      </c>
      <c r="G140" s="93">
        <f t="shared" ref="G140:G141" si="305">H140+((I140-H140)/(2030-2025))*(2020-2025)</f>
        <v>1061.9768326710068</v>
      </c>
      <c r="H140" s="93">
        <f t="shared" ref="H140:H141" si="306">I140+((J140-I140)/(2040-2030))*(2025-2030)</f>
        <v>862.17975818043442</v>
      </c>
      <c r="I140" s="204">
        <f>(783.4)/1.1827</f>
        <v>662.38268368986212</v>
      </c>
      <c r="J140" s="204">
        <f>(310.8)/1.1827</f>
        <v>262.78853470871735</v>
      </c>
      <c r="K140" s="93">
        <f t="shared" ref="K140:K141" si="307">J140+((L140-J140)/(2050-2040))*(2045-2040)</f>
        <v>215.56607761900733</v>
      </c>
      <c r="L140" s="204">
        <f>(199.1)/1.1827</f>
        <v>168.34362052929734</v>
      </c>
      <c r="M140" s="107">
        <v>168.57</v>
      </c>
      <c r="N140" s="92">
        <f t="shared" ref="N140:N141" si="308">O140+((P140-O140)/(2030-2025))*(2020-2025)</f>
        <v>42.609247390720327</v>
      </c>
      <c r="O140" s="93">
        <f t="shared" ref="O140:O141" si="309">P140+((Q140-P140)/(2040-2030))*(2025-2030)</f>
        <v>34.592873856940699</v>
      </c>
      <c r="P140" s="204">
        <f>I140*0.03*$BE$6</f>
        <v>26.576500323161071</v>
      </c>
      <c r="Q140" s="204">
        <f>J140*0.03*$BE$6</f>
        <v>10.543753255601814</v>
      </c>
      <c r="R140" s="93">
        <f t="shared" ref="R140:R141" si="310">Q140+((S140-Q140)/(2050-2040))*(2045-2040)</f>
        <v>8.6490665782357858</v>
      </c>
      <c r="S140" s="204">
        <f>L140*0.03*$BE$6</f>
        <v>6.7543799008697567</v>
      </c>
      <c r="T140" s="93">
        <v>5.05</v>
      </c>
      <c r="U140" s="205"/>
      <c r="V140" s="202"/>
      <c r="W140" s="202"/>
      <c r="X140" s="202"/>
      <c r="Y140" s="204"/>
      <c r="Z140" s="202"/>
      <c r="AA140" s="204"/>
      <c r="AB140" s="205"/>
      <c r="AC140" s="202"/>
      <c r="AD140" s="202"/>
      <c r="AE140" s="202"/>
      <c r="AF140" s="207"/>
      <c r="AG140" s="207"/>
      <c r="AH140" s="207"/>
      <c r="AI140" s="92">
        <f t="shared" ref="AI140:AI141" si="311">AJ140+((AK140-AJ140)/(2030-2025))*(2020-2025)</f>
        <v>98</v>
      </c>
      <c r="AJ140" s="100">
        <f t="shared" ref="AJ140:AJ141" si="312">AK140+((AL140-AK140)/(2040-2030))*(2025-2030)</f>
        <v>98</v>
      </c>
      <c r="AK140" s="202">
        <v>98</v>
      </c>
      <c r="AL140" s="202">
        <v>98</v>
      </c>
      <c r="AM140" s="101">
        <f t="shared" ref="AM140:AM141" si="313">AL140+((AN140-AL140)/(2050-2040))*(2045-2040)</f>
        <v>98</v>
      </c>
      <c r="AN140" s="202">
        <v>98</v>
      </c>
      <c r="AO140" s="101">
        <f t="shared" ref="AO140:AO141" si="314">AM140+((AN140-AM140)/(2050-2045))*(2060-2045)</f>
        <v>98</v>
      </c>
      <c r="AP140" s="205"/>
      <c r="AQ140" s="21"/>
      <c r="AR140" t="s">
        <v>390</v>
      </c>
    </row>
    <row r="141" spans="1:44" x14ac:dyDescent="0.3">
      <c r="A141" s="995"/>
      <c r="B141" s="990"/>
      <c r="C141" s="210">
        <v>11</v>
      </c>
      <c r="D141" s="208" t="s">
        <v>57</v>
      </c>
      <c r="E141" s="208">
        <v>2022</v>
      </c>
      <c r="F141" s="704" t="s">
        <v>19</v>
      </c>
      <c r="G141" s="107">
        <f t="shared" si="305"/>
        <v>2066.8808658155067</v>
      </c>
      <c r="H141" s="107">
        <f t="shared" si="306"/>
        <v>1678.0248583749049</v>
      </c>
      <c r="I141" s="209">
        <f>(1524.7)/1.1827</f>
        <v>1289.1688509343028</v>
      </c>
      <c r="J141" s="209">
        <f>(604.9)/1.1827</f>
        <v>511.45683605309881</v>
      </c>
      <c r="K141" s="107">
        <f t="shared" si="307"/>
        <v>405.38598122939038</v>
      </c>
      <c r="L141" s="209">
        <f>(354)/1.1827</f>
        <v>299.31512640568189</v>
      </c>
      <c r="M141" s="107">
        <v>299.32</v>
      </c>
      <c r="N141" s="106">
        <f t="shared" si="308"/>
        <v>110.57144930638624</v>
      </c>
      <c r="O141" s="107">
        <f t="shared" si="309"/>
        <v>89.768909099388068</v>
      </c>
      <c r="P141" s="209">
        <f>I141*0.04*$BE$6</f>
        <v>68.966368892389895</v>
      </c>
      <c r="Q141" s="209">
        <f>J141*0.04*$BE$6</f>
        <v>27.361288478393551</v>
      </c>
      <c r="R141" s="107">
        <f t="shared" si="310"/>
        <v>21.686840404969068</v>
      </c>
      <c r="S141" s="209">
        <f>L141*0.04*$BE$6</f>
        <v>16.012392331544582</v>
      </c>
      <c r="T141" s="107">
        <v>11.97</v>
      </c>
      <c r="U141" s="210"/>
      <c r="V141" s="208"/>
      <c r="W141" s="208"/>
      <c r="X141" s="208"/>
      <c r="Y141" s="209"/>
      <c r="Z141" s="208"/>
      <c r="AA141" s="209"/>
      <c r="AB141" s="210"/>
      <c r="AC141" s="208"/>
      <c r="AD141" s="208"/>
      <c r="AE141" s="208"/>
      <c r="AF141" s="213"/>
      <c r="AG141" s="213"/>
      <c r="AH141" s="213"/>
      <c r="AI141" s="106">
        <f t="shared" si="311"/>
        <v>98</v>
      </c>
      <c r="AJ141" s="297">
        <f t="shared" si="312"/>
        <v>98</v>
      </c>
      <c r="AK141" s="208">
        <v>98</v>
      </c>
      <c r="AL141" s="208">
        <v>98</v>
      </c>
      <c r="AM141" s="378">
        <f t="shared" si="313"/>
        <v>98</v>
      </c>
      <c r="AN141" s="208">
        <v>98</v>
      </c>
      <c r="AO141" s="378">
        <f t="shared" si="314"/>
        <v>98</v>
      </c>
      <c r="AP141" s="210"/>
      <c r="AQ141" s="24"/>
      <c r="AR141" t="s">
        <v>391</v>
      </c>
    </row>
    <row r="142" spans="1:44" x14ac:dyDescent="0.3">
      <c r="A142" s="995"/>
      <c r="B142" s="991"/>
      <c r="C142" s="216">
        <v>4</v>
      </c>
      <c r="D142" s="214" t="s">
        <v>31</v>
      </c>
      <c r="E142" s="214">
        <v>2022</v>
      </c>
      <c r="F142" s="705" t="s">
        <v>19</v>
      </c>
      <c r="G142" s="215">
        <v>1062.107</v>
      </c>
      <c r="H142" s="215">
        <v>1062.107</v>
      </c>
      <c r="I142" s="215">
        <v>1062.107</v>
      </c>
      <c r="J142" s="215">
        <v>794.84900000000005</v>
      </c>
      <c r="K142" s="215">
        <v>661.221</v>
      </c>
      <c r="L142" s="215">
        <v>527.59199999999998</v>
      </c>
      <c r="M142" s="107">
        <f>K142+((L142-K142)/(2050-2045))*(2060-2045)</f>
        <v>260.33399999999995</v>
      </c>
      <c r="N142" s="597">
        <f t="shared" ref="N142:S142" si="315">G142*0.043*$BE$6</f>
        <v>61.080740389834006</v>
      </c>
      <c r="O142" s="215">
        <f t="shared" si="315"/>
        <v>61.080740389834006</v>
      </c>
      <c r="P142" s="215">
        <f t="shared" si="315"/>
        <v>61.080740389834006</v>
      </c>
      <c r="Q142" s="215">
        <f t="shared" si="315"/>
        <v>45.710992788974337</v>
      </c>
      <c r="R142" s="215">
        <f t="shared" si="315"/>
        <v>38.02617649757174</v>
      </c>
      <c r="S142" s="215">
        <f t="shared" si="315"/>
        <v>30.341302697141906</v>
      </c>
      <c r="T142" s="122">
        <v>22.69</v>
      </c>
      <c r="U142" s="216"/>
      <c r="V142" s="214"/>
      <c r="W142" s="214"/>
      <c r="X142" s="214"/>
      <c r="Y142" s="215"/>
      <c r="Z142" s="214"/>
      <c r="AA142" s="215"/>
      <c r="AB142" s="216">
        <v>25</v>
      </c>
      <c r="AC142" s="214">
        <v>25</v>
      </c>
      <c r="AD142" s="214">
        <v>25</v>
      </c>
      <c r="AE142" s="214">
        <v>25</v>
      </c>
      <c r="AF142" s="660">
        <v>25</v>
      </c>
      <c r="AG142" s="660">
        <v>25</v>
      </c>
      <c r="AH142" s="386">
        <f>AF142+((AG142-AF142)/(2050-2045))*(2060-2045)</f>
        <v>25</v>
      </c>
      <c r="AI142" s="597"/>
      <c r="AJ142" s="214"/>
      <c r="AK142" s="214"/>
      <c r="AL142" s="214"/>
      <c r="AM142" s="215"/>
      <c r="AN142" s="214"/>
      <c r="AO142" s="215"/>
      <c r="AP142" s="216"/>
      <c r="AQ142" s="27"/>
      <c r="AR142" t="s">
        <v>394</v>
      </c>
    </row>
    <row r="143" spans="1:44" x14ac:dyDescent="0.3">
      <c r="A143" s="995"/>
      <c r="B143" s="706" t="s">
        <v>267</v>
      </c>
      <c r="C143" s="229"/>
      <c r="D143" s="225"/>
      <c r="E143" s="225"/>
      <c r="F143" s="230"/>
      <c r="G143" s="220">
        <f>MIN(G140:G142)</f>
        <v>1061.9768326710068</v>
      </c>
      <c r="H143" s="220">
        <f t="shared" ref="H143:T143" si="316">MIN(H140:H142)</f>
        <v>862.17975818043442</v>
      </c>
      <c r="I143" s="220">
        <f t="shared" si="316"/>
        <v>662.38268368986212</v>
      </c>
      <c r="J143" s="220">
        <f t="shared" si="316"/>
        <v>262.78853470871735</v>
      </c>
      <c r="K143" s="220">
        <f t="shared" si="316"/>
        <v>215.56607761900733</v>
      </c>
      <c r="L143" s="220">
        <f t="shared" si="316"/>
        <v>168.34362052929734</v>
      </c>
      <c r="M143" s="220">
        <f t="shared" si="316"/>
        <v>168.57</v>
      </c>
      <c r="N143" s="219">
        <f t="shared" si="316"/>
        <v>42.609247390720327</v>
      </c>
      <c r="O143" s="220">
        <f t="shared" si="316"/>
        <v>34.592873856940699</v>
      </c>
      <c r="P143" s="220">
        <f t="shared" si="316"/>
        <v>26.576500323161071</v>
      </c>
      <c r="Q143" s="220">
        <f t="shared" si="316"/>
        <v>10.543753255601814</v>
      </c>
      <c r="R143" s="220">
        <f t="shared" si="316"/>
        <v>8.6490665782357858</v>
      </c>
      <c r="S143" s="220">
        <f t="shared" si="316"/>
        <v>6.7543799008697567</v>
      </c>
      <c r="T143" s="220">
        <f t="shared" si="316"/>
        <v>5.05</v>
      </c>
      <c r="U143" s="222"/>
      <c r="V143" s="218"/>
      <c r="W143" s="218"/>
      <c r="X143" s="218"/>
      <c r="Y143" s="220"/>
      <c r="Z143" s="218"/>
      <c r="AA143" s="220"/>
      <c r="AB143" s="222">
        <f t="shared" ref="AB143:AO143" si="317">MIN(AB140:AB142)</f>
        <v>25</v>
      </c>
      <c r="AC143" s="218">
        <f t="shared" si="317"/>
        <v>25</v>
      </c>
      <c r="AD143" s="218">
        <f t="shared" si="317"/>
        <v>25</v>
      </c>
      <c r="AE143" s="218">
        <f t="shared" si="317"/>
        <v>25</v>
      </c>
      <c r="AF143" s="490">
        <f t="shared" si="317"/>
        <v>25</v>
      </c>
      <c r="AG143" s="490">
        <f t="shared" si="317"/>
        <v>25</v>
      </c>
      <c r="AH143" s="490">
        <f t="shared" si="317"/>
        <v>25</v>
      </c>
      <c r="AI143" s="222">
        <f t="shared" si="317"/>
        <v>98</v>
      </c>
      <c r="AJ143" s="218">
        <f t="shared" si="317"/>
        <v>98</v>
      </c>
      <c r="AK143" s="218">
        <f t="shared" si="317"/>
        <v>98</v>
      </c>
      <c r="AL143" s="218">
        <f t="shared" si="317"/>
        <v>98</v>
      </c>
      <c r="AM143" s="218">
        <f t="shared" si="317"/>
        <v>98</v>
      </c>
      <c r="AN143" s="218">
        <f t="shared" si="317"/>
        <v>98</v>
      </c>
      <c r="AO143" s="218">
        <f t="shared" si="317"/>
        <v>98</v>
      </c>
      <c r="AP143" s="222"/>
      <c r="AQ143" s="223"/>
      <c r="AR143" s="104"/>
    </row>
    <row r="144" spans="1:44" x14ac:dyDescent="0.3">
      <c r="A144" s="995"/>
      <c r="B144" s="707" t="s">
        <v>268</v>
      </c>
      <c r="C144" s="229"/>
      <c r="D144" s="225"/>
      <c r="E144" s="225"/>
      <c r="F144" s="230"/>
      <c r="G144" s="227">
        <f>MEDIAN(G140:G142)</f>
        <v>1062.107</v>
      </c>
      <c r="H144" s="227">
        <f t="shared" ref="H144:T144" si="318">MEDIAN(H140:H142)</f>
        <v>1062.107</v>
      </c>
      <c r="I144" s="227">
        <f t="shared" si="318"/>
        <v>1062.107</v>
      </c>
      <c r="J144" s="227">
        <f t="shared" si="318"/>
        <v>511.45683605309881</v>
      </c>
      <c r="K144" s="227">
        <f t="shared" si="318"/>
        <v>405.38598122939038</v>
      </c>
      <c r="L144" s="227">
        <f t="shared" si="318"/>
        <v>299.31512640568189</v>
      </c>
      <c r="M144" s="227">
        <f t="shared" si="318"/>
        <v>260.33399999999995</v>
      </c>
      <c r="N144" s="226">
        <f t="shared" si="318"/>
        <v>61.080740389834006</v>
      </c>
      <c r="O144" s="227">
        <f t="shared" si="318"/>
        <v>61.080740389834006</v>
      </c>
      <c r="P144" s="227">
        <f t="shared" si="318"/>
        <v>61.080740389834006</v>
      </c>
      <c r="Q144" s="227">
        <f t="shared" si="318"/>
        <v>27.361288478393551</v>
      </c>
      <c r="R144" s="227">
        <f t="shared" si="318"/>
        <v>21.686840404969068</v>
      </c>
      <c r="S144" s="227">
        <f t="shared" si="318"/>
        <v>16.012392331544582</v>
      </c>
      <c r="T144" s="227">
        <f t="shared" si="318"/>
        <v>11.97</v>
      </c>
      <c r="U144" s="229"/>
      <c r="V144" s="225"/>
      <c r="W144" s="225"/>
      <c r="X144" s="225"/>
      <c r="Y144" s="227"/>
      <c r="Z144" s="225"/>
      <c r="AA144" s="227"/>
      <c r="AB144" s="229">
        <f t="shared" ref="AB144:AO144" si="319">MEDIAN(AB140:AB142)</f>
        <v>25</v>
      </c>
      <c r="AC144" s="225">
        <f t="shared" si="319"/>
        <v>25</v>
      </c>
      <c r="AD144" s="225">
        <f t="shared" si="319"/>
        <v>25</v>
      </c>
      <c r="AE144" s="225">
        <f t="shared" si="319"/>
        <v>25</v>
      </c>
      <c r="AF144" s="494">
        <f t="shared" si="319"/>
        <v>25</v>
      </c>
      <c r="AG144" s="494">
        <f t="shared" si="319"/>
        <v>25</v>
      </c>
      <c r="AH144" s="494">
        <f t="shared" si="319"/>
        <v>25</v>
      </c>
      <c r="AI144" s="229">
        <f t="shared" si="319"/>
        <v>98</v>
      </c>
      <c r="AJ144" s="225">
        <f t="shared" si="319"/>
        <v>98</v>
      </c>
      <c r="AK144" s="225">
        <f t="shared" si="319"/>
        <v>98</v>
      </c>
      <c r="AL144" s="225">
        <f t="shared" si="319"/>
        <v>98</v>
      </c>
      <c r="AM144" s="225">
        <f t="shared" si="319"/>
        <v>98</v>
      </c>
      <c r="AN144" s="225">
        <f t="shared" si="319"/>
        <v>98</v>
      </c>
      <c r="AO144" s="225">
        <f t="shared" si="319"/>
        <v>98</v>
      </c>
      <c r="AP144" s="229"/>
      <c r="AQ144" s="230"/>
      <c r="AR144" s="104"/>
    </row>
    <row r="145" spans="1:44" x14ac:dyDescent="0.3">
      <c r="A145" s="995"/>
      <c r="B145" s="708" t="s">
        <v>269</v>
      </c>
      <c r="C145" s="229"/>
      <c r="D145" s="225"/>
      <c r="E145" s="225"/>
      <c r="F145" s="230"/>
      <c r="G145" s="233">
        <f>MAX(G140:G142)</f>
        <v>2066.8808658155067</v>
      </c>
      <c r="H145" s="233">
        <f t="shared" ref="H145:T145" si="320">MAX(H140:H142)</f>
        <v>1678.0248583749049</v>
      </c>
      <c r="I145" s="233">
        <f t="shared" si="320"/>
        <v>1289.1688509343028</v>
      </c>
      <c r="J145" s="233">
        <f t="shared" si="320"/>
        <v>794.84900000000005</v>
      </c>
      <c r="K145" s="233">
        <f t="shared" si="320"/>
        <v>661.221</v>
      </c>
      <c r="L145" s="233">
        <f t="shared" si="320"/>
        <v>527.59199999999998</v>
      </c>
      <c r="M145" s="233">
        <f t="shared" si="320"/>
        <v>299.32</v>
      </c>
      <c r="N145" s="599">
        <f t="shared" si="320"/>
        <v>110.57144930638624</v>
      </c>
      <c r="O145" s="233">
        <f t="shared" si="320"/>
        <v>89.768909099388068</v>
      </c>
      <c r="P145" s="233">
        <f t="shared" si="320"/>
        <v>68.966368892389895</v>
      </c>
      <c r="Q145" s="233">
        <f t="shared" si="320"/>
        <v>45.710992788974337</v>
      </c>
      <c r="R145" s="233">
        <f t="shared" si="320"/>
        <v>38.02617649757174</v>
      </c>
      <c r="S145" s="233">
        <f t="shared" si="320"/>
        <v>30.341302697141906</v>
      </c>
      <c r="T145" s="233">
        <f t="shared" si="320"/>
        <v>22.69</v>
      </c>
      <c r="U145" s="234"/>
      <c r="V145" s="232"/>
      <c r="W145" s="232"/>
      <c r="X145" s="232"/>
      <c r="Y145" s="233"/>
      <c r="Z145" s="232"/>
      <c r="AA145" s="233"/>
      <c r="AB145" s="234">
        <f t="shared" ref="AB145:AO145" si="321">MAX(AB140:AB142)</f>
        <v>25</v>
      </c>
      <c r="AC145" s="232">
        <f t="shared" si="321"/>
        <v>25</v>
      </c>
      <c r="AD145" s="232">
        <f t="shared" si="321"/>
        <v>25</v>
      </c>
      <c r="AE145" s="232">
        <f t="shared" si="321"/>
        <v>25</v>
      </c>
      <c r="AF145" s="498">
        <f t="shared" si="321"/>
        <v>25</v>
      </c>
      <c r="AG145" s="498">
        <f t="shared" si="321"/>
        <v>25</v>
      </c>
      <c r="AH145" s="498">
        <f t="shared" si="321"/>
        <v>25</v>
      </c>
      <c r="AI145" s="234">
        <f t="shared" si="321"/>
        <v>98</v>
      </c>
      <c r="AJ145" s="232">
        <f t="shared" si="321"/>
        <v>98</v>
      </c>
      <c r="AK145" s="232">
        <f t="shared" si="321"/>
        <v>98</v>
      </c>
      <c r="AL145" s="232">
        <f t="shared" si="321"/>
        <v>98</v>
      </c>
      <c r="AM145" s="232">
        <f t="shared" si="321"/>
        <v>98</v>
      </c>
      <c r="AN145" s="232">
        <f t="shared" si="321"/>
        <v>98</v>
      </c>
      <c r="AO145" s="232">
        <f t="shared" si="321"/>
        <v>98</v>
      </c>
      <c r="AP145" s="234"/>
      <c r="AQ145" s="235"/>
      <c r="AR145" s="104"/>
    </row>
    <row r="146" spans="1:44" x14ac:dyDescent="0.3">
      <c r="A146" s="995"/>
      <c r="B146" s="992" t="s">
        <v>67</v>
      </c>
      <c r="C146" s="240">
        <v>2</v>
      </c>
      <c r="D146" s="236" t="s">
        <v>23</v>
      </c>
      <c r="E146" s="236">
        <v>2019</v>
      </c>
      <c r="F146" s="709" t="s">
        <v>19</v>
      </c>
      <c r="G146" s="239">
        <f>((230*10^6)/1.1297)/(4200*10^3)/1.256</f>
        <v>38.594531862289664</v>
      </c>
      <c r="H146" s="239"/>
      <c r="I146" s="239"/>
      <c r="J146" s="239"/>
      <c r="K146" s="239"/>
      <c r="L146" s="239"/>
      <c r="M146" s="239"/>
      <c r="N146" s="92">
        <f>G146*0.02*$BE$6</f>
        <v>1.0323413879084675</v>
      </c>
      <c r="O146" s="239"/>
      <c r="P146" s="239"/>
      <c r="Q146" s="239"/>
      <c r="R146" s="239"/>
      <c r="S146" s="239"/>
      <c r="T146" s="239"/>
      <c r="U146" s="240"/>
      <c r="V146" s="236"/>
      <c r="W146" s="236"/>
      <c r="X146" s="236"/>
      <c r="Y146" s="239"/>
      <c r="Z146" s="236"/>
      <c r="AA146" s="239"/>
      <c r="AB146" s="240"/>
      <c r="AC146" s="236"/>
      <c r="AD146" s="236"/>
      <c r="AE146" s="236"/>
      <c r="AF146" s="242"/>
      <c r="AG146" s="242"/>
      <c r="AH146" s="242"/>
      <c r="AI146" s="240"/>
      <c r="AJ146" s="236"/>
      <c r="AK146" s="236"/>
      <c r="AL146" s="236"/>
      <c r="AM146" s="239"/>
      <c r="AN146" s="236"/>
      <c r="AO146" s="239"/>
      <c r="AP146" s="240"/>
      <c r="AQ146" s="30"/>
      <c r="AR146" s="104"/>
    </row>
    <row r="147" spans="1:44" x14ac:dyDescent="0.3">
      <c r="A147" s="995"/>
      <c r="B147" s="993"/>
      <c r="C147" s="247">
        <v>4</v>
      </c>
      <c r="D147" s="243" t="s">
        <v>31</v>
      </c>
      <c r="E147" s="243">
        <v>2022</v>
      </c>
      <c r="F147" s="710" t="s">
        <v>19</v>
      </c>
      <c r="G147" s="245">
        <v>51.259540000000001</v>
      </c>
      <c r="H147" s="245">
        <v>51.259540000000001</v>
      </c>
      <c r="I147" s="245">
        <v>51.259540000000001</v>
      </c>
      <c r="J147" s="245">
        <v>51.259540000000001</v>
      </c>
      <c r="K147" s="245">
        <v>51.259540000000001</v>
      </c>
      <c r="L147" s="245">
        <v>51.259540000000001</v>
      </c>
      <c r="M147" s="107">
        <f>K147+((L147-K147)/(2050-2045))*(2060-2045)</f>
        <v>51.259540000000001</v>
      </c>
      <c r="N147" s="244">
        <f t="shared" ref="N147:S147" si="322">G147*0.03*$BE$6</f>
        <v>2.0566648478584586</v>
      </c>
      <c r="O147" s="245">
        <f t="shared" si="322"/>
        <v>2.0566648478584586</v>
      </c>
      <c r="P147" s="245">
        <f t="shared" si="322"/>
        <v>2.0566648478584586</v>
      </c>
      <c r="Q147" s="245">
        <f t="shared" si="322"/>
        <v>2.0566648478584586</v>
      </c>
      <c r="R147" s="245">
        <f t="shared" si="322"/>
        <v>2.0566648478584586</v>
      </c>
      <c r="S147" s="245">
        <f t="shared" si="322"/>
        <v>2.0566648478584586</v>
      </c>
      <c r="T147" s="107">
        <f>R147+((S147-R147)/(2050-2045))*(2060-2045)</f>
        <v>2.0566648478584586</v>
      </c>
      <c r="U147" s="247"/>
      <c r="V147" s="243"/>
      <c r="W147" s="243"/>
      <c r="X147" s="243"/>
      <c r="Y147" s="245"/>
      <c r="Z147" s="243"/>
      <c r="AA147" s="245"/>
      <c r="AB147" s="247">
        <v>20</v>
      </c>
      <c r="AC147" s="243">
        <v>20</v>
      </c>
      <c r="AD147" s="243">
        <v>20</v>
      </c>
      <c r="AE147" s="243">
        <v>20</v>
      </c>
      <c r="AF147" s="669">
        <v>20</v>
      </c>
      <c r="AG147" s="669">
        <v>20</v>
      </c>
      <c r="AH147" s="378">
        <f>AF147+((AG147-AF147)/(2050-2045))*(2060-2045)</f>
        <v>20</v>
      </c>
      <c r="AI147" s="247"/>
      <c r="AJ147" s="243"/>
      <c r="AK147" s="243"/>
      <c r="AL147" s="243"/>
      <c r="AM147" s="245"/>
      <c r="AN147" s="243"/>
      <c r="AO147" s="245"/>
      <c r="AP147" s="247"/>
      <c r="AQ147" s="33"/>
      <c r="AR147" s="104"/>
    </row>
    <row r="148" spans="1:44" x14ac:dyDescent="0.3">
      <c r="A148" s="995"/>
      <c r="B148" s="993"/>
      <c r="C148" s="247">
        <v>11</v>
      </c>
      <c r="D148" s="243" t="s">
        <v>57</v>
      </c>
      <c r="E148" s="243">
        <v>2022</v>
      </c>
      <c r="F148" s="710" t="s">
        <v>19</v>
      </c>
      <c r="G148" s="107">
        <f t="shared" ref="G148:G149" si="323">H148+((I148-H148)/(2030-2025))*(2020-2025)</f>
        <v>303.79639807220769</v>
      </c>
      <c r="H148" s="107">
        <f t="shared" ref="H148:H149" si="324">I148+((J148-I148)/(2040-2030))*(2025-2030)</f>
        <v>247.35774076266171</v>
      </c>
      <c r="I148" s="245">
        <f>(225.8)/1.1827</f>
        <v>190.91908345311575</v>
      </c>
      <c r="J148" s="245">
        <f>(92.3)/1.1827</f>
        <v>78.041768834023841</v>
      </c>
      <c r="K148" s="107">
        <f t="shared" ref="K148:K149" si="325">J148+((L148-J148)/(2050-2040))*(2045-2040)</f>
        <v>63.62560243510611</v>
      </c>
      <c r="L148" s="245">
        <f>(58.2)/1.1827</f>
        <v>49.209436036188379</v>
      </c>
      <c r="M148" s="107">
        <v>49.21</v>
      </c>
      <c r="N148" s="106">
        <f t="shared" ref="N148:N149" si="326">O148+((P148-O148)/(2030-2025))*(2020-2025)</f>
        <v>12.189094416788066</v>
      </c>
      <c r="O148" s="107">
        <f t="shared" ref="O148:O149" si="327">P148+((Q148-P148)/(2040-2030))*(2025-2030)</f>
        <v>9.9246300351554382</v>
      </c>
      <c r="P148" s="245">
        <f>I148*0.03*$BE$6</f>
        <v>7.6601656535228102</v>
      </c>
      <c r="Q148" s="245">
        <f>J148*0.03*$BE$6</f>
        <v>3.1312368902575525</v>
      </c>
      <c r="R148" s="107">
        <f t="shared" ref="R148:R149" si="328">Q148+((S148-Q148)/(2050-2040))*(2045-2040)</f>
        <v>2.5528231418405287</v>
      </c>
      <c r="S148" s="245">
        <f>L148*0.03*$BE$6</f>
        <v>1.9744093934235054</v>
      </c>
      <c r="T148" s="107">
        <v>1.48</v>
      </c>
      <c r="U148" s="247"/>
      <c r="V148" s="243"/>
      <c r="W148" s="243"/>
      <c r="X148" s="243"/>
      <c r="Y148" s="245"/>
      <c r="Z148" s="243"/>
      <c r="AA148" s="245"/>
      <c r="AB148" s="247"/>
      <c r="AC148" s="243"/>
      <c r="AD148" s="243"/>
      <c r="AE148" s="243"/>
      <c r="AF148" s="669"/>
      <c r="AG148" s="669"/>
      <c r="AH148" s="669"/>
      <c r="AI148" s="106">
        <f t="shared" ref="AI148:AI149" si="329">AJ148+((AK148-AJ148)/(2030-2025))*(2020-2025)</f>
        <v>93</v>
      </c>
      <c r="AJ148" s="297">
        <f t="shared" ref="AJ148:AJ149" si="330">AK148+((AL148-AK148)/(2040-2030))*(2025-2030)</f>
        <v>94</v>
      </c>
      <c r="AK148" s="243">
        <v>95</v>
      </c>
      <c r="AL148" s="243">
        <v>97</v>
      </c>
      <c r="AM148" s="378">
        <f t="shared" ref="AM148:AM149" si="331">AL148+((AN148-AL148)/(2050-2040))*(2045-2040)</f>
        <v>98</v>
      </c>
      <c r="AN148" s="243">
        <v>99</v>
      </c>
      <c r="AO148" s="378">
        <v>99</v>
      </c>
      <c r="AP148" s="247"/>
      <c r="AQ148" s="33"/>
      <c r="AR148" t="s">
        <v>395</v>
      </c>
    </row>
    <row r="149" spans="1:44" x14ac:dyDescent="0.3">
      <c r="A149" s="995"/>
      <c r="B149" s="994"/>
      <c r="C149" s="250">
        <v>11</v>
      </c>
      <c r="D149" s="248" t="s">
        <v>57</v>
      </c>
      <c r="E149" s="248">
        <v>2022</v>
      </c>
      <c r="F149" s="711" t="s">
        <v>19</v>
      </c>
      <c r="G149" s="122">
        <f t="shared" si="323"/>
        <v>607.76190073560474</v>
      </c>
      <c r="H149" s="122">
        <f t="shared" si="324"/>
        <v>494.84230996871554</v>
      </c>
      <c r="I149" s="249">
        <f>(451.7)/1.1827</f>
        <v>381.92271920182628</v>
      </c>
      <c r="J149" s="249">
        <f>(184.6)/1.1827</f>
        <v>156.08353766804768</v>
      </c>
      <c r="K149" s="122">
        <f t="shared" si="325"/>
        <v>127.25120487021222</v>
      </c>
      <c r="L149" s="249">
        <f>(116.4)/1.1827</f>
        <v>98.418872072376757</v>
      </c>
      <c r="M149" s="107">
        <v>98.42</v>
      </c>
      <c r="N149" s="607">
        <f t="shared" si="326"/>
        <v>32.513298327441369</v>
      </c>
      <c r="O149" s="122">
        <f t="shared" si="327"/>
        <v>26.472465005752728</v>
      </c>
      <c r="P149" s="249">
        <f>I149*0.04*$BE$6</f>
        <v>20.431631684064087</v>
      </c>
      <c r="Q149" s="249">
        <f>J149*0.04*$BE$6</f>
        <v>8.349965040686806</v>
      </c>
      <c r="R149" s="122">
        <f t="shared" si="328"/>
        <v>6.8075283782414102</v>
      </c>
      <c r="S149" s="249">
        <f>L149*0.04*$BE$6</f>
        <v>5.2650917157960144</v>
      </c>
      <c r="T149" s="122">
        <v>3.94</v>
      </c>
      <c r="U149" s="250"/>
      <c r="V149" s="248"/>
      <c r="W149" s="248"/>
      <c r="X149" s="248"/>
      <c r="Y149" s="249"/>
      <c r="Z149" s="248"/>
      <c r="AA149" s="249"/>
      <c r="AB149" s="250"/>
      <c r="AC149" s="248"/>
      <c r="AD149" s="248"/>
      <c r="AE149" s="248"/>
      <c r="AF149" s="673"/>
      <c r="AG149" s="673"/>
      <c r="AH149" s="673"/>
      <c r="AI149" s="607">
        <f t="shared" si="329"/>
        <v>87</v>
      </c>
      <c r="AJ149" s="306">
        <f t="shared" si="330"/>
        <v>88.5</v>
      </c>
      <c r="AK149" s="248">
        <v>90</v>
      </c>
      <c r="AL149" s="248">
        <v>93</v>
      </c>
      <c r="AM149" s="712">
        <f t="shared" si="331"/>
        <v>94.5</v>
      </c>
      <c r="AN149" s="248">
        <v>96</v>
      </c>
      <c r="AO149" s="386">
        <f>AM149+((AN149-AM149)/(2050-2045))*(2060-2045)</f>
        <v>99</v>
      </c>
      <c r="AP149" s="250"/>
      <c r="AQ149" s="36"/>
      <c r="AR149" t="s">
        <v>396</v>
      </c>
    </row>
    <row r="150" spans="1:44" x14ac:dyDescent="0.3">
      <c r="A150" s="995"/>
      <c r="B150" s="713" t="s">
        <v>267</v>
      </c>
      <c r="C150" s="265"/>
      <c r="D150" s="261"/>
      <c r="E150" s="261"/>
      <c r="F150" s="268"/>
      <c r="G150" s="254">
        <f>MIN(G146:G149)</f>
        <v>38.594531862289664</v>
      </c>
      <c r="H150" s="254">
        <f t="shared" ref="H150:T150" si="332">MIN(H146:H149)</f>
        <v>51.259540000000001</v>
      </c>
      <c r="I150" s="254">
        <f t="shared" si="332"/>
        <v>51.259540000000001</v>
      </c>
      <c r="J150" s="254">
        <f t="shared" si="332"/>
        <v>51.259540000000001</v>
      </c>
      <c r="K150" s="254">
        <f t="shared" si="332"/>
        <v>51.259540000000001</v>
      </c>
      <c r="L150" s="254">
        <f t="shared" si="332"/>
        <v>49.209436036188379</v>
      </c>
      <c r="M150" s="254">
        <f t="shared" si="332"/>
        <v>49.21</v>
      </c>
      <c r="N150" s="253">
        <f t="shared" si="332"/>
        <v>1.0323413879084675</v>
      </c>
      <c r="O150" s="254">
        <f t="shared" si="332"/>
        <v>2.0566648478584586</v>
      </c>
      <c r="P150" s="254">
        <f t="shared" si="332"/>
        <v>2.0566648478584586</v>
      </c>
      <c r="Q150" s="254">
        <f t="shared" si="332"/>
        <v>2.0566648478584586</v>
      </c>
      <c r="R150" s="254">
        <f t="shared" si="332"/>
        <v>2.0566648478584586</v>
      </c>
      <c r="S150" s="254">
        <f t="shared" si="332"/>
        <v>1.9744093934235054</v>
      </c>
      <c r="T150" s="254">
        <f t="shared" si="332"/>
        <v>1.48</v>
      </c>
      <c r="U150" s="256"/>
      <c r="V150" s="252"/>
      <c r="W150" s="252"/>
      <c r="X150" s="252"/>
      <c r="Y150" s="254"/>
      <c r="Z150" s="252"/>
      <c r="AA150" s="254"/>
      <c r="AB150" s="256">
        <f t="shared" ref="AB150:AO150" si="333">MIN(AB146:AB149)</f>
        <v>20</v>
      </c>
      <c r="AC150" s="252">
        <f t="shared" si="333"/>
        <v>20</v>
      </c>
      <c r="AD150" s="252">
        <f t="shared" si="333"/>
        <v>20</v>
      </c>
      <c r="AE150" s="252">
        <f t="shared" si="333"/>
        <v>20</v>
      </c>
      <c r="AF150" s="257">
        <f t="shared" si="333"/>
        <v>20</v>
      </c>
      <c r="AG150" s="257">
        <f t="shared" si="333"/>
        <v>20</v>
      </c>
      <c r="AH150" s="257">
        <f t="shared" si="333"/>
        <v>20</v>
      </c>
      <c r="AI150" s="256">
        <f t="shared" si="333"/>
        <v>87</v>
      </c>
      <c r="AJ150" s="252">
        <f t="shared" si="333"/>
        <v>88.5</v>
      </c>
      <c r="AK150" s="252">
        <f t="shared" si="333"/>
        <v>90</v>
      </c>
      <c r="AL150" s="252">
        <f t="shared" si="333"/>
        <v>93</v>
      </c>
      <c r="AM150" s="252">
        <f t="shared" si="333"/>
        <v>94.5</v>
      </c>
      <c r="AN150" s="252">
        <f t="shared" si="333"/>
        <v>96</v>
      </c>
      <c r="AO150" s="252">
        <f t="shared" si="333"/>
        <v>99</v>
      </c>
      <c r="AP150" s="256"/>
      <c r="AQ150" s="259"/>
      <c r="AR150" s="104"/>
    </row>
    <row r="151" spans="1:44" x14ac:dyDescent="0.3">
      <c r="A151" s="995"/>
      <c r="B151" s="714" t="s">
        <v>268</v>
      </c>
      <c r="C151" s="265"/>
      <c r="D151" s="261"/>
      <c r="E151" s="261"/>
      <c r="F151" s="268"/>
      <c r="G151" s="263">
        <f>MEDIAN(G146:G149)</f>
        <v>177.52796903610385</v>
      </c>
      <c r="H151" s="263">
        <f t="shared" ref="H151:T151" si="334">MEDIAN(H146:H149)</f>
        <v>247.35774076266171</v>
      </c>
      <c r="I151" s="263">
        <f t="shared" si="334"/>
        <v>190.91908345311575</v>
      </c>
      <c r="J151" s="263">
        <f t="shared" si="334"/>
        <v>78.041768834023841</v>
      </c>
      <c r="K151" s="263">
        <f t="shared" si="334"/>
        <v>63.62560243510611</v>
      </c>
      <c r="L151" s="263">
        <f t="shared" si="334"/>
        <v>51.259540000000001</v>
      </c>
      <c r="M151" s="263">
        <f t="shared" si="334"/>
        <v>51.259540000000001</v>
      </c>
      <c r="N151" s="262">
        <f t="shared" si="334"/>
        <v>7.1228796323232624</v>
      </c>
      <c r="O151" s="263">
        <f t="shared" si="334"/>
        <v>9.9246300351554382</v>
      </c>
      <c r="P151" s="263">
        <f t="shared" si="334"/>
        <v>7.6601656535228102</v>
      </c>
      <c r="Q151" s="263">
        <f t="shared" si="334"/>
        <v>3.1312368902575525</v>
      </c>
      <c r="R151" s="263">
        <f t="shared" si="334"/>
        <v>2.5528231418405287</v>
      </c>
      <c r="S151" s="263">
        <f t="shared" si="334"/>
        <v>2.0566648478584586</v>
      </c>
      <c r="T151" s="263">
        <f t="shared" si="334"/>
        <v>2.0566648478584586</v>
      </c>
      <c r="U151" s="265"/>
      <c r="V151" s="261"/>
      <c r="W151" s="261"/>
      <c r="X151" s="261"/>
      <c r="Y151" s="263"/>
      <c r="Z151" s="261"/>
      <c r="AA151" s="263"/>
      <c r="AB151" s="265">
        <f t="shared" ref="AB151:AO151" si="335">MEDIAN(AB146:AB149)</f>
        <v>20</v>
      </c>
      <c r="AC151" s="261">
        <f t="shared" si="335"/>
        <v>20</v>
      </c>
      <c r="AD151" s="261">
        <f t="shared" si="335"/>
        <v>20</v>
      </c>
      <c r="AE151" s="261">
        <f t="shared" si="335"/>
        <v>20</v>
      </c>
      <c r="AF151" s="266">
        <f t="shared" si="335"/>
        <v>20</v>
      </c>
      <c r="AG151" s="266">
        <f t="shared" si="335"/>
        <v>20</v>
      </c>
      <c r="AH151" s="266">
        <f t="shared" si="335"/>
        <v>20</v>
      </c>
      <c r="AI151" s="265">
        <f t="shared" si="335"/>
        <v>90</v>
      </c>
      <c r="AJ151" s="261">
        <f t="shared" si="335"/>
        <v>91.25</v>
      </c>
      <c r="AK151" s="261">
        <f t="shared" si="335"/>
        <v>92.5</v>
      </c>
      <c r="AL151" s="261">
        <f t="shared" si="335"/>
        <v>95</v>
      </c>
      <c r="AM151" s="261">
        <f t="shared" si="335"/>
        <v>96.25</v>
      </c>
      <c r="AN151" s="261">
        <f t="shared" si="335"/>
        <v>97.5</v>
      </c>
      <c r="AO151" s="261">
        <f t="shared" si="335"/>
        <v>99</v>
      </c>
      <c r="AP151" s="265"/>
      <c r="AQ151" s="268"/>
      <c r="AR151" s="104"/>
    </row>
    <row r="152" spans="1:44" x14ac:dyDescent="0.3">
      <c r="A152" s="995"/>
      <c r="B152" s="715" t="s">
        <v>269</v>
      </c>
      <c r="C152" s="265"/>
      <c r="D152" s="261"/>
      <c r="E152" s="261"/>
      <c r="F152" s="268"/>
      <c r="G152" s="271">
        <f>MAX(G146:G149)</f>
        <v>607.76190073560474</v>
      </c>
      <c r="H152" s="271">
        <f t="shared" ref="H152:T152" si="336">MAX(H146:H149)</f>
        <v>494.84230996871554</v>
      </c>
      <c r="I152" s="271">
        <f t="shared" si="336"/>
        <v>381.92271920182628</v>
      </c>
      <c r="J152" s="271">
        <f t="shared" si="336"/>
        <v>156.08353766804768</v>
      </c>
      <c r="K152" s="271">
        <f t="shared" si="336"/>
        <v>127.25120487021222</v>
      </c>
      <c r="L152" s="271">
        <f t="shared" si="336"/>
        <v>98.418872072376757</v>
      </c>
      <c r="M152" s="271">
        <f t="shared" si="336"/>
        <v>98.42</v>
      </c>
      <c r="N152" s="270">
        <f t="shared" si="336"/>
        <v>32.513298327441369</v>
      </c>
      <c r="O152" s="271">
        <f t="shared" si="336"/>
        <v>26.472465005752728</v>
      </c>
      <c r="P152" s="271">
        <f t="shared" si="336"/>
        <v>20.431631684064087</v>
      </c>
      <c r="Q152" s="271">
        <f t="shared" si="336"/>
        <v>8.349965040686806</v>
      </c>
      <c r="R152" s="271">
        <f t="shared" si="336"/>
        <v>6.8075283782414102</v>
      </c>
      <c r="S152" s="271">
        <f t="shared" si="336"/>
        <v>5.2650917157960144</v>
      </c>
      <c r="T152" s="271">
        <f t="shared" si="336"/>
        <v>3.94</v>
      </c>
      <c r="U152" s="273"/>
      <c r="V152" s="274"/>
      <c r="W152" s="274"/>
      <c r="X152" s="274"/>
      <c r="Y152" s="271"/>
      <c r="Z152" s="274"/>
      <c r="AA152" s="271"/>
      <c r="AB152" s="273">
        <f t="shared" ref="AB152:AO152" si="337">MAX(AB146:AB149)</f>
        <v>20</v>
      </c>
      <c r="AC152" s="274">
        <f t="shared" si="337"/>
        <v>20</v>
      </c>
      <c r="AD152" s="274">
        <f t="shared" si="337"/>
        <v>20</v>
      </c>
      <c r="AE152" s="274">
        <f t="shared" si="337"/>
        <v>20</v>
      </c>
      <c r="AF152" s="275">
        <f t="shared" si="337"/>
        <v>20</v>
      </c>
      <c r="AG152" s="275">
        <f t="shared" si="337"/>
        <v>20</v>
      </c>
      <c r="AH152" s="275">
        <f t="shared" si="337"/>
        <v>20</v>
      </c>
      <c r="AI152" s="273">
        <f t="shared" si="337"/>
        <v>93</v>
      </c>
      <c r="AJ152" s="274">
        <f t="shared" si="337"/>
        <v>94</v>
      </c>
      <c r="AK152" s="274">
        <f t="shared" si="337"/>
        <v>95</v>
      </c>
      <c r="AL152" s="274">
        <f t="shared" si="337"/>
        <v>97</v>
      </c>
      <c r="AM152" s="274">
        <f t="shared" si="337"/>
        <v>98</v>
      </c>
      <c r="AN152" s="274">
        <f t="shared" si="337"/>
        <v>99</v>
      </c>
      <c r="AO152" s="274">
        <f t="shared" si="337"/>
        <v>99</v>
      </c>
      <c r="AP152" s="273"/>
      <c r="AQ152" s="277"/>
      <c r="AR152" s="104"/>
    </row>
    <row r="153" spans="1:44" ht="14.4" customHeight="1" x14ac:dyDescent="0.3">
      <c r="A153" s="995"/>
      <c r="B153" s="992" t="s">
        <v>397</v>
      </c>
      <c r="C153" s="240">
        <v>4</v>
      </c>
      <c r="D153" s="236" t="s">
        <v>31</v>
      </c>
      <c r="E153" s="236">
        <v>2022</v>
      </c>
      <c r="F153" s="709" t="s">
        <v>19</v>
      </c>
      <c r="G153" s="239">
        <v>50.728029999999997</v>
      </c>
      <c r="H153" s="239">
        <v>50.728029999999997</v>
      </c>
      <c r="I153" s="239">
        <v>50.728029999999997</v>
      </c>
      <c r="J153" s="239">
        <v>50.728029999999997</v>
      </c>
      <c r="K153" s="239">
        <v>50.728029999999997</v>
      </c>
      <c r="L153" s="239">
        <v>50.728029999999997</v>
      </c>
      <c r="M153" s="107">
        <f>K153+((L153-K153)/(2050-2045))*(2060-2045)</f>
        <v>50.728029999999997</v>
      </c>
      <c r="N153" s="238">
        <f t="shared" ref="N153:S153" si="338">G153*0.03*$BE$6</f>
        <v>2.0353392968822841</v>
      </c>
      <c r="O153" s="239">
        <f t="shared" si="338"/>
        <v>2.0353392968822841</v>
      </c>
      <c r="P153" s="239">
        <f t="shared" si="338"/>
        <v>2.0353392968822841</v>
      </c>
      <c r="Q153" s="239">
        <f t="shared" si="338"/>
        <v>2.0353392968822841</v>
      </c>
      <c r="R153" s="239">
        <f t="shared" si="338"/>
        <v>2.0353392968822841</v>
      </c>
      <c r="S153" s="239">
        <f t="shared" si="338"/>
        <v>2.0353392968822841</v>
      </c>
      <c r="T153" s="93">
        <f>R153+((S153-R153)/(2050-2045))*(2060-2045)</f>
        <v>2.0353392968822841</v>
      </c>
      <c r="U153" s="240"/>
      <c r="V153" s="236"/>
      <c r="W153" s="236"/>
      <c r="X153" s="236"/>
      <c r="Y153" s="239"/>
      <c r="Z153" s="236"/>
      <c r="AA153" s="239"/>
      <c r="AB153" s="240">
        <v>20</v>
      </c>
      <c r="AC153" s="236">
        <v>20</v>
      </c>
      <c r="AD153" s="236">
        <v>20</v>
      </c>
      <c r="AE153" s="236">
        <v>20</v>
      </c>
      <c r="AF153" s="242">
        <v>20</v>
      </c>
      <c r="AG153" s="242">
        <v>20</v>
      </c>
      <c r="AH153" s="101">
        <f>AF153+((AG153-AF153)/(2050-2045))*(2060-2045)</f>
        <v>20</v>
      </c>
      <c r="AI153" s="240"/>
      <c r="AJ153" s="236"/>
      <c r="AK153" s="236"/>
      <c r="AL153" s="236"/>
      <c r="AM153" s="239"/>
      <c r="AN153" s="236"/>
      <c r="AO153" s="239"/>
      <c r="AP153" s="240"/>
      <c r="AQ153" s="30"/>
      <c r="AR153" s="104"/>
    </row>
    <row r="154" spans="1:44" ht="15" customHeight="1" x14ac:dyDescent="0.3">
      <c r="A154" s="995"/>
      <c r="B154" s="993"/>
      <c r="C154" s="247">
        <v>11</v>
      </c>
      <c r="D154" s="243" t="s">
        <v>57</v>
      </c>
      <c r="E154" s="243">
        <v>2022</v>
      </c>
      <c r="F154" s="710" t="s">
        <v>19</v>
      </c>
      <c r="G154" s="107">
        <f t="shared" ref="G154:G155" si="339">H154+((I154-H154)/(2030-2025))*(2020-2025)</f>
        <v>553.64843155491667</v>
      </c>
      <c r="H154" s="107">
        <f t="shared" ref="H154:H155" si="340">I154+((J154-I154)/(2040-2030))*(2025-2030)</f>
        <v>452.86209520588477</v>
      </c>
      <c r="I154" s="245">
        <f>(416.4)/1.1827</f>
        <v>352.07575885685293</v>
      </c>
      <c r="J154" s="245">
        <f>(178)/1.1827</f>
        <v>150.50308615878919</v>
      </c>
      <c r="K154" s="107">
        <f t="shared" ref="K154:K155" si="341">J154+((L154-J154)/(2050-2040))*(2045-2040)</f>
        <v>116.25940644288491</v>
      </c>
      <c r="L154" s="245">
        <f>(97)/1.1827</f>
        <v>82.015726726980631</v>
      </c>
      <c r="M154" s="107">
        <v>82.02</v>
      </c>
      <c r="N154" s="106">
        <f t="shared" ref="N154:N155" si="342">O154+((P154-O154)/(2030-2025))*(2020-2025)</f>
        <v>22.213801904015661</v>
      </c>
      <c r="O154" s="107">
        <f t="shared" ref="O154:O155" si="343">P154+((Q154-P154)/(2040-2030))*(2025-2030)</f>
        <v>18.169994349100165</v>
      </c>
      <c r="P154" s="245">
        <f>I154*0.03*$BE$6</f>
        <v>14.126186794184667</v>
      </c>
      <c r="Q154" s="245">
        <f>J154*0.03*$BE$6</f>
        <v>6.0385716843536761</v>
      </c>
      <c r="R154" s="107">
        <f t="shared" ref="R154:R155" si="344">Q154+((S154-Q154)/(2050-2040))*(2045-2040)</f>
        <v>4.6646270033630923</v>
      </c>
      <c r="S154" s="245">
        <f>L154*0.03*$BE$6</f>
        <v>3.290682322372509</v>
      </c>
      <c r="T154" s="107">
        <v>2.46</v>
      </c>
      <c r="U154" s="247"/>
      <c r="V154" s="243"/>
      <c r="W154" s="243"/>
      <c r="X154" s="243"/>
      <c r="Y154" s="245"/>
      <c r="Z154" s="243"/>
      <c r="AA154" s="245"/>
      <c r="AB154" s="247"/>
      <c r="AC154" s="243"/>
      <c r="AD154" s="243"/>
      <c r="AE154" s="243"/>
      <c r="AF154" s="669"/>
      <c r="AG154" s="669"/>
      <c r="AH154" s="669"/>
      <c r="AI154" s="106">
        <f t="shared" ref="AI154:AI155" si="345">AJ154+((AK154-AJ154)/(2030-2025))*(2020-2025)</f>
        <v>98</v>
      </c>
      <c r="AJ154" s="297">
        <f t="shared" ref="AJ154:AJ155" si="346">AK154+((AL154-AK154)/(2040-2030))*(2025-2030)</f>
        <v>98</v>
      </c>
      <c r="AK154" s="243">
        <v>98</v>
      </c>
      <c r="AL154" s="243">
        <v>98</v>
      </c>
      <c r="AM154" s="378">
        <f t="shared" ref="AM154:AM155" si="347">AL154+((AN154-AL154)/(2050-2040))*(2045-2040)</f>
        <v>98</v>
      </c>
      <c r="AN154" s="243">
        <v>98</v>
      </c>
      <c r="AO154" s="378">
        <f t="shared" ref="AO154:AO155" si="348">AM154+((AN154-AM154)/(2050-2045))*(2060-2045)</f>
        <v>98</v>
      </c>
      <c r="AP154" s="247"/>
      <c r="AQ154" s="33"/>
      <c r="AR154" t="s">
        <v>395</v>
      </c>
    </row>
    <row r="155" spans="1:44" x14ac:dyDescent="0.3">
      <c r="A155" s="995"/>
      <c r="B155" s="994"/>
      <c r="C155" s="250">
        <v>11</v>
      </c>
      <c r="D155" s="248" t="s">
        <v>57</v>
      </c>
      <c r="E155" s="248">
        <v>2022</v>
      </c>
      <c r="F155" s="711" t="s">
        <v>19</v>
      </c>
      <c r="G155" s="122">
        <f t="shared" si="339"/>
        <v>1446.3515684450833</v>
      </c>
      <c r="H155" s="122">
        <f t="shared" si="340"/>
        <v>1183.055719962797</v>
      </c>
      <c r="I155" s="249">
        <f>(1087.8)/1.1827</f>
        <v>919.75987148051058</v>
      </c>
      <c r="J155" s="249">
        <f>(465)/1.1827</f>
        <v>393.16817451593806</v>
      </c>
      <c r="K155" s="122">
        <f t="shared" si="341"/>
        <v>299.10374566669481</v>
      </c>
      <c r="L155" s="249">
        <f>(242.5)/1.1827</f>
        <v>205.03931681745158</v>
      </c>
      <c r="M155" s="107">
        <v>205.04</v>
      </c>
      <c r="N155" s="607">
        <f t="shared" si="342"/>
        <v>116.06270475567864</v>
      </c>
      <c r="O155" s="122">
        <f t="shared" si="343"/>
        <v>94.934488772445661</v>
      </c>
      <c r="P155" s="249">
        <f>I155*0.06*$BE$6</f>
        <v>73.806272789212684</v>
      </c>
      <c r="Q155" s="249">
        <f>J155*0.06*$BE$6</f>
        <v>31.549840822746734</v>
      </c>
      <c r="R155" s="122">
        <f t="shared" si="344"/>
        <v>24.00162621730464</v>
      </c>
      <c r="S155" s="249">
        <f>L155*0.06*$BE$6</f>
        <v>16.453411611862546</v>
      </c>
      <c r="T155" s="122">
        <v>12.3</v>
      </c>
      <c r="U155" s="250"/>
      <c r="V155" s="248"/>
      <c r="W155" s="248"/>
      <c r="X155" s="248"/>
      <c r="Y155" s="249"/>
      <c r="Z155" s="248"/>
      <c r="AA155" s="249"/>
      <c r="AB155" s="250"/>
      <c r="AC155" s="248"/>
      <c r="AD155" s="248"/>
      <c r="AE155" s="248"/>
      <c r="AF155" s="673"/>
      <c r="AG155" s="673"/>
      <c r="AH155" s="673"/>
      <c r="AI155" s="607">
        <f t="shared" si="345"/>
        <v>98</v>
      </c>
      <c r="AJ155" s="306">
        <f t="shared" si="346"/>
        <v>98</v>
      </c>
      <c r="AK155" s="248">
        <v>98</v>
      </c>
      <c r="AL155" s="248">
        <v>98</v>
      </c>
      <c r="AM155" s="386">
        <f t="shared" si="347"/>
        <v>98</v>
      </c>
      <c r="AN155" s="248">
        <v>98</v>
      </c>
      <c r="AO155" s="386">
        <f t="shared" si="348"/>
        <v>98</v>
      </c>
      <c r="AP155" s="250"/>
      <c r="AQ155" s="36"/>
      <c r="AR155" t="s">
        <v>396</v>
      </c>
    </row>
    <row r="156" spans="1:44" x14ac:dyDescent="0.3">
      <c r="A156" s="995"/>
      <c r="B156" s="713" t="s">
        <v>267</v>
      </c>
      <c r="C156" s="256"/>
      <c r="D156" s="252"/>
      <c r="E156" s="252"/>
      <c r="F156" s="259"/>
      <c r="G156" s="254">
        <f>MIN(G153:G155)</f>
        <v>50.728029999999997</v>
      </c>
      <c r="H156" s="254">
        <f t="shared" ref="H156:T156" si="349">MIN(H153:H155)</f>
        <v>50.728029999999997</v>
      </c>
      <c r="I156" s="254">
        <f t="shared" si="349"/>
        <v>50.728029999999997</v>
      </c>
      <c r="J156" s="254">
        <f t="shared" si="349"/>
        <v>50.728029999999997</v>
      </c>
      <c r="K156" s="254">
        <f t="shared" si="349"/>
        <v>50.728029999999997</v>
      </c>
      <c r="L156" s="254">
        <f t="shared" si="349"/>
        <v>50.728029999999997</v>
      </c>
      <c r="M156" s="254">
        <f t="shared" si="349"/>
        <v>50.728029999999997</v>
      </c>
      <c r="N156" s="253">
        <f t="shared" si="349"/>
        <v>2.0353392968822841</v>
      </c>
      <c r="O156" s="254">
        <f t="shared" si="349"/>
        <v>2.0353392968822841</v>
      </c>
      <c r="P156" s="254">
        <f t="shared" si="349"/>
        <v>2.0353392968822841</v>
      </c>
      <c r="Q156" s="254">
        <f t="shared" si="349"/>
        <v>2.0353392968822841</v>
      </c>
      <c r="R156" s="254">
        <f t="shared" si="349"/>
        <v>2.0353392968822841</v>
      </c>
      <c r="S156" s="254">
        <f t="shared" si="349"/>
        <v>2.0353392968822841</v>
      </c>
      <c r="T156" s="254">
        <f t="shared" si="349"/>
        <v>2.0353392968822841</v>
      </c>
      <c r="U156" s="256"/>
      <c r="V156" s="252"/>
      <c r="W156" s="252"/>
      <c r="X156" s="252"/>
      <c r="Y156" s="254"/>
      <c r="Z156" s="252"/>
      <c r="AA156" s="254"/>
      <c r="AB156" s="256">
        <f t="shared" ref="AB156:AO156" si="350">MIN(AB153:AB155)</f>
        <v>20</v>
      </c>
      <c r="AC156" s="252">
        <f t="shared" si="350"/>
        <v>20</v>
      </c>
      <c r="AD156" s="252">
        <f t="shared" si="350"/>
        <v>20</v>
      </c>
      <c r="AE156" s="252">
        <f t="shared" si="350"/>
        <v>20</v>
      </c>
      <c r="AF156" s="257">
        <f t="shared" si="350"/>
        <v>20</v>
      </c>
      <c r="AG156" s="257">
        <f t="shared" si="350"/>
        <v>20</v>
      </c>
      <c r="AH156" s="257">
        <f t="shared" si="350"/>
        <v>20</v>
      </c>
      <c r="AI156" s="256">
        <f t="shared" si="350"/>
        <v>98</v>
      </c>
      <c r="AJ156" s="252">
        <f t="shared" si="350"/>
        <v>98</v>
      </c>
      <c r="AK156" s="252">
        <f t="shared" si="350"/>
        <v>98</v>
      </c>
      <c r="AL156" s="252">
        <f t="shared" si="350"/>
        <v>98</v>
      </c>
      <c r="AM156" s="252">
        <f t="shared" si="350"/>
        <v>98</v>
      </c>
      <c r="AN156" s="252">
        <f t="shared" si="350"/>
        <v>98</v>
      </c>
      <c r="AO156" s="252">
        <f t="shared" si="350"/>
        <v>98</v>
      </c>
      <c r="AP156" s="256"/>
      <c r="AQ156" s="259"/>
      <c r="AR156" s="104"/>
    </row>
    <row r="157" spans="1:44" x14ac:dyDescent="0.3">
      <c r="A157" s="995"/>
      <c r="B157" s="714" t="s">
        <v>268</v>
      </c>
      <c r="C157" s="265"/>
      <c r="D157" s="261"/>
      <c r="E157" s="261"/>
      <c r="F157" s="268"/>
      <c r="G157" s="263">
        <f>MEDIAN(G153:G155)</f>
        <v>553.64843155491667</v>
      </c>
      <c r="H157" s="263">
        <f t="shared" ref="H157:T157" si="351">MEDIAN(H153:H155)</f>
        <v>452.86209520588477</v>
      </c>
      <c r="I157" s="263">
        <f t="shared" si="351"/>
        <v>352.07575885685293</v>
      </c>
      <c r="J157" s="263">
        <f t="shared" si="351"/>
        <v>150.50308615878919</v>
      </c>
      <c r="K157" s="263">
        <f t="shared" si="351"/>
        <v>116.25940644288491</v>
      </c>
      <c r="L157" s="263">
        <f t="shared" si="351"/>
        <v>82.015726726980631</v>
      </c>
      <c r="M157" s="263">
        <f t="shared" si="351"/>
        <v>82.02</v>
      </c>
      <c r="N157" s="262">
        <f t="shared" si="351"/>
        <v>22.213801904015661</v>
      </c>
      <c r="O157" s="263">
        <f t="shared" si="351"/>
        <v>18.169994349100165</v>
      </c>
      <c r="P157" s="263">
        <f t="shared" si="351"/>
        <v>14.126186794184667</v>
      </c>
      <c r="Q157" s="263">
        <f t="shared" si="351"/>
        <v>6.0385716843536761</v>
      </c>
      <c r="R157" s="263">
        <f t="shared" si="351"/>
        <v>4.6646270033630923</v>
      </c>
      <c r="S157" s="263">
        <f t="shared" si="351"/>
        <v>3.290682322372509</v>
      </c>
      <c r="T157" s="263">
        <f t="shared" si="351"/>
        <v>2.46</v>
      </c>
      <c r="U157" s="265"/>
      <c r="V157" s="261"/>
      <c r="W157" s="261"/>
      <c r="X157" s="261"/>
      <c r="Y157" s="263"/>
      <c r="Z157" s="261"/>
      <c r="AA157" s="263"/>
      <c r="AB157" s="265">
        <f t="shared" ref="AB157:AO157" si="352">MEDIAN(AB153:AB155)</f>
        <v>20</v>
      </c>
      <c r="AC157" s="261">
        <f t="shared" si="352"/>
        <v>20</v>
      </c>
      <c r="AD157" s="261">
        <f t="shared" si="352"/>
        <v>20</v>
      </c>
      <c r="AE157" s="261">
        <f t="shared" si="352"/>
        <v>20</v>
      </c>
      <c r="AF157" s="266">
        <f t="shared" si="352"/>
        <v>20</v>
      </c>
      <c r="AG157" s="266">
        <f t="shared" si="352"/>
        <v>20</v>
      </c>
      <c r="AH157" s="266">
        <f t="shared" si="352"/>
        <v>20</v>
      </c>
      <c r="AI157" s="265">
        <f t="shared" si="352"/>
        <v>98</v>
      </c>
      <c r="AJ157" s="261">
        <f t="shared" si="352"/>
        <v>98</v>
      </c>
      <c r="AK157" s="261">
        <f t="shared" si="352"/>
        <v>98</v>
      </c>
      <c r="AL157" s="261">
        <f t="shared" si="352"/>
        <v>98</v>
      </c>
      <c r="AM157" s="261">
        <f t="shared" si="352"/>
        <v>98</v>
      </c>
      <c r="AN157" s="261">
        <f t="shared" si="352"/>
        <v>98</v>
      </c>
      <c r="AO157" s="261">
        <f t="shared" si="352"/>
        <v>98</v>
      </c>
      <c r="AP157" s="265"/>
      <c r="AQ157" s="268"/>
      <c r="AR157" s="104"/>
    </row>
    <row r="158" spans="1:44" x14ac:dyDescent="0.3">
      <c r="A158" s="995"/>
      <c r="B158" s="715" t="s">
        <v>269</v>
      </c>
      <c r="C158" s="273"/>
      <c r="D158" s="274"/>
      <c r="E158" s="274"/>
      <c r="F158" s="277"/>
      <c r="G158" s="271">
        <f>MAX(G153:G155)</f>
        <v>1446.3515684450833</v>
      </c>
      <c r="H158" s="271">
        <f t="shared" ref="H158:T158" si="353">MAX(H153:H155)</f>
        <v>1183.055719962797</v>
      </c>
      <c r="I158" s="271">
        <f t="shared" si="353"/>
        <v>919.75987148051058</v>
      </c>
      <c r="J158" s="271">
        <f t="shared" si="353"/>
        <v>393.16817451593806</v>
      </c>
      <c r="K158" s="271">
        <f t="shared" si="353"/>
        <v>299.10374566669481</v>
      </c>
      <c r="L158" s="271">
        <f t="shared" si="353"/>
        <v>205.03931681745158</v>
      </c>
      <c r="M158" s="271">
        <f t="shared" si="353"/>
        <v>205.04</v>
      </c>
      <c r="N158" s="270">
        <f t="shared" si="353"/>
        <v>116.06270475567864</v>
      </c>
      <c r="O158" s="271">
        <f t="shared" si="353"/>
        <v>94.934488772445661</v>
      </c>
      <c r="P158" s="271">
        <f t="shared" si="353"/>
        <v>73.806272789212684</v>
      </c>
      <c r="Q158" s="271">
        <f t="shared" si="353"/>
        <v>31.549840822746734</v>
      </c>
      <c r="R158" s="271">
        <f t="shared" si="353"/>
        <v>24.00162621730464</v>
      </c>
      <c r="S158" s="271">
        <f t="shared" si="353"/>
        <v>16.453411611862546</v>
      </c>
      <c r="T158" s="271">
        <f t="shared" si="353"/>
        <v>12.3</v>
      </c>
      <c r="U158" s="273"/>
      <c r="V158" s="274"/>
      <c r="W158" s="274"/>
      <c r="X158" s="274"/>
      <c r="Y158" s="271"/>
      <c r="Z158" s="274"/>
      <c r="AA158" s="271"/>
      <c r="AB158" s="273">
        <f t="shared" ref="AB158:AO158" si="354">MAX(AB153:AB155)</f>
        <v>20</v>
      </c>
      <c r="AC158" s="274">
        <f t="shared" si="354"/>
        <v>20</v>
      </c>
      <c r="AD158" s="274">
        <f t="shared" si="354"/>
        <v>20</v>
      </c>
      <c r="AE158" s="274">
        <f t="shared" si="354"/>
        <v>20</v>
      </c>
      <c r="AF158" s="275">
        <f t="shared" si="354"/>
        <v>20</v>
      </c>
      <c r="AG158" s="275">
        <f t="shared" si="354"/>
        <v>20</v>
      </c>
      <c r="AH158" s="275">
        <f t="shared" si="354"/>
        <v>20</v>
      </c>
      <c r="AI158" s="273">
        <f t="shared" si="354"/>
        <v>98</v>
      </c>
      <c r="AJ158" s="274">
        <f t="shared" si="354"/>
        <v>98</v>
      </c>
      <c r="AK158" s="274">
        <f t="shared" si="354"/>
        <v>98</v>
      </c>
      <c r="AL158" s="274">
        <f t="shared" si="354"/>
        <v>98</v>
      </c>
      <c r="AM158" s="274">
        <f t="shared" si="354"/>
        <v>98</v>
      </c>
      <c r="AN158" s="274">
        <f t="shared" si="354"/>
        <v>98</v>
      </c>
      <c r="AO158" s="274">
        <f t="shared" si="354"/>
        <v>98</v>
      </c>
      <c r="AP158" s="273"/>
      <c r="AQ158" s="277"/>
      <c r="AR158" s="104"/>
    </row>
    <row r="159" spans="1:44" ht="15" customHeight="1" x14ac:dyDescent="0.3">
      <c r="A159" s="995"/>
      <c r="B159" s="943" t="s">
        <v>398</v>
      </c>
      <c r="C159" s="278">
        <v>12</v>
      </c>
      <c r="D159" s="279" t="s">
        <v>60</v>
      </c>
      <c r="E159" s="279">
        <v>2022</v>
      </c>
      <c r="F159" s="280" t="s">
        <v>19</v>
      </c>
      <c r="G159" s="279">
        <f>2.2*10^6/10^3</f>
        <v>2200</v>
      </c>
      <c r="H159" s="279"/>
      <c r="I159" s="281"/>
      <c r="J159" s="281"/>
      <c r="K159" s="281"/>
      <c r="L159" s="281"/>
      <c r="M159" s="281"/>
      <c r="N159" s="508">
        <f t="shared" ref="N159:N161" si="355">G159*0.017*$BE$6</f>
        <v>50.019479502356283</v>
      </c>
      <c r="O159" s="281"/>
      <c r="P159" s="281"/>
      <c r="Q159" s="281"/>
      <c r="R159" s="281"/>
      <c r="S159" s="281"/>
      <c r="T159" s="281"/>
      <c r="U159" s="278"/>
      <c r="V159" s="279"/>
      <c r="W159" s="279"/>
      <c r="X159" s="279"/>
      <c r="Y159" s="281"/>
      <c r="Z159" s="279"/>
      <c r="AA159" s="281"/>
      <c r="AB159" s="278"/>
      <c r="AC159" s="279"/>
      <c r="AD159" s="279"/>
      <c r="AE159" s="279"/>
      <c r="AF159" s="281"/>
      <c r="AG159" s="279"/>
      <c r="AH159" s="281"/>
      <c r="AI159" s="278"/>
      <c r="AJ159" s="279"/>
      <c r="AK159" s="279"/>
      <c r="AL159" s="279"/>
      <c r="AM159" s="281"/>
      <c r="AN159" s="279"/>
      <c r="AO159" s="281"/>
      <c r="AP159" s="278"/>
      <c r="AQ159" s="7"/>
      <c r="AR159" s="104" t="s">
        <v>399</v>
      </c>
    </row>
    <row r="160" spans="1:44" x14ac:dyDescent="0.3">
      <c r="A160" s="995"/>
      <c r="B160" s="944"/>
      <c r="C160" s="289">
        <v>12</v>
      </c>
      <c r="D160" s="290" t="s">
        <v>60</v>
      </c>
      <c r="E160" s="290">
        <v>2022</v>
      </c>
      <c r="F160" s="291" t="s">
        <v>19</v>
      </c>
      <c r="G160" s="290">
        <f>3.4*10^6/10^3</f>
        <v>3400</v>
      </c>
      <c r="H160" s="290"/>
      <c r="I160" s="282"/>
      <c r="J160" s="282"/>
      <c r="K160" s="282"/>
      <c r="L160" s="282"/>
      <c r="M160" s="282"/>
      <c r="N160" s="510">
        <f t="shared" si="355"/>
        <v>77.302831958186971</v>
      </c>
      <c r="O160" s="282"/>
      <c r="P160" s="282"/>
      <c r="Q160" s="282"/>
      <c r="R160" s="282"/>
      <c r="S160" s="282"/>
      <c r="T160" s="282"/>
      <c r="U160" s="289"/>
      <c r="V160" s="290"/>
      <c r="W160" s="290"/>
      <c r="X160" s="290"/>
      <c r="Y160" s="282"/>
      <c r="Z160" s="290"/>
      <c r="AA160" s="282"/>
      <c r="AB160" s="289"/>
      <c r="AC160" s="290"/>
      <c r="AD160" s="290"/>
      <c r="AE160" s="290"/>
      <c r="AF160" s="282"/>
      <c r="AG160" s="290"/>
      <c r="AH160" s="282"/>
      <c r="AI160" s="289"/>
      <c r="AJ160" s="290"/>
      <c r="AK160" s="290"/>
      <c r="AL160" s="290"/>
      <c r="AM160" s="282"/>
      <c r="AN160" s="290"/>
      <c r="AO160" s="282"/>
      <c r="AP160" s="289"/>
      <c r="AQ160" s="11"/>
      <c r="AR160" s="104" t="s">
        <v>400</v>
      </c>
    </row>
    <row r="161" spans="1:57" x14ac:dyDescent="0.3">
      <c r="A161" s="995"/>
      <c r="B161" s="944"/>
      <c r="C161" s="289">
        <v>12</v>
      </c>
      <c r="D161" s="290" t="s">
        <v>60</v>
      </c>
      <c r="E161" s="290">
        <v>2022</v>
      </c>
      <c r="F161" s="291" t="s">
        <v>19</v>
      </c>
      <c r="G161" s="290">
        <f>6.7*10^6/10^3</f>
        <v>6700</v>
      </c>
      <c r="H161" s="290"/>
      <c r="I161" s="282"/>
      <c r="J161" s="282"/>
      <c r="K161" s="282"/>
      <c r="L161" s="282"/>
      <c r="M161" s="282"/>
      <c r="N161" s="510">
        <f t="shared" si="355"/>
        <v>152.33205121172139</v>
      </c>
      <c r="O161" s="282"/>
      <c r="P161" s="282"/>
      <c r="Q161" s="282"/>
      <c r="R161" s="282"/>
      <c r="S161" s="282"/>
      <c r="T161" s="282"/>
      <c r="U161" s="289"/>
      <c r="V161" s="290"/>
      <c r="W161" s="290"/>
      <c r="X161" s="290"/>
      <c r="Y161" s="282"/>
      <c r="Z161" s="290"/>
      <c r="AA161" s="282"/>
      <c r="AB161" s="289"/>
      <c r="AC161" s="290"/>
      <c r="AD161" s="290"/>
      <c r="AE161" s="290"/>
      <c r="AF161" s="282"/>
      <c r="AG161" s="290"/>
      <c r="AH161" s="282"/>
      <c r="AI161" s="289"/>
      <c r="AJ161" s="290"/>
      <c r="AK161" s="290"/>
      <c r="AL161" s="290"/>
      <c r="AM161" s="282"/>
      <c r="AN161" s="290"/>
      <c r="AO161" s="282"/>
      <c r="AP161" s="289"/>
      <c r="AQ161" s="11"/>
      <c r="AR161" s="104" t="s">
        <v>401</v>
      </c>
    </row>
    <row r="162" spans="1:57" x14ac:dyDescent="0.3">
      <c r="A162" s="995"/>
      <c r="B162" s="944"/>
      <c r="C162" s="289">
        <v>17</v>
      </c>
      <c r="D162" s="716" t="s">
        <v>72</v>
      </c>
      <c r="E162" s="290">
        <v>2021</v>
      </c>
      <c r="F162" s="291" t="s">
        <v>19</v>
      </c>
      <c r="G162" s="290">
        <v>2083</v>
      </c>
      <c r="H162" s="290"/>
      <c r="I162" s="282"/>
      <c r="J162" s="282"/>
      <c r="K162" s="282"/>
      <c r="L162" s="282"/>
      <c r="M162" s="282"/>
      <c r="N162" s="106">
        <f t="shared" ref="N162:N163" si="356">G162*0.02*$BE$6</f>
        <v>55.716885456367983</v>
      </c>
      <c r="O162" s="282"/>
      <c r="P162" s="282"/>
      <c r="Q162" s="282"/>
      <c r="R162" s="282"/>
      <c r="S162" s="282"/>
      <c r="T162" s="282"/>
      <c r="U162" s="289"/>
      <c r="V162" s="290"/>
      <c r="W162" s="290"/>
      <c r="X162" s="290"/>
      <c r="Y162" s="282"/>
      <c r="Z162" s="290"/>
      <c r="AA162" s="282"/>
      <c r="AB162" s="289"/>
      <c r="AC162" s="290"/>
      <c r="AD162" s="290"/>
      <c r="AE162" s="290"/>
      <c r="AF162" s="282"/>
      <c r="AG162" s="290"/>
      <c r="AH162" s="282"/>
      <c r="AI162" s="289"/>
      <c r="AJ162" s="290"/>
      <c r="AK162" s="290"/>
      <c r="AL162" s="290"/>
      <c r="AM162" s="282"/>
      <c r="AN162" s="290"/>
      <c r="AO162" s="282"/>
      <c r="AP162" s="289"/>
      <c r="AQ162" s="11"/>
      <c r="AR162" s="104"/>
    </row>
    <row r="163" spans="1:57" x14ac:dyDescent="0.3">
      <c r="A163" s="995"/>
      <c r="B163" s="945"/>
      <c r="C163" s="299">
        <v>17</v>
      </c>
      <c r="D163" s="717" t="s">
        <v>72</v>
      </c>
      <c r="E163" s="300">
        <v>2021</v>
      </c>
      <c r="F163" s="301" t="s">
        <v>19</v>
      </c>
      <c r="G163" s="717"/>
      <c r="H163" s="300"/>
      <c r="I163" s="302"/>
      <c r="J163" s="302"/>
      <c r="K163" s="302"/>
      <c r="L163" s="302"/>
      <c r="M163" s="302"/>
      <c r="N163" s="607">
        <f t="shared" si="356"/>
        <v>0</v>
      </c>
      <c r="O163" s="302"/>
      <c r="P163" s="302"/>
      <c r="Q163" s="302"/>
      <c r="R163" s="302"/>
      <c r="S163" s="302"/>
      <c r="T163" s="302"/>
      <c r="U163" s="299"/>
      <c r="V163" s="300"/>
      <c r="W163" s="300"/>
      <c r="X163" s="300"/>
      <c r="Y163" s="302"/>
      <c r="Z163" s="300"/>
      <c r="AA163" s="302"/>
      <c r="AB163" s="299"/>
      <c r="AC163" s="300"/>
      <c r="AD163" s="300"/>
      <c r="AE163" s="300"/>
      <c r="AF163" s="302"/>
      <c r="AG163" s="300"/>
      <c r="AH163" s="302"/>
      <c r="AI163" s="299"/>
      <c r="AJ163" s="300"/>
      <c r="AK163" s="300"/>
      <c r="AL163" s="300"/>
      <c r="AM163" s="302"/>
      <c r="AN163" s="300"/>
      <c r="AO163" s="302"/>
      <c r="AP163" s="299"/>
      <c r="AQ163" s="18"/>
      <c r="AR163" s="104"/>
    </row>
    <row r="164" spans="1:57" x14ac:dyDescent="0.3">
      <c r="A164" s="995"/>
      <c r="B164" s="718" t="s">
        <v>267</v>
      </c>
      <c r="C164" s="317"/>
      <c r="D164" s="318"/>
      <c r="E164" s="318"/>
      <c r="F164" s="321"/>
      <c r="G164" s="311">
        <f>MIN(G159:G163)</f>
        <v>2083</v>
      </c>
      <c r="H164" s="311"/>
      <c r="I164" s="311"/>
      <c r="J164" s="311"/>
      <c r="K164" s="311"/>
      <c r="L164" s="311"/>
      <c r="M164" s="311"/>
      <c r="N164" s="312">
        <f>MIN(N159:N163)</f>
        <v>0</v>
      </c>
      <c r="O164" s="318"/>
      <c r="P164" s="318"/>
      <c r="Q164" s="318"/>
      <c r="R164" s="318"/>
      <c r="S164" s="318"/>
      <c r="T164" s="321"/>
      <c r="U164" s="328"/>
      <c r="V164" s="311"/>
      <c r="W164" s="311"/>
      <c r="X164" s="311"/>
      <c r="Y164" s="311"/>
      <c r="Z164" s="311"/>
      <c r="AA164" s="311"/>
      <c r="AB164" s="328"/>
      <c r="AC164" s="311"/>
      <c r="AD164" s="311"/>
      <c r="AE164" s="311"/>
      <c r="AF164" s="311"/>
      <c r="AG164" s="311"/>
      <c r="AH164" s="311"/>
      <c r="AI164" s="328"/>
      <c r="AJ164" s="311"/>
      <c r="AK164" s="311"/>
      <c r="AL164" s="311"/>
      <c r="AM164" s="311"/>
      <c r="AN164" s="311"/>
      <c r="AO164" s="311"/>
      <c r="AP164" s="328"/>
      <c r="AQ164" s="331"/>
      <c r="AR164" s="104"/>
    </row>
    <row r="165" spans="1:57" x14ac:dyDescent="0.3">
      <c r="A165" s="995"/>
      <c r="B165" s="718" t="s">
        <v>268</v>
      </c>
      <c r="C165" s="328"/>
      <c r="D165" s="311"/>
      <c r="E165" s="311"/>
      <c r="F165" s="331"/>
      <c r="G165" s="311">
        <f>MEDIAN(G159:G163)</f>
        <v>2800</v>
      </c>
      <c r="H165" s="311"/>
      <c r="I165" s="311"/>
      <c r="J165" s="311"/>
      <c r="K165" s="311"/>
      <c r="L165" s="311"/>
      <c r="M165" s="311"/>
      <c r="N165" s="323">
        <f>MEDIAN(N159:N163)</f>
        <v>55.716885456367983</v>
      </c>
      <c r="O165" s="311"/>
      <c r="P165" s="311"/>
      <c r="Q165" s="311"/>
      <c r="R165" s="311"/>
      <c r="S165" s="311"/>
      <c r="T165" s="331"/>
      <c r="U165" s="328"/>
      <c r="V165" s="311"/>
      <c r="W165" s="311"/>
      <c r="X165" s="311"/>
      <c r="Y165" s="311"/>
      <c r="Z165" s="311"/>
      <c r="AA165" s="311"/>
      <c r="AB165" s="328"/>
      <c r="AC165" s="311"/>
      <c r="AD165" s="311"/>
      <c r="AE165" s="311"/>
      <c r="AF165" s="311"/>
      <c r="AG165" s="311"/>
      <c r="AH165" s="311"/>
      <c r="AI165" s="328"/>
      <c r="AJ165" s="311"/>
      <c r="AK165" s="311"/>
      <c r="AL165" s="311"/>
      <c r="AM165" s="311"/>
      <c r="AN165" s="311"/>
      <c r="AO165" s="311"/>
      <c r="AP165" s="328"/>
      <c r="AQ165" s="331"/>
      <c r="AR165" s="104"/>
    </row>
    <row r="166" spans="1:57" x14ac:dyDescent="0.3">
      <c r="A166" s="996"/>
      <c r="B166" s="719" t="s">
        <v>269</v>
      </c>
      <c r="C166" s="339"/>
      <c r="D166" s="333"/>
      <c r="E166" s="333"/>
      <c r="F166" s="342"/>
      <c r="G166" s="333">
        <f>MAX(G159:G163)</f>
        <v>6700</v>
      </c>
      <c r="H166" s="333"/>
      <c r="I166" s="333"/>
      <c r="J166" s="333"/>
      <c r="K166" s="333"/>
      <c r="L166" s="333"/>
      <c r="M166" s="333"/>
      <c r="N166" s="334">
        <f>MAX(N159:N163)</f>
        <v>152.33205121172139</v>
      </c>
      <c r="O166" s="333"/>
      <c r="P166" s="333"/>
      <c r="Q166" s="333"/>
      <c r="R166" s="333"/>
      <c r="S166" s="333"/>
      <c r="T166" s="342"/>
      <c r="U166" s="339"/>
      <c r="V166" s="333"/>
      <c r="W166" s="333"/>
      <c r="X166" s="333"/>
      <c r="Y166" s="333"/>
      <c r="Z166" s="333"/>
      <c r="AA166" s="333"/>
      <c r="AB166" s="339"/>
      <c r="AC166" s="333"/>
      <c r="AD166" s="333"/>
      <c r="AE166" s="333"/>
      <c r="AF166" s="333"/>
      <c r="AG166" s="333"/>
      <c r="AH166" s="333"/>
      <c r="AI166" s="339"/>
      <c r="AJ166" s="333"/>
      <c r="AK166" s="333"/>
      <c r="AL166" s="333"/>
      <c r="AM166" s="333"/>
      <c r="AN166" s="333"/>
      <c r="AO166" s="333"/>
      <c r="AP166" s="339"/>
      <c r="AQ166" s="342"/>
      <c r="AR166" s="104"/>
    </row>
    <row r="167" spans="1:57" x14ac:dyDescent="0.3">
      <c r="A167" s="678"/>
      <c r="B167" s="678"/>
      <c r="C167" s="445"/>
      <c r="D167" s="439"/>
      <c r="E167" s="439"/>
      <c r="F167" s="446"/>
      <c r="G167" s="439"/>
      <c r="H167" s="439"/>
      <c r="I167" s="439"/>
      <c r="J167" s="439"/>
      <c r="K167" s="439"/>
      <c r="L167" s="439"/>
      <c r="M167" s="439"/>
      <c r="N167" s="440"/>
      <c r="O167" s="439"/>
      <c r="P167" s="439"/>
      <c r="Q167" s="439"/>
      <c r="R167" s="439"/>
      <c r="S167" s="439"/>
      <c r="T167" s="439"/>
      <c r="U167" s="445"/>
      <c r="V167" s="439"/>
      <c r="W167" s="439"/>
      <c r="X167" s="439"/>
      <c r="Y167" s="439"/>
      <c r="Z167" s="439"/>
      <c r="AA167" s="439"/>
      <c r="AB167" s="445"/>
      <c r="AC167" s="439"/>
      <c r="AD167" s="439"/>
      <c r="AE167" s="439"/>
      <c r="AF167" s="439"/>
      <c r="AG167" s="439"/>
      <c r="AH167" s="439"/>
      <c r="AI167" s="445"/>
      <c r="AJ167" s="439"/>
      <c r="AK167" s="439"/>
      <c r="AL167" s="439"/>
      <c r="AM167" s="439"/>
      <c r="AN167" s="439"/>
      <c r="AO167" s="439"/>
      <c r="AP167" s="445"/>
      <c r="AQ167" s="446"/>
      <c r="AR167" s="635"/>
      <c r="AS167" s="635"/>
      <c r="AT167" s="635"/>
    </row>
    <row r="168" spans="1:57" x14ac:dyDescent="0.3">
      <c r="A168" s="965" t="s">
        <v>130</v>
      </c>
      <c r="B168" s="983" t="s">
        <v>52</v>
      </c>
      <c r="C168" s="687">
        <v>1</v>
      </c>
      <c r="D168" s="90" t="s">
        <v>18</v>
      </c>
      <c r="E168" s="90">
        <v>2020</v>
      </c>
      <c r="F168" s="688" t="s">
        <v>19</v>
      </c>
      <c r="G168" s="94">
        <f>(5385)/1.1422/3.805</f>
        <v>1239.0501673810666</v>
      </c>
      <c r="H168" s="93">
        <f>G168+((I168-G168)/(2030-2020))*(2025-2020)</f>
        <v>1177.0401357916148</v>
      </c>
      <c r="I168" s="94">
        <f>(4846)/1.1422/3.805</f>
        <v>1115.0301042021633</v>
      </c>
      <c r="J168" s="94">
        <f>(4362)/1.1422/3.805</f>
        <v>1003.6651495109029</v>
      </c>
      <c r="K168" s="93">
        <f>J168+((L168-J168)/(2050-2040))*(2045-2040)</f>
        <v>947.86762572447606</v>
      </c>
      <c r="L168" s="94">
        <f>(3877)/1.1422/3.805</f>
        <v>892.07010193804922</v>
      </c>
      <c r="M168" s="95">
        <f>K168+((L168-K168)/(2050-2045))*(2060-2045)</f>
        <v>780.47505436519555</v>
      </c>
      <c r="N168" s="447">
        <f t="shared" ref="N168:N169" si="357">G168*0.04*$BE$7</f>
        <v>28.892947621493153</v>
      </c>
      <c r="O168" s="93">
        <f>N168+((P168-N168)/(2030-2020))*(2025-2020)</f>
        <v>27.446958877947672</v>
      </c>
      <c r="P168" s="94">
        <f>I168*0.04*$BE$7</f>
        <v>26.000970134402195</v>
      </c>
      <c r="Q168" s="94">
        <f>J168*0.04*$BE$7</f>
        <v>23.404092390891943</v>
      </c>
      <c r="R168" s="93">
        <f>Q168+((S168-Q168)/(2050-2040))*(2045-2040)</f>
        <v>22.10297079419518</v>
      </c>
      <c r="S168" s="94">
        <f>L168*0.04*$BE$7</f>
        <v>20.801849197498413</v>
      </c>
      <c r="T168" s="93">
        <f>R168+((S168-R168)/(2050-2045))*(2060-2045)</f>
        <v>18.199606004104879</v>
      </c>
      <c r="U168" s="96"/>
      <c r="V168" s="97"/>
      <c r="W168" s="97"/>
      <c r="X168" s="97"/>
      <c r="Y168" s="94"/>
      <c r="Z168" s="97"/>
      <c r="AA168" s="94"/>
      <c r="AB168" s="96">
        <v>30</v>
      </c>
      <c r="AC168" s="100">
        <v>30</v>
      </c>
      <c r="AD168" s="97">
        <v>30</v>
      </c>
      <c r="AE168" s="97">
        <v>30</v>
      </c>
      <c r="AF168" s="101">
        <f>AE168+((AG168-AE168)/(2050-2040))*(2045-2040)</f>
        <v>30</v>
      </c>
      <c r="AG168" s="102">
        <v>30</v>
      </c>
      <c r="AH168" s="101">
        <f>AF168+((AG168-AF168)/(2050-2045))*(2060-2045)</f>
        <v>30</v>
      </c>
      <c r="AI168" s="96"/>
      <c r="AJ168" s="97"/>
      <c r="AK168" s="97"/>
      <c r="AL168" s="97"/>
      <c r="AM168" s="94"/>
      <c r="AN168" s="97"/>
      <c r="AO168" s="94"/>
      <c r="AP168" s="96"/>
      <c r="AQ168" s="43"/>
      <c r="AR168" s="104"/>
    </row>
    <row r="169" spans="1:57" x14ac:dyDescent="0.3">
      <c r="A169" s="965"/>
      <c r="B169" s="984"/>
      <c r="C169" s="689">
        <v>2</v>
      </c>
      <c r="D169" s="105" t="s">
        <v>23</v>
      </c>
      <c r="E169" s="105">
        <v>2019</v>
      </c>
      <c r="F169" s="690" t="s">
        <v>19</v>
      </c>
      <c r="G169" s="108">
        <f>((1400*10^6)/1.1297)/(260*10^3)/3.805</f>
        <v>1252.6706378771578</v>
      </c>
      <c r="H169" s="108"/>
      <c r="I169" s="108"/>
      <c r="J169" s="108"/>
      <c r="K169" s="108"/>
      <c r="L169" s="108"/>
      <c r="M169" s="108"/>
      <c r="N169" s="113">
        <f t="shared" si="357"/>
        <v>29.210558280838331</v>
      </c>
      <c r="O169" s="108"/>
      <c r="P169" s="108"/>
      <c r="Q169" s="108"/>
      <c r="R169" s="108"/>
      <c r="S169" s="108"/>
      <c r="T169" s="108"/>
      <c r="U169" s="110"/>
      <c r="V169" s="111"/>
      <c r="W169" s="111"/>
      <c r="X169" s="111"/>
      <c r="Y169" s="108"/>
      <c r="Z169" s="111"/>
      <c r="AA169" s="108"/>
      <c r="AB169" s="110"/>
      <c r="AC169" s="111"/>
      <c r="AD169" s="111"/>
      <c r="AE169" s="111"/>
      <c r="AF169" s="117"/>
      <c r="AG169" s="117"/>
      <c r="AH169" s="117"/>
      <c r="AI169" s="110"/>
      <c r="AJ169" s="111"/>
      <c r="AK169" s="111"/>
      <c r="AL169" s="111"/>
      <c r="AM169" s="108"/>
      <c r="AN169" s="111"/>
      <c r="AO169" s="108"/>
      <c r="AP169" s="110"/>
      <c r="AQ169" s="46"/>
      <c r="AR169" s="104"/>
    </row>
    <row r="170" spans="1:57" x14ac:dyDescent="0.3">
      <c r="A170" s="965"/>
      <c r="B170" s="984"/>
      <c r="C170" s="689">
        <v>9</v>
      </c>
      <c r="D170" s="105" t="s">
        <v>50</v>
      </c>
      <c r="E170" s="105">
        <v>2021</v>
      </c>
      <c r="F170" s="690" t="s">
        <v>19</v>
      </c>
      <c r="G170" s="108"/>
      <c r="H170" s="108"/>
      <c r="I170" s="108"/>
      <c r="J170" s="108"/>
      <c r="K170" s="108"/>
      <c r="L170" s="108"/>
      <c r="M170" s="108"/>
      <c r="N170" s="113"/>
      <c r="O170" s="108"/>
      <c r="P170" s="108"/>
      <c r="Q170" s="108"/>
      <c r="R170" s="108"/>
      <c r="S170" s="108"/>
      <c r="T170" s="108"/>
      <c r="U170" s="110"/>
      <c r="V170" s="111"/>
      <c r="W170" s="111"/>
      <c r="X170" s="111"/>
      <c r="Y170" s="108"/>
      <c r="Z170" s="111"/>
      <c r="AA170" s="108"/>
      <c r="AB170" s="110"/>
      <c r="AC170" s="111"/>
      <c r="AD170" s="111"/>
      <c r="AE170" s="111"/>
      <c r="AF170" s="117"/>
      <c r="AG170" s="117"/>
      <c r="AH170" s="117"/>
      <c r="AI170" s="110"/>
      <c r="AJ170" s="111"/>
      <c r="AK170" s="111"/>
      <c r="AL170" s="111"/>
      <c r="AM170" s="108"/>
      <c r="AN170" s="111"/>
      <c r="AO170" s="108"/>
      <c r="AP170" s="110"/>
      <c r="AQ170" s="46"/>
      <c r="AR170" s="104" t="s">
        <v>385</v>
      </c>
      <c r="BE170" s="76"/>
    </row>
    <row r="171" spans="1:57" x14ac:dyDescent="0.3">
      <c r="A171" s="965"/>
      <c r="B171" s="984"/>
      <c r="C171" s="689">
        <v>11</v>
      </c>
      <c r="D171" s="105" t="s">
        <v>57</v>
      </c>
      <c r="E171" s="105">
        <v>2022</v>
      </c>
      <c r="F171" s="690" t="s">
        <v>19</v>
      </c>
      <c r="G171" s="107">
        <f t="shared" ref="G171:G172" si="358">H171+((I171-H171)/(2030-2025))*(2020-2025)</f>
        <v>2272.7657055889067</v>
      </c>
      <c r="H171" s="107">
        <f t="shared" ref="H171:H172" si="359">I171+((J171-I171)/(2040-2030))*(2025-2030)</f>
        <v>1922.9305825653166</v>
      </c>
      <c r="I171" s="108">
        <f>1860.5/1.1827</f>
        <v>1573.0954595417265</v>
      </c>
      <c r="J171" s="108">
        <f>1033/1.1827</f>
        <v>873.42521349454637</v>
      </c>
      <c r="K171" s="107">
        <f t="shared" ref="K171:K172" si="360">J171+((L171-J171)/(2050-2040))*(2045-2040)</f>
        <v>691.80688255686141</v>
      </c>
      <c r="L171" s="108">
        <f>603.4/1.1827</f>
        <v>510.18855161917639</v>
      </c>
      <c r="M171" s="107">
        <v>510.18855161917639</v>
      </c>
      <c r="N171" s="106">
        <f t="shared" ref="N171:N172" si="361">O171+((P171-O171)/(2030-2025))*(2020-2025)</f>
        <v>52.997773791761674</v>
      </c>
      <c r="O171" s="107">
        <f t="shared" ref="O171:O172" si="362">P171+((Q171-P171)/(2040-2030))*(2025-2030)</f>
        <v>44.84009934743824</v>
      </c>
      <c r="P171" s="108">
        <f t="shared" ref="P171:P172" si="363">I171*0.04*$BE$7</f>
        <v>36.682424903114807</v>
      </c>
      <c r="Q171" s="108">
        <f t="shared" ref="Q171:Q172" si="364">J171*0.04*$BE$7</f>
        <v>20.367076014467937</v>
      </c>
      <c r="R171" s="107">
        <f t="shared" ref="R171:R172" si="365">Q171+((S171-Q171)/(2050-2040))*(2045-2040)</f>
        <v>16.131986055215553</v>
      </c>
      <c r="S171" s="108">
        <f t="shared" ref="S171:S172" si="366">L171*0.04*$BE$7</f>
        <v>11.896896095963166</v>
      </c>
      <c r="T171" s="107">
        <v>20.41</v>
      </c>
      <c r="U171" s="110"/>
      <c r="V171" s="111"/>
      <c r="W171" s="111"/>
      <c r="X171" s="111"/>
      <c r="Y171" s="108"/>
      <c r="Z171" s="111"/>
      <c r="AA171" s="108"/>
      <c r="AB171" s="110"/>
      <c r="AC171" s="111"/>
      <c r="AD171" s="111"/>
      <c r="AE171" s="111"/>
      <c r="AF171" s="117"/>
      <c r="AG171" s="117"/>
      <c r="AH171" s="117"/>
      <c r="AI171" s="106">
        <f t="shared" ref="AI171:AI172" si="367">AJ171+((AK171-AJ171)/(2030-2025))*(2020-2025)</f>
        <v>92</v>
      </c>
      <c r="AJ171" s="297">
        <f t="shared" ref="AJ171:AJ172" si="368">AK171+((AL171-AK171)/(2040-2030))*(2025-2030)</f>
        <v>93.5</v>
      </c>
      <c r="AK171" s="111">
        <v>95</v>
      </c>
      <c r="AL171" s="111">
        <v>98</v>
      </c>
      <c r="AM171" s="378">
        <f t="shared" ref="AM171:AM172" si="369">AL171+((AN171-AL171)/(2050-2040))*(2045-2040)</f>
        <v>99</v>
      </c>
      <c r="AN171" s="111">
        <v>100</v>
      </c>
      <c r="AO171" s="117">
        <v>100</v>
      </c>
      <c r="AP171" s="110"/>
      <c r="AQ171" s="46"/>
      <c r="AR171" s="104" t="s">
        <v>386</v>
      </c>
      <c r="BE171" s="76"/>
    </row>
    <row r="172" spans="1:57" x14ac:dyDescent="0.3">
      <c r="A172" s="965"/>
      <c r="B172" s="984"/>
      <c r="C172" s="689">
        <v>11</v>
      </c>
      <c r="D172" s="105" t="s">
        <v>57</v>
      </c>
      <c r="E172" s="105">
        <v>2022</v>
      </c>
      <c r="F172" s="690" t="s">
        <v>19</v>
      </c>
      <c r="G172" s="107">
        <f t="shared" si="358"/>
        <v>4788.2810518305578</v>
      </c>
      <c r="H172" s="107">
        <f t="shared" si="359"/>
        <v>3951.5092584763679</v>
      </c>
      <c r="I172" s="108">
        <f>(3683.8)/1.1827</f>
        <v>3114.737465122178</v>
      </c>
      <c r="J172" s="108">
        <f>(1704.5)/1.1827</f>
        <v>1441.1938784137988</v>
      </c>
      <c r="K172" s="107">
        <f t="shared" si="360"/>
        <v>1141.4982666779401</v>
      </c>
      <c r="L172" s="108">
        <f>(995.6)/1.1827</f>
        <v>841.80265494208163</v>
      </c>
      <c r="M172" s="107">
        <v>841.80265494208163</v>
      </c>
      <c r="N172" s="106">
        <f t="shared" si="361"/>
        <v>111.65613569945148</v>
      </c>
      <c r="O172" s="107">
        <f t="shared" si="362"/>
        <v>92.143767085977913</v>
      </c>
      <c r="P172" s="108">
        <f t="shared" si="363"/>
        <v>72.631398472504344</v>
      </c>
      <c r="Q172" s="108">
        <f t="shared" si="364"/>
        <v>33.606661245557206</v>
      </c>
      <c r="R172" s="107">
        <f t="shared" si="365"/>
        <v>26.618171319779705</v>
      </c>
      <c r="S172" s="108">
        <f t="shared" si="366"/>
        <v>19.629681394002201</v>
      </c>
      <c r="T172" s="107">
        <v>33.67</v>
      </c>
      <c r="U172" s="110"/>
      <c r="V172" s="111"/>
      <c r="W172" s="111"/>
      <c r="X172" s="111"/>
      <c r="Y172" s="108"/>
      <c r="Z172" s="111"/>
      <c r="AA172" s="108"/>
      <c r="AB172" s="110"/>
      <c r="AC172" s="111"/>
      <c r="AD172" s="111"/>
      <c r="AE172" s="111"/>
      <c r="AF172" s="117"/>
      <c r="AG172" s="117"/>
      <c r="AH172" s="117"/>
      <c r="AI172" s="106">
        <f t="shared" si="367"/>
        <v>92</v>
      </c>
      <c r="AJ172" s="297">
        <f t="shared" si="368"/>
        <v>93.5</v>
      </c>
      <c r="AK172" s="111">
        <v>95</v>
      </c>
      <c r="AL172" s="111">
        <v>98</v>
      </c>
      <c r="AM172" s="378">
        <f t="shared" si="369"/>
        <v>99</v>
      </c>
      <c r="AN172" s="111">
        <v>100</v>
      </c>
      <c r="AO172" s="117">
        <v>100</v>
      </c>
      <c r="AP172" s="110"/>
      <c r="AQ172" s="46"/>
      <c r="AR172" s="116" t="s">
        <v>387</v>
      </c>
      <c r="BE172" s="76"/>
    </row>
    <row r="173" spans="1:57" x14ac:dyDescent="0.3">
      <c r="A173" s="965"/>
      <c r="B173" s="985"/>
      <c r="C173" s="691">
        <v>4</v>
      </c>
      <c r="D173" s="120" t="s">
        <v>31</v>
      </c>
      <c r="E173" s="120">
        <v>2022</v>
      </c>
      <c r="F173" s="692" t="s">
        <v>19</v>
      </c>
      <c r="G173" s="121">
        <f>870.56</f>
        <v>870.56</v>
      </c>
      <c r="H173" s="121">
        <f>870.56</f>
        <v>870.56</v>
      </c>
      <c r="I173" s="121">
        <f>870.56</f>
        <v>870.56</v>
      </c>
      <c r="J173" s="121">
        <v>696.45</v>
      </c>
      <c r="K173" s="121">
        <v>609.39</v>
      </c>
      <c r="L173" s="121">
        <v>522.34</v>
      </c>
      <c r="M173" s="122">
        <v>522.34</v>
      </c>
      <c r="N173" s="587">
        <f t="shared" ref="N173:S173" si="370">G173*0.025*$BE$7</f>
        <v>12.687664482611362</v>
      </c>
      <c r="O173" s="121">
        <f t="shared" si="370"/>
        <v>12.687664482611362</v>
      </c>
      <c r="P173" s="121">
        <f t="shared" si="370"/>
        <v>12.687664482611362</v>
      </c>
      <c r="Q173" s="121">
        <f t="shared" si="370"/>
        <v>10.150160734371767</v>
      </c>
      <c r="R173" s="121">
        <f t="shared" si="370"/>
        <v>8.8813359895452795</v>
      </c>
      <c r="S173" s="121">
        <f t="shared" si="370"/>
        <v>7.6126569861321682</v>
      </c>
      <c r="T173" s="107">
        <v>13.06</v>
      </c>
      <c r="U173" s="123"/>
      <c r="V173" s="124"/>
      <c r="W173" s="124"/>
      <c r="X173" s="124"/>
      <c r="Y173" s="121"/>
      <c r="Z173" s="124"/>
      <c r="AA173" s="121"/>
      <c r="AB173" s="123">
        <v>20</v>
      </c>
      <c r="AC173" s="124">
        <v>20</v>
      </c>
      <c r="AD173" s="124">
        <v>20</v>
      </c>
      <c r="AE173" s="124">
        <v>20</v>
      </c>
      <c r="AF173" s="639">
        <v>20</v>
      </c>
      <c r="AG173" s="639">
        <v>20</v>
      </c>
      <c r="AH173" s="386">
        <f>AF173+((AG173-AF173)/(2050-2045))*(2060-2045)</f>
        <v>20</v>
      </c>
      <c r="AI173" s="587"/>
      <c r="AJ173" s="124"/>
      <c r="AK173" s="124"/>
      <c r="AL173" s="124"/>
      <c r="AM173" s="121"/>
      <c r="AN173" s="124"/>
      <c r="AO173" s="121"/>
      <c r="AP173" s="123"/>
      <c r="AQ173" s="51"/>
      <c r="AR173" s="116"/>
    </row>
    <row r="174" spans="1:57" x14ac:dyDescent="0.3">
      <c r="A174" s="965"/>
      <c r="B174" s="693" t="s">
        <v>267</v>
      </c>
      <c r="C174" s="139"/>
      <c r="D174" s="134"/>
      <c r="E174" s="134"/>
      <c r="F174" s="140"/>
      <c r="G174" s="128">
        <f>MIN(G168:G169, G171:G173)</f>
        <v>870.56</v>
      </c>
      <c r="H174" s="128">
        <f t="shared" ref="H174:M174" si="371">MIN(H168:H169, H171:H173)</f>
        <v>870.56</v>
      </c>
      <c r="I174" s="128">
        <f t="shared" si="371"/>
        <v>870.56</v>
      </c>
      <c r="J174" s="128">
        <f t="shared" si="371"/>
        <v>696.45</v>
      </c>
      <c r="K174" s="128">
        <f t="shared" si="371"/>
        <v>609.39</v>
      </c>
      <c r="L174" s="128">
        <f t="shared" si="371"/>
        <v>510.18855161917639</v>
      </c>
      <c r="M174" s="128">
        <f t="shared" si="371"/>
        <v>510.18855161917639</v>
      </c>
      <c r="N174" s="127">
        <f>MIN(N168:N173)</f>
        <v>12.687664482611362</v>
      </c>
      <c r="O174" s="128">
        <f t="shared" ref="O174:T174" si="372">MIN(O168:O173)</f>
        <v>12.687664482611362</v>
      </c>
      <c r="P174" s="128">
        <f t="shared" si="372"/>
        <v>12.687664482611362</v>
      </c>
      <c r="Q174" s="128">
        <f t="shared" si="372"/>
        <v>10.150160734371767</v>
      </c>
      <c r="R174" s="128">
        <f t="shared" si="372"/>
        <v>8.8813359895452795</v>
      </c>
      <c r="S174" s="128">
        <f t="shared" si="372"/>
        <v>7.6126569861321682</v>
      </c>
      <c r="T174" s="128">
        <f t="shared" si="372"/>
        <v>13.06</v>
      </c>
      <c r="U174" s="131"/>
      <c r="V174" s="126"/>
      <c r="W174" s="126"/>
      <c r="X174" s="126"/>
      <c r="Y174" s="128"/>
      <c r="Z174" s="126"/>
      <c r="AA174" s="128"/>
      <c r="AB174" s="131">
        <f>MIN(AB168:AB173)</f>
        <v>20</v>
      </c>
      <c r="AC174" s="126">
        <f t="shared" ref="AC174:AO174" si="373">MIN(AC168:AC173)</f>
        <v>20</v>
      </c>
      <c r="AD174" s="126">
        <f t="shared" si="373"/>
        <v>20</v>
      </c>
      <c r="AE174" s="126">
        <f t="shared" si="373"/>
        <v>20</v>
      </c>
      <c r="AF174" s="641">
        <f t="shared" si="373"/>
        <v>20</v>
      </c>
      <c r="AG174" s="641">
        <f t="shared" si="373"/>
        <v>20</v>
      </c>
      <c r="AH174" s="641">
        <f t="shared" si="373"/>
        <v>20</v>
      </c>
      <c r="AI174" s="131">
        <f t="shared" si="373"/>
        <v>92</v>
      </c>
      <c r="AJ174" s="126">
        <f t="shared" si="373"/>
        <v>93.5</v>
      </c>
      <c r="AK174" s="126">
        <f t="shared" si="373"/>
        <v>95</v>
      </c>
      <c r="AL174" s="126">
        <f t="shared" si="373"/>
        <v>98</v>
      </c>
      <c r="AM174" s="126">
        <f t="shared" si="373"/>
        <v>99</v>
      </c>
      <c r="AN174" s="126">
        <f t="shared" si="373"/>
        <v>100</v>
      </c>
      <c r="AO174" s="126">
        <f t="shared" si="373"/>
        <v>100</v>
      </c>
      <c r="AP174" s="131"/>
      <c r="AQ174" s="132"/>
      <c r="AR174" s="104"/>
    </row>
    <row r="175" spans="1:57" x14ac:dyDescent="0.3">
      <c r="A175" s="965"/>
      <c r="B175" s="694" t="s">
        <v>268</v>
      </c>
      <c r="C175" s="139"/>
      <c r="D175" s="134"/>
      <c r="E175" s="134"/>
      <c r="F175" s="140"/>
      <c r="G175" s="136">
        <f>MEDIAN(G168:G169, G171:G173)</f>
        <v>1252.6706378771578</v>
      </c>
      <c r="H175" s="136">
        <f t="shared" ref="H175:M175" si="374">MEDIAN(H168:H169, H171:H173)</f>
        <v>1549.9853591784658</v>
      </c>
      <c r="I175" s="136">
        <f t="shared" si="374"/>
        <v>1344.0627818719449</v>
      </c>
      <c r="J175" s="136">
        <f t="shared" si="374"/>
        <v>938.54518150272463</v>
      </c>
      <c r="K175" s="136">
        <f t="shared" si="374"/>
        <v>819.83725414066873</v>
      </c>
      <c r="L175" s="136">
        <f t="shared" si="374"/>
        <v>682.07132747104083</v>
      </c>
      <c r="M175" s="136">
        <f t="shared" si="374"/>
        <v>651.40752718259773</v>
      </c>
      <c r="N175" s="135">
        <f>MEDIAN(N168:N173)</f>
        <v>29.210558280838331</v>
      </c>
      <c r="O175" s="136">
        <f t="shared" ref="O175:T175" si="375">MEDIAN(O168:O173)</f>
        <v>36.14352911269296</v>
      </c>
      <c r="P175" s="136">
        <f t="shared" si="375"/>
        <v>31.341697518758501</v>
      </c>
      <c r="Q175" s="136">
        <f t="shared" si="375"/>
        <v>21.88558420267994</v>
      </c>
      <c r="R175" s="136">
        <f t="shared" si="375"/>
        <v>19.117478424705368</v>
      </c>
      <c r="S175" s="136">
        <f t="shared" si="375"/>
        <v>15.763288744982685</v>
      </c>
      <c r="T175" s="136">
        <f t="shared" si="375"/>
        <v>19.304803002052438</v>
      </c>
      <c r="U175" s="139"/>
      <c r="V175" s="134"/>
      <c r="W175" s="134"/>
      <c r="X175" s="134"/>
      <c r="Y175" s="136"/>
      <c r="Z175" s="134"/>
      <c r="AA175" s="136"/>
      <c r="AB175" s="139">
        <f t="shared" ref="AB175:AO175" si="376">MEDIAN(AB168:AB173)</f>
        <v>25</v>
      </c>
      <c r="AC175" s="134">
        <f t="shared" si="376"/>
        <v>25</v>
      </c>
      <c r="AD175" s="134">
        <f t="shared" si="376"/>
        <v>25</v>
      </c>
      <c r="AE175" s="134">
        <f t="shared" si="376"/>
        <v>25</v>
      </c>
      <c r="AF175" s="644">
        <f t="shared" si="376"/>
        <v>25</v>
      </c>
      <c r="AG175" s="644">
        <f t="shared" si="376"/>
        <v>25</v>
      </c>
      <c r="AH175" s="644">
        <f t="shared" si="376"/>
        <v>25</v>
      </c>
      <c r="AI175" s="139">
        <f t="shared" si="376"/>
        <v>92</v>
      </c>
      <c r="AJ175" s="134">
        <f t="shared" si="376"/>
        <v>93.5</v>
      </c>
      <c r="AK175" s="134">
        <f t="shared" si="376"/>
        <v>95</v>
      </c>
      <c r="AL175" s="134">
        <f t="shared" si="376"/>
        <v>98</v>
      </c>
      <c r="AM175" s="134">
        <f t="shared" si="376"/>
        <v>99</v>
      </c>
      <c r="AN175" s="134">
        <f t="shared" si="376"/>
        <v>100</v>
      </c>
      <c r="AO175" s="134">
        <f t="shared" si="376"/>
        <v>100</v>
      </c>
      <c r="AP175" s="139"/>
      <c r="AQ175" s="140"/>
      <c r="AR175" s="104"/>
    </row>
    <row r="176" spans="1:57" x14ac:dyDescent="0.3">
      <c r="A176" s="965"/>
      <c r="B176" s="695" t="s">
        <v>269</v>
      </c>
      <c r="C176" s="139"/>
      <c r="D176" s="134"/>
      <c r="E176" s="134"/>
      <c r="F176" s="140"/>
      <c r="G176" s="143">
        <f>MAX(G168:G169, G171:G173)</f>
        <v>4788.2810518305578</v>
      </c>
      <c r="H176" s="143">
        <f t="shared" ref="H176:M176" si="377">MAX(H168:H169, H171:H173)</f>
        <v>3951.5092584763679</v>
      </c>
      <c r="I176" s="143">
        <f t="shared" si="377"/>
        <v>3114.737465122178</v>
      </c>
      <c r="J176" s="143">
        <f t="shared" si="377"/>
        <v>1441.1938784137988</v>
      </c>
      <c r="K176" s="143">
        <f t="shared" si="377"/>
        <v>1141.4982666779401</v>
      </c>
      <c r="L176" s="143">
        <f t="shared" si="377"/>
        <v>892.07010193804922</v>
      </c>
      <c r="M176" s="143">
        <f t="shared" si="377"/>
        <v>841.80265494208163</v>
      </c>
      <c r="N176" s="591">
        <f>MAX(N168:N173)</f>
        <v>111.65613569945148</v>
      </c>
      <c r="O176" s="143">
        <f t="shared" ref="O176:T176" si="378">MAX(O168:O173)</f>
        <v>92.143767085977913</v>
      </c>
      <c r="P176" s="143">
        <f t="shared" si="378"/>
        <v>72.631398472504344</v>
      </c>
      <c r="Q176" s="143">
        <f t="shared" si="378"/>
        <v>33.606661245557206</v>
      </c>
      <c r="R176" s="143">
        <f t="shared" si="378"/>
        <v>26.618171319779705</v>
      </c>
      <c r="S176" s="143">
        <f t="shared" si="378"/>
        <v>20.801849197498413</v>
      </c>
      <c r="T176" s="143">
        <f t="shared" si="378"/>
        <v>33.67</v>
      </c>
      <c r="U176" s="145"/>
      <c r="V176" s="142"/>
      <c r="W176" s="142"/>
      <c r="X176" s="142"/>
      <c r="Y176" s="143"/>
      <c r="Z176" s="142"/>
      <c r="AA176" s="143"/>
      <c r="AB176" s="145">
        <f t="shared" ref="AB176:AO176" si="379">MAX(AB168:AB173)</f>
        <v>30</v>
      </c>
      <c r="AC176" s="142">
        <f t="shared" si="379"/>
        <v>30</v>
      </c>
      <c r="AD176" s="142">
        <f t="shared" si="379"/>
        <v>30</v>
      </c>
      <c r="AE176" s="142">
        <f t="shared" si="379"/>
        <v>30</v>
      </c>
      <c r="AF176" s="647">
        <f t="shared" si="379"/>
        <v>30</v>
      </c>
      <c r="AG176" s="647">
        <f t="shared" si="379"/>
        <v>30</v>
      </c>
      <c r="AH176" s="647">
        <f t="shared" si="379"/>
        <v>30</v>
      </c>
      <c r="AI176" s="145">
        <f t="shared" si="379"/>
        <v>92</v>
      </c>
      <c r="AJ176" s="142">
        <f t="shared" si="379"/>
        <v>93.5</v>
      </c>
      <c r="AK176" s="142">
        <f t="shared" si="379"/>
        <v>95</v>
      </c>
      <c r="AL176" s="142">
        <f t="shared" si="379"/>
        <v>98</v>
      </c>
      <c r="AM176" s="142">
        <f t="shared" si="379"/>
        <v>99</v>
      </c>
      <c r="AN176" s="142">
        <f t="shared" si="379"/>
        <v>100</v>
      </c>
      <c r="AO176" s="142">
        <f t="shared" si="379"/>
        <v>100</v>
      </c>
      <c r="AP176" s="145"/>
      <c r="AQ176" s="146"/>
      <c r="AR176" s="104"/>
    </row>
    <row r="177" spans="1:44" ht="14.4" customHeight="1" x14ac:dyDescent="0.3">
      <c r="A177" s="965"/>
      <c r="B177" s="986" t="s">
        <v>388</v>
      </c>
      <c r="C177" s="687">
        <v>11</v>
      </c>
      <c r="D177" s="90" t="s">
        <v>57</v>
      </c>
      <c r="E177" s="90">
        <v>2022</v>
      </c>
      <c r="F177" s="688" t="s">
        <v>19</v>
      </c>
      <c r="G177" s="93">
        <f t="shared" ref="G177:G178" si="380">H177+((I177-H177)/(2030-2025))*(2020-2025)</f>
        <v>490.99518051915112</v>
      </c>
      <c r="H177" s="93">
        <f t="shared" ref="H177:H178" si="381">I177+((J177-I177)/(2040-2030))*(2025-2030)</f>
        <v>400.0591866069164</v>
      </c>
      <c r="I177" s="94">
        <f>(365.6)/1.1827</f>
        <v>309.12319269468168</v>
      </c>
      <c r="J177" s="94">
        <f>(150.5)/1.1827</f>
        <v>127.25120487021222</v>
      </c>
      <c r="K177" s="93">
        <f t="shared" ref="K177:K178" si="382">J177+((L177-J177)/(2050-2040))*(2045-2040)</f>
        <v>89.160395704743379</v>
      </c>
      <c r="L177" s="94">
        <f>(60.4)/1.1827</f>
        <v>51.069586539274539</v>
      </c>
      <c r="M177" s="93">
        <v>51.07</v>
      </c>
      <c r="N177" s="92">
        <f t="shared" ref="N177:N178" si="383">O177+((P177-O177)/(2030-2025))*(2020-2025)</f>
        <v>8.5869997881908482</v>
      </c>
      <c r="O177" s="93">
        <f t="shared" ref="O177:O178" si="384">P177+((Q177-P177)/(2040-2030))*(2025-2030)</f>
        <v>6.9966229546796974</v>
      </c>
      <c r="P177" s="94">
        <f>I177*0.03*$BE$7</f>
        <v>5.4062461211685457</v>
      </c>
      <c r="Q177" s="94">
        <f>J177*0.03*$BE$7</f>
        <v>2.225492454146242</v>
      </c>
      <c r="R177" s="107">
        <f t="shared" ref="R177:R178" si="385">Q177+((S177-Q177)/(2050-2040))*(2045-2040)</f>
        <v>1.5593234504300413</v>
      </c>
      <c r="S177" s="94">
        <f>L177*0.03*$BE$7</f>
        <v>0.89315444671384059</v>
      </c>
      <c r="T177" s="93">
        <v>1.53</v>
      </c>
      <c r="U177" s="96"/>
      <c r="V177" s="97"/>
      <c r="W177" s="97"/>
      <c r="X177" s="97"/>
      <c r="Y177" s="94"/>
      <c r="Z177" s="97"/>
      <c r="AA177" s="94"/>
      <c r="AB177" s="96"/>
      <c r="AC177" s="97"/>
      <c r="AD177" s="97"/>
      <c r="AE177" s="97"/>
      <c r="AF177" s="102"/>
      <c r="AG177" s="102"/>
      <c r="AH177" s="102"/>
      <c r="AI177" s="92">
        <f t="shared" ref="AI177:AI178" si="386">AJ177+((AK177-AJ177)/(2030-2025))*(2020-2025)</f>
        <v>98</v>
      </c>
      <c r="AJ177" s="100">
        <f t="shared" ref="AJ177:AJ178" si="387">AK177+((AL177-AK177)/(2040-2030))*(2025-2030)</f>
        <v>98</v>
      </c>
      <c r="AK177" s="97">
        <v>98</v>
      </c>
      <c r="AL177" s="97">
        <v>98</v>
      </c>
      <c r="AM177" s="101">
        <f t="shared" ref="AM177:AM178" si="388">AL177+((AN177-AL177)/(2050-2040))*(2045-2040)</f>
        <v>98</v>
      </c>
      <c r="AN177" s="97">
        <v>98</v>
      </c>
      <c r="AO177" s="101">
        <f t="shared" ref="AO177:AO178" si="389">AM177+((AN177-AM177)/(2050-2045))*(2060-2045)</f>
        <v>98</v>
      </c>
      <c r="AP177" s="96"/>
      <c r="AQ177" s="43"/>
      <c r="AR177" s="104" t="s">
        <v>386</v>
      </c>
    </row>
    <row r="178" spans="1:44" x14ac:dyDescent="0.3">
      <c r="A178" s="965"/>
      <c r="B178" s="985"/>
      <c r="C178" s="691">
        <v>11</v>
      </c>
      <c r="D178" s="120" t="s">
        <v>57</v>
      </c>
      <c r="E178" s="120">
        <v>2022</v>
      </c>
      <c r="F178" s="692" t="s">
        <v>19</v>
      </c>
      <c r="G178" s="122">
        <f t="shared" si="380"/>
        <v>1253.4877821932864</v>
      </c>
      <c r="H178" s="122">
        <f t="shared" si="381"/>
        <v>1021.3071784898958</v>
      </c>
      <c r="I178" s="121">
        <f>(933.3)/1.1827</f>
        <v>789.12657478650533</v>
      </c>
      <c r="J178" s="121">
        <f>(384.1)/1.1827</f>
        <v>324.76536737972435</v>
      </c>
      <c r="K178" s="122">
        <f t="shared" si="382"/>
        <v>242.91874524393336</v>
      </c>
      <c r="L178" s="121">
        <f>(190.5)/1.1827</f>
        <v>161.07212310814236</v>
      </c>
      <c r="M178" s="122">
        <v>161.07</v>
      </c>
      <c r="N178" s="607">
        <f t="shared" si="383"/>
        <v>29.229612963648318</v>
      </c>
      <c r="O178" s="122">
        <f t="shared" si="384"/>
        <v>23.815480268998854</v>
      </c>
      <c r="P178" s="121">
        <f>I178*0.04*$BE$7</f>
        <v>18.401347574349391</v>
      </c>
      <c r="Q178" s="121">
        <f>J178*0.04*$BE$7</f>
        <v>7.5730821850504677</v>
      </c>
      <c r="R178" s="122">
        <f t="shared" si="385"/>
        <v>5.6645314026685742</v>
      </c>
      <c r="S178" s="121">
        <f>L178*0.04*$BE$7</f>
        <v>3.7559806202866808</v>
      </c>
      <c r="T178" s="122">
        <v>6.44</v>
      </c>
      <c r="U178" s="123"/>
      <c r="V178" s="124"/>
      <c r="W178" s="124"/>
      <c r="X178" s="124"/>
      <c r="Y178" s="121"/>
      <c r="Z178" s="124"/>
      <c r="AA178" s="121"/>
      <c r="AB178" s="123"/>
      <c r="AC178" s="124"/>
      <c r="AD178" s="124"/>
      <c r="AE178" s="124"/>
      <c r="AF178" s="639"/>
      <c r="AG178" s="639"/>
      <c r="AH178" s="639"/>
      <c r="AI178" s="607">
        <f t="shared" si="386"/>
        <v>98</v>
      </c>
      <c r="AJ178" s="306">
        <f t="shared" si="387"/>
        <v>98</v>
      </c>
      <c r="AK178" s="124">
        <v>98</v>
      </c>
      <c r="AL178" s="124">
        <v>98</v>
      </c>
      <c r="AM178" s="386">
        <f t="shared" si="388"/>
        <v>98</v>
      </c>
      <c r="AN178" s="124">
        <v>98</v>
      </c>
      <c r="AO178" s="386">
        <f t="shared" si="389"/>
        <v>98</v>
      </c>
      <c r="AP178" s="123"/>
      <c r="AQ178" s="51"/>
      <c r="AR178" s="116" t="s">
        <v>387</v>
      </c>
    </row>
    <row r="179" spans="1:44" x14ac:dyDescent="0.3">
      <c r="A179" s="965"/>
      <c r="B179" s="693" t="s">
        <v>267</v>
      </c>
      <c r="C179" s="139"/>
      <c r="D179" s="134"/>
      <c r="E179" s="134"/>
      <c r="F179" s="140"/>
      <c r="G179" s="128">
        <f>MIN(G177:G178)</f>
        <v>490.99518051915112</v>
      </c>
      <c r="H179" s="126">
        <f t="shared" ref="H179:T179" si="390">MIN(H177:H178)</f>
        <v>400.0591866069164</v>
      </c>
      <c r="I179" s="128">
        <f t="shared" si="390"/>
        <v>309.12319269468168</v>
      </c>
      <c r="J179" s="128">
        <f t="shared" si="390"/>
        <v>127.25120487021222</v>
      </c>
      <c r="K179" s="128">
        <f t="shared" si="390"/>
        <v>89.160395704743379</v>
      </c>
      <c r="L179" s="128">
        <f t="shared" si="390"/>
        <v>51.069586539274539</v>
      </c>
      <c r="M179" s="128">
        <f t="shared" si="390"/>
        <v>51.07</v>
      </c>
      <c r="N179" s="127">
        <f t="shared" si="390"/>
        <v>8.5869997881908482</v>
      </c>
      <c r="O179" s="128">
        <f t="shared" si="390"/>
        <v>6.9966229546796974</v>
      </c>
      <c r="P179" s="128">
        <f t="shared" si="390"/>
        <v>5.4062461211685457</v>
      </c>
      <c r="Q179" s="128">
        <f t="shared" si="390"/>
        <v>2.225492454146242</v>
      </c>
      <c r="R179" s="128">
        <f t="shared" si="390"/>
        <v>1.5593234504300413</v>
      </c>
      <c r="S179" s="128">
        <f t="shared" si="390"/>
        <v>0.89315444671384059</v>
      </c>
      <c r="T179" s="128">
        <f t="shared" si="390"/>
        <v>1.53</v>
      </c>
      <c r="U179" s="131"/>
      <c r="V179" s="126"/>
      <c r="W179" s="126"/>
      <c r="X179" s="126"/>
      <c r="Y179" s="128"/>
      <c r="Z179" s="126"/>
      <c r="AA179" s="128"/>
      <c r="AB179" s="131"/>
      <c r="AC179" s="126"/>
      <c r="AD179" s="126"/>
      <c r="AE179" s="126"/>
      <c r="AF179" s="641"/>
      <c r="AG179" s="641"/>
      <c r="AH179" s="641"/>
      <c r="AI179" s="131">
        <f t="shared" ref="AI179:AO179" si="391">MIN(AI177:AI178)</f>
        <v>98</v>
      </c>
      <c r="AJ179" s="126">
        <f t="shared" si="391"/>
        <v>98</v>
      </c>
      <c r="AK179" s="126">
        <f t="shared" si="391"/>
        <v>98</v>
      </c>
      <c r="AL179" s="126">
        <f t="shared" si="391"/>
        <v>98</v>
      </c>
      <c r="AM179" s="126">
        <f t="shared" si="391"/>
        <v>98</v>
      </c>
      <c r="AN179" s="126">
        <f t="shared" si="391"/>
        <v>98</v>
      </c>
      <c r="AO179" s="126">
        <f t="shared" si="391"/>
        <v>98</v>
      </c>
      <c r="AP179" s="131"/>
      <c r="AQ179" s="132"/>
      <c r="AR179" s="104"/>
    </row>
    <row r="180" spans="1:44" x14ac:dyDescent="0.3">
      <c r="A180" s="965"/>
      <c r="B180" s="694" t="s">
        <v>268</v>
      </c>
      <c r="C180" s="139"/>
      <c r="D180" s="134"/>
      <c r="E180" s="134"/>
      <c r="F180" s="140"/>
      <c r="G180" s="136">
        <f>MEDIAN(G177:G178)</f>
        <v>872.24148135621886</v>
      </c>
      <c r="H180" s="134">
        <f t="shared" ref="H180:T180" si="392">MEDIAN(H177:H178)</f>
        <v>710.68318254840619</v>
      </c>
      <c r="I180" s="136">
        <f t="shared" si="392"/>
        <v>549.12488374059353</v>
      </c>
      <c r="J180" s="136">
        <f t="shared" si="392"/>
        <v>226.00828612496827</v>
      </c>
      <c r="K180" s="136">
        <f t="shared" si="392"/>
        <v>166.03957047433835</v>
      </c>
      <c r="L180" s="136">
        <f t="shared" si="392"/>
        <v>106.07085482370846</v>
      </c>
      <c r="M180" s="136">
        <f t="shared" si="392"/>
        <v>106.07</v>
      </c>
      <c r="N180" s="135">
        <f t="shared" si="392"/>
        <v>18.908306375919583</v>
      </c>
      <c r="O180" s="136">
        <f t="shared" si="392"/>
        <v>15.406051611839276</v>
      </c>
      <c r="P180" s="136">
        <f t="shared" si="392"/>
        <v>11.903796847758969</v>
      </c>
      <c r="Q180" s="136">
        <f t="shared" si="392"/>
        <v>4.8992873195983542</v>
      </c>
      <c r="R180" s="136">
        <f t="shared" si="392"/>
        <v>3.611927426549308</v>
      </c>
      <c r="S180" s="136">
        <f t="shared" si="392"/>
        <v>2.3245675335002609</v>
      </c>
      <c r="T180" s="136">
        <f t="shared" si="392"/>
        <v>3.9850000000000003</v>
      </c>
      <c r="U180" s="139"/>
      <c r="V180" s="134"/>
      <c r="W180" s="134"/>
      <c r="X180" s="134"/>
      <c r="Y180" s="136"/>
      <c r="Z180" s="134"/>
      <c r="AA180" s="136"/>
      <c r="AB180" s="139"/>
      <c r="AC180" s="134"/>
      <c r="AD180" s="134"/>
      <c r="AE180" s="134"/>
      <c r="AF180" s="644"/>
      <c r="AG180" s="644"/>
      <c r="AH180" s="644"/>
      <c r="AI180" s="139">
        <f t="shared" ref="AI180:AO180" si="393">MEDIAN(AI177:AI178)</f>
        <v>98</v>
      </c>
      <c r="AJ180" s="134">
        <f t="shared" si="393"/>
        <v>98</v>
      </c>
      <c r="AK180" s="134">
        <f t="shared" si="393"/>
        <v>98</v>
      </c>
      <c r="AL180" s="134">
        <f t="shared" si="393"/>
        <v>98</v>
      </c>
      <c r="AM180" s="134">
        <f t="shared" si="393"/>
        <v>98</v>
      </c>
      <c r="AN180" s="134">
        <f t="shared" si="393"/>
        <v>98</v>
      </c>
      <c r="AO180" s="134">
        <f t="shared" si="393"/>
        <v>98</v>
      </c>
      <c r="AP180" s="139"/>
      <c r="AQ180" s="140"/>
      <c r="AR180" s="104"/>
    </row>
    <row r="181" spans="1:44" x14ac:dyDescent="0.3">
      <c r="A181" s="965"/>
      <c r="B181" s="695" t="s">
        <v>269</v>
      </c>
      <c r="C181" s="139"/>
      <c r="D181" s="134"/>
      <c r="E181" s="134"/>
      <c r="F181" s="140"/>
      <c r="G181" s="143">
        <f>MAX(G177:G178)</f>
        <v>1253.4877821932864</v>
      </c>
      <c r="H181" s="142">
        <f t="shared" ref="H181:T181" si="394">MAX(H177:H178)</f>
        <v>1021.3071784898958</v>
      </c>
      <c r="I181" s="143">
        <f t="shared" si="394"/>
        <v>789.12657478650533</v>
      </c>
      <c r="J181" s="143">
        <f t="shared" si="394"/>
        <v>324.76536737972435</v>
      </c>
      <c r="K181" s="143">
        <f t="shared" si="394"/>
        <v>242.91874524393336</v>
      </c>
      <c r="L181" s="143">
        <f t="shared" si="394"/>
        <v>161.07212310814236</v>
      </c>
      <c r="M181" s="143">
        <f t="shared" si="394"/>
        <v>161.07</v>
      </c>
      <c r="N181" s="591">
        <f t="shared" si="394"/>
        <v>29.229612963648318</v>
      </c>
      <c r="O181" s="143">
        <f t="shared" si="394"/>
        <v>23.815480268998854</v>
      </c>
      <c r="P181" s="143">
        <f t="shared" si="394"/>
        <v>18.401347574349391</v>
      </c>
      <c r="Q181" s="143">
        <f t="shared" si="394"/>
        <v>7.5730821850504677</v>
      </c>
      <c r="R181" s="143">
        <f t="shared" si="394"/>
        <v>5.6645314026685742</v>
      </c>
      <c r="S181" s="143">
        <f t="shared" si="394"/>
        <v>3.7559806202866808</v>
      </c>
      <c r="T181" s="143">
        <f t="shared" si="394"/>
        <v>6.44</v>
      </c>
      <c r="U181" s="145"/>
      <c r="V181" s="142"/>
      <c r="W181" s="142"/>
      <c r="X181" s="142"/>
      <c r="Y181" s="143"/>
      <c r="Z181" s="142"/>
      <c r="AA181" s="143"/>
      <c r="AB181" s="145"/>
      <c r="AC181" s="142"/>
      <c r="AD181" s="142"/>
      <c r="AE181" s="142"/>
      <c r="AF181" s="647"/>
      <c r="AG181" s="647"/>
      <c r="AH181" s="647"/>
      <c r="AI181" s="145">
        <f t="shared" ref="AI181:AO181" si="395">MAX(AI177:AI178)</f>
        <v>98</v>
      </c>
      <c r="AJ181" s="142">
        <f t="shared" si="395"/>
        <v>98</v>
      </c>
      <c r="AK181" s="142">
        <f t="shared" si="395"/>
        <v>98</v>
      </c>
      <c r="AL181" s="142">
        <f t="shared" si="395"/>
        <v>98</v>
      </c>
      <c r="AM181" s="142">
        <f t="shared" si="395"/>
        <v>98</v>
      </c>
      <c r="AN181" s="142">
        <f t="shared" si="395"/>
        <v>98</v>
      </c>
      <c r="AO181" s="142">
        <f t="shared" si="395"/>
        <v>98</v>
      </c>
      <c r="AP181" s="145"/>
      <c r="AQ181" s="146"/>
      <c r="AR181" s="104"/>
    </row>
    <row r="182" spans="1:44" ht="15" customHeight="1" x14ac:dyDescent="0.3">
      <c r="A182" s="965"/>
      <c r="B182" s="987" t="s">
        <v>389</v>
      </c>
      <c r="C182" s="150">
        <v>4</v>
      </c>
      <c r="D182" s="147" t="s">
        <v>31</v>
      </c>
      <c r="E182" s="147">
        <v>2022</v>
      </c>
      <c r="F182" s="696" t="s">
        <v>19</v>
      </c>
      <c r="G182" s="149">
        <f>718.95</f>
        <v>718.95</v>
      </c>
      <c r="H182" s="149">
        <f>673.78</f>
        <v>673.78</v>
      </c>
      <c r="I182" s="149">
        <f>628.6</f>
        <v>628.6</v>
      </c>
      <c r="J182" s="149">
        <f>554.59</f>
        <v>554.59</v>
      </c>
      <c r="K182" s="149">
        <f>517.59</f>
        <v>517.59</v>
      </c>
      <c r="L182" s="149">
        <f>480.58</f>
        <v>480.58</v>
      </c>
      <c r="M182" s="93">
        <f>K182+((L182-K182)/(2050-2045))*(2060-2045)</f>
        <v>406.55999999999989</v>
      </c>
      <c r="N182" s="464">
        <f t="shared" ref="N182:S182" si="396">G182*0.03*$BE$7</f>
        <v>12.573694697353574</v>
      </c>
      <c r="O182" s="149">
        <f t="shared" si="396"/>
        <v>11.78371794030585</v>
      </c>
      <c r="P182" s="149">
        <f t="shared" si="396"/>
        <v>10.993566293562079</v>
      </c>
      <c r="Q182" s="149">
        <f t="shared" si="396"/>
        <v>9.6992076531126195</v>
      </c>
      <c r="R182" s="149">
        <f t="shared" si="396"/>
        <v>9.0521157777359171</v>
      </c>
      <c r="S182" s="149">
        <f t="shared" si="396"/>
        <v>8.4048490126631616</v>
      </c>
      <c r="T182" s="93">
        <f>R182+((S182-R182)/(2050-2045))*(2060-2045)</f>
        <v>7.1103154825176507</v>
      </c>
      <c r="U182" s="150"/>
      <c r="V182" s="147"/>
      <c r="W182" s="147"/>
      <c r="X182" s="147"/>
      <c r="Y182" s="149"/>
      <c r="Z182" s="147"/>
      <c r="AA182" s="149"/>
      <c r="AB182" s="150">
        <v>20</v>
      </c>
      <c r="AC182" s="147">
        <v>20</v>
      </c>
      <c r="AD182" s="147">
        <v>20</v>
      </c>
      <c r="AE182" s="147">
        <v>20</v>
      </c>
      <c r="AF182" s="697">
        <v>20</v>
      </c>
      <c r="AG182" s="697">
        <v>20</v>
      </c>
      <c r="AH182" s="101">
        <f>AF182+((AG182-AF182)/(2050-2045))*(2060-2045)</f>
        <v>20</v>
      </c>
      <c r="AI182" s="150">
        <v>80</v>
      </c>
      <c r="AJ182" s="147">
        <v>80</v>
      </c>
      <c r="AK182" s="147">
        <v>80</v>
      </c>
      <c r="AL182" s="147">
        <v>80</v>
      </c>
      <c r="AM182" s="697">
        <v>80</v>
      </c>
      <c r="AN182" s="147">
        <v>80</v>
      </c>
      <c r="AO182" s="101">
        <f>AM182+((AN182-AM182)/(2050-2045))*(2060-2045)</f>
        <v>80</v>
      </c>
      <c r="AP182" s="150"/>
      <c r="AQ182" s="152"/>
      <c r="AR182" s="104"/>
    </row>
    <row r="183" spans="1:44" x14ac:dyDescent="0.3">
      <c r="A183" s="965"/>
      <c r="B183" s="988"/>
      <c r="C183" s="155">
        <v>9</v>
      </c>
      <c r="D183" s="153" t="s">
        <v>50</v>
      </c>
      <c r="E183" s="153">
        <v>2021</v>
      </c>
      <c r="F183" s="698" t="s">
        <v>19</v>
      </c>
      <c r="G183" s="154">
        <v>600</v>
      </c>
      <c r="H183" s="107">
        <f t="shared" ref="H183:H184" si="397">G183+((I183-G183)/(2030-2020))*(2025-2020)</f>
        <v>541.66666666666674</v>
      </c>
      <c r="I183" s="107">
        <f>G183+((L183-G183)/(2050-2020))*(2030-2020)</f>
        <v>483.33333333333337</v>
      </c>
      <c r="J183" s="107">
        <f t="shared" ref="J183:J184" si="398">I183+((L183-I183)/(2050-2030))*(2040-2030)</f>
        <v>366.66666666666669</v>
      </c>
      <c r="K183" s="107">
        <f t="shared" ref="K183:K184" si="399">J183+((L183-J183)/(2050-2040))*(2045-2040)</f>
        <v>308.33333333333337</v>
      </c>
      <c r="L183" s="154">
        <v>250</v>
      </c>
      <c r="M183" s="107">
        <v>250</v>
      </c>
      <c r="N183" s="158">
        <f>18*$BE$7</f>
        <v>10.493381762865491</v>
      </c>
      <c r="O183" s="107">
        <f t="shared" ref="O183:O184" si="400">N183+((P183-N183)/(2030-2020))*(2025-2020)</f>
        <v>9.5217723403779466</v>
      </c>
      <c r="P183" s="107">
        <f>N183+((S183-N183)/(2050-2020))*(2030-2020)</f>
        <v>8.5501629178904004</v>
      </c>
      <c r="Q183" s="107">
        <f t="shared" ref="Q183:Q184" si="401">P183+((S183-P183)/(2050-2030))*(2040-2030)</f>
        <v>6.6069440729153097</v>
      </c>
      <c r="R183" s="107">
        <f t="shared" ref="R183:R184" si="402">Q183+((S183-Q183)/(2050-2040))*(2045-2040)</f>
        <v>5.6353346504277635</v>
      </c>
      <c r="S183" s="154">
        <f>8*$BE$7</f>
        <v>4.6637252279402182</v>
      </c>
      <c r="T183" s="107">
        <v>8</v>
      </c>
      <c r="U183" s="155"/>
      <c r="V183" s="153"/>
      <c r="W183" s="153"/>
      <c r="X183" s="153"/>
      <c r="Y183" s="154"/>
      <c r="Z183" s="153"/>
      <c r="AA183" s="154"/>
      <c r="AB183" s="155"/>
      <c r="AC183" s="153"/>
      <c r="AD183" s="153"/>
      <c r="AE183" s="153"/>
      <c r="AF183" s="161"/>
      <c r="AG183" s="161"/>
      <c r="AH183" s="161"/>
      <c r="AI183" s="155"/>
      <c r="AJ183" s="153"/>
      <c r="AK183" s="153"/>
      <c r="AL183" s="153"/>
      <c r="AM183" s="161"/>
      <c r="AN183" s="153"/>
      <c r="AO183" s="161"/>
      <c r="AP183" s="155"/>
      <c r="AQ183" s="157"/>
      <c r="AR183" s="104"/>
    </row>
    <row r="184" spans="1:44" x14ac:dyDescent="0.3">
      <c r="A184" s="965"/>
      <c r="B184" s="988"/>
      <c r="C184" s="155">
        <v>2</v>
      </c>
      <c r="D184" s="153" t="s">
        <v>23</v>
      </c>
      <c r="E184" s="153">
        <v>2019</v>
      </c>
      <c r="F184" s="698" t="s">
        <v>19</v>
      </c>
      <c r="G184" s="154">
        <f>845/1.1297</f>
        <v>747.98619102416581</v>
      </c>
      <c r="H184" s="107">
        <f t="shared" si="397"/>
        <v>699.30069930069931</v>
      </c>
      <c r="I184" s="154">
        <f>735/1.1297</f>
        <v>650.61520757723292</v>
      </c>
      <c r="J184" s="107">
        <f t="shared" si="398"/>
        <v>575.37399309551211</v>
      </c>
      <c r="K184" s="107">
        <f t="shared" si="399"/>
        <v>537.7533858546517</v>
      </c>
      <c r="L184" s="154">
        <f>565/1.1297</f>
        <v>500.13277861379129</v>
      </c>
      <c r="M184" s="107">
        <f>K184+((L184-K184)/(2050-2045))*(2060-2045)</f>
        <v>424.89156413207047</v>
      </c>
      <c r="N184" s="158">
        <f>G184*0.04*$BE$7</f>
        <v>17.442010346151566</v>
      </c>
      <c r="O184" s="107">
        <f t="shared" si="400"/>
        <v>16.306731566224542</v>
      </c>
      <c r="P184" s="154">
        <f>I184*0.04*$BE$7</f>
        <v>15.171452786297515</v>
      </c>
      <c r="Q184" s="107">
        <f t="shared" si="401"/>
        <v>13.416931035501204</v>
      </c>
      <c r="R184" s="107">
        <f t="shared" si="402"/>
        <v>12.539670160103048</v>
      </c>
      <c r="S184" s="154">
        <f>L184*0.04*$BE$7</f>
        <v>11.662409284704893</v>
      </c>
      <c r="T184" s="107">
        <f>R184+((S184-R184)/(2050-2045))*(2060-2045)</f>
        <v>9.9078875339085819</v>
      </c>
      <c r="U184" s="155"/>
      <c r="V184" s="153"/>
      <c r="W184" s="153"/>
      <c r="X184" s="153"/>
      <c r="Y184" s="154"/>
      <c r="Z184" s="153"/>
      <c r="AA184" s="154"/>
      <c r="AB184" s="155">
        <v>30</v>
      </c>
      <c r="AC184" s="297">
        <v>30</v>
      </c>
      <c r="AD184" s="153">
        <v>30</v>
      </c>
      <c r="AE184" s="297">
        <v>30</v>
      </c>
      <c r="AF184" s="378">
        <f>AE184+((AG184-AE184)/(2050-2040))*(2045-2040)</f>
        <v>30</v>
      </c>
      <c r="AG184" s="161">
        <v>30</v>
      </c>
      <c r="AH184" s="386">
        <f>AF184+((AG184-AF184)/(2050-2045))*(2060-2045)</f>
        <v>30</v>
      </c>
      <c r="AI184" s="155">
        <v>77</v>
      </c>
      <c r="AJ184" s="297">
        <v>77</v>
      </c>
      <c r="AK184" s="153">
        <v>77</v>
      </c>
      <c r="AL184" s="297">
        <v>77</v>
      </c>
      <c r="AM184" s="386">
        <f>AL184+((AN184-AL184)/(2050-2040))*(2045-2040)</f>
        <v>77</v>
      </c>
      <c r="AN184" s="153">
        <v>77</v>
      </c>
      <c r="AO184" s="378">
        <f>AM184+((AN184-AM184)/(2050-2045))*(2060-2045)</f>
        <v>77</v>
      </c>
      <c r="AP184" s="155"/>
      <c r="AQ184" s="157"/>
      <c r="AR184" s="104"/>
    </row>
    <row r="185" spans="1:44" x14ac:dyDescent="0.3">
      <c r="A185" s="965"/>
      <c r="B185" s="699" t="s">
        <v>267</v>
      </c>
      <c r="C185" s="175"/>
      <c r="D185" s="168"/>
      <c r="E185" s="168"/>
      <c r="F185" s="178"/>
      <c r="G185" s="170">
        <f t="shared" ref="G185:T185" si="403">MIN(G182:G184)</f>
        <v>600</v>
      </c>
      <c r="H185" s="170">
        <f t="shared" si="403"/>
        <v>541.66666666666674</v>
      </c>
      <c r="I185" s="170">
        <f t="shared" si="403"/>
        <v>483.33333333333337</v>
      </c>
      <c r="J185" s="170">
        <f t="shared" si="403"/>
        <v>366.66666666666669</v>
      </c>
      <c r="K185" s="170">
        <f t="shared" si="403"/>
        <v>308.33333333333337</v>
      </c>
      <c r="L185" s="170">
        <f t="shared" si="403"/>
        <v>250</v>
      </c>
      <c r="M185" s="170">
        <f t="shared" si="403"/>
        <v>250</v>
      </c>
      <c r="N185" s="169">
        <f t="shared" si="403"/>
        <v>10.493381762865491</v>
      </c>
      <c r="O185" s="170">
        <f t="shared" si="403"/>
        <v>9.5217723403779466</v>
      </c>
      <c r="P185" s="170">
        <f t="shared" si="403"/>
        <v>8.5501629178904004</v>
      </c>
      <c r="Q185" s="170">
        <f t="shared" si="403"/>
        <v>6.6069440729153097</v>
      </c>
      <c r="R185" s="170">
        <f t="shared" si="403"/>
        <v>5.6353346504277635</v>
      </c>
      <c r="S185" s="170">
        <f t="shared" si="403"/>
        <v>4.6637252279402182</v>
      </c>
      <c r="T185" s="170">
        <f t="shared" si="403"/>
        <v>7.1103154825176507</v>
      </c>
      <c r="U185" s="175"/>
      <c r="V185" s="168"/>
      <c r="W185" s="168"/>
      <c r="X185" s="168"/>
      <c r="Y185" s="170"/>
      <c r="Z185" s="168"/>
      <c r="AA185" s="170"/>
      <c r="AB185" s="175">
        <f t="shared" ref="AB185:AO185" si="404">MIN(AB182:AB184)</f>
        <v>20</v>
      </c>
      <c r="AC185" s="168">
        <f t="shared" si="404"/>
        <v>20</v>
      </c>
      <c r="AD185" s="168">
        <f t="shared" si="404"/>
        <v>20</v>
      </c>
      <c r="AE185" s="168">
        <f t="shared" si="404"/>
        <v>20</v>
      </c>
      <c r="AF185" s="176">
        <f t="shared" si="404"/>
        <v>20</v>
      </c>
      <c r="AG185" s="176">
        <f t="shared" si="404"/>
        <v>20</v>
      </c>
      <c r="AH185" s="176">
        <f t="shared" si="404"/>
        <v>20</v>
      </c>
      <c r="AI185" s="175">
        <f t="shared" si="404"/>
        <v>77</v>
      </c>
      <c r="AJ185" s="168">
        <f t="shared" si="404"/>
        <v>77</v>
      </c>
      <c r="AK185" s="168">
        <f t="shared" si="404"/>
        <v>77</v>
      </c>
      <c r="AL185" s="168">
        <f t="shared" si="404"/>
        <v>77</v>
      </c>
      <c r="AM185" s="168">
        <f t="shared" si="404"/>
        <v>77</v>
      </c>
      <c r="AN185" s="168">
        <f t="shared" si="404"/>
        <v>77</v>
      </c>
      <c r="AO185" s="168">
        <f t="shared" si="404"/>
        <v>77</v>
      </c>
      <c r="AP185" s="175"/>
      <c r="AQ185" s="178"/>
      <c r="AR185" s="104"/>
    </row>
    <row r="186" spans="1:44" x14ac:dyDescent="0.3">
      <c r="A186" s="965"/>
      <c r="B186" s="700" t="s">
        <v>268</v>
      </c>
      <c r="C186" s="187"/>
      <c r="D186" s="180"/>
      <c r="E186" s="180"/>
      <c r="F186" s="190"/>
      <c r="G186" s="182">
        <f t="shared" ref="G186:T186" si="405">MEDIAN(G182:G184)</f>
        <v>718.95</v>
      </c>
      <c r="H186" s="182">
        <f t="shared" si="405"/>
        <v>673.78</v>
      </c>
      <c r="I186" s="182">
        <f t="shared" si="405"/>
        <v>628.6</v>
      </c>
      <c r="J186" s="182">
        <f t="shared" si="405"/>
        <v>554.59</v>
      </c>
      <c r="K186" s="182">
        <f t="shared" si="405"/>
        <v>517.59</v>
      </c>
      <c r="L186" s="182">
        <f t="shared" si="405"/>
        <v>480.58</v>
      </c>
      <c r="M186" s="182">
        <f t="shared" si="405"/>
        <v>406.55999999999989</v>
      </c>
      <c r="N186" s="181">
        <f t="shared" si="405"/>
        <v>12.573694697353574</v>
      </c>
      <c r="O186" s="182">
        <f t="shared" si="405"/>
        <v>11.78371794030585</v>
      </c>
      <c r="P186" s="182">
        <f t="shared" si="405"/>
        <v>10.993566293562079</v>
      </c>
      <c r="Q186" s="182">
        <f t="shared" si="405"/>
        <v>9.6992076531126195</v>
      </c>
      <c r="R186" s="182">
        <f t="shared" si="405"/>
        <v>9.0521157777359171</v>
      </c>
      <c r="S186" s="182">
        <f t="shared" si="405"/>
        <v>8.4048490126631616</v>
      </c>
      <c r="T186" s="182">
        <f t="shared" si="405"/>
        <v>8</v>
      </c>
      <c r="U186" s="187"/>
      <c r="V186" s="180"/>
      <c r="W186" s="180"/>
      <c r="X186" s="180"/>
      <c r="Y186" s="182"/>
      <c r="Z186" s="180"/>
      <c r="AA186" s="182"/>
      <c r="AB186" s="187">
        <f t="shared" ref="AB186:AO186" si="406">MEDIAN(AB182:AB184)</f>
        <v>25</v>
      </c>
      <c r="AC186" s="180">
        <f t="shared" si="406"/>
        <v>25</v>
      </c>
      <c r="AD186" s="180">
        <f t="shared" si="406"/>
        <v>25</v>
      </c>
      <c r="AE186" s="180">
        <f t="shared" si="406"/>
        <v>25</v>
      </c>
      <c r="AF186" s="199">
        <f t="shared" si="406"/>
        <v>25</v>
      </c>
      <c r="AG186" s="199">
        <f t="shared" si="406"/>
        <v>25</v>
      </c>
      <c r="AH186" s="199">
        <f t="shared" si="406"/>
        <v>25</v>
      </c>
      <c r="AI186" s="187">
        <f t="shared" si="406"/>
        <v>78.5</v>
      </c>
      <c r="AJ186" s="180">
        <f t="shared" si="406"/>
        <v>78.5</v>
      </c>
      <c r="AK186" s="180">
        <f t="shared" si="406"/>
        <v>78.5</v>
      </c>
      <c r="AL186" s="180">
        <f t="shared" si="406"/>
        <v>78.5</v>
      </c>
      <c r="AM186" s="180">
        <f t="shared" si="406"/>
        <v>78.5</v>
      </c>
      <c r="AN186" s="180">
        <f t="shared" si="406"/>
        <v>78.5</v>
      </c>
      <c r="AO186" s="180">
        <f t="shared" si="406"/>
        <v>78.5</v>
      </c>
      <c r="AP186" s="187"/>
      <c r="AQ186" s="190"/>
      <c r="AR186" s="104"/>
    </row>
    <row r="187" spans="1:44" x14ac:dyDescent="0.3">
      <c r="A187" s="965"/>
      <c r="B187" s="701" t="s">
        <v>269</v>
      </c>
      <c r="C187" s="198"/>
      <c r="D187" s="192"/>
      <c r="E187" s="192"/>
      <c r="F187" s="201"/>
      <c r="G187" s="194">
        <f t="shared" ref="G187:T187" si="407">MAX(G182:G184)</f>
        <v>747.98619102416581</v>
      </c>
      <c r="H187" s="194">
        <f t="shared" si="407"/>
        <v>699.30069930069931</v>
      </c>
      <c r="I187" s="194">
        <f t="shared" si="407"/>
        <v>650.61520757723292</v>
      </c>
      <c r="J187" s="194">
        <f t="shared" si="407"/>
        <v>575.37399309551211</v>
      </c>
      <c r="K187" s="194">
        <f t="shared" si="407"/>
        <v>537.7533858546517</v>
      </c>
      <c r="L187" s="194">
        <f t="shared" si="407"/>
        <v>500.13277861379129</v>
      </c>
      <c r="M187" s="194">
        <f t="shared" si="407"/>
        <v>424.89156413207047</v>
      </c>
      <c r="N187" s="193">
        <f t="shared" si="407"/>
        <v>17.442010346151566</v>
      </c>
      <c r="O187" s="194">
        <f t="shared" si="407"/>
        <v>16.306731566224542</v>
      </c>
      <c r="P187" s="194">
        <f t="shared" si="407"/>
        <v>15.171452786297515</v>
      </c>
      <c r="Q187" s="194">
        <f t="shared" si="407"/>
        <v>13.416931035501204</v>
      </c>
      <c r="R187" s="194">
        <f t="shared" si="407"/>
        <v>12.539670160103048</v>
      </c>
      <c r="S187" s="194">
        <f t="shared" si="407"/>
        <v>11.662409284704893</v>
      </c>
      <c r="T187" s="194">
        <f t="shared" si="407"/>
        <v>9.9078875339085819</v>
      </c>
      <c r="U187" s="198"/>
      <c r="V187" s="192"/>
      <c r="W187" s="192"/>
      <c r="X187" s="192"/>
      <c r="Y187" s="194"/>
      <c r="Z187" s="192"/>
      <c r="AA187" s="194"/>
      <c r="AB187" s="198">
        <f t="shared" ref="AB187:AO187" si="408">MAX(AB182:AB184)</f>
        <v>30</v>
      </c>
      <c r="AC187" s="192">
        <f t="shared" si="408"/>
        <v>30</v>
      </c>
      <c r="AD187" s="192">
        <f t="shared" si="408"/>
        <v>30</v>
      </c>
      <c r="AE187" s="192">
        <f t="shared" si="408"/>
        <v>30</v>
      </c>
      <c r="AF187" s="702">
        <f t="shared" si="408"/>
        <v>30</v>
      </c>
      <c r="AG187" s="702">
        <f t="shared" si="408"/>
        <v>30</v>
      </c>
      <c r="AH187" s="702">
        <f t="shared" si="408"/>
        <v>30</v>
      </c>
      <c r="AI187" s="198">
        <f t="shared" si="408"/>
        <v>80</v>
      </c>
      <c r="AJ187" s="192">
        <f t="shared" si="408"/>
        <v>80</v>
      </c>
      <c r="AK187" s="192">
        <f t="shared" si="408"/>
        <v>80</v>
      </c>
      <c r="AL187" s="192">
        <f t="shared" si="408"/>
        <v>80</v>
      </c>
      <c r="AM187" s="192">
        <f t="shared" si="408"/>
        <v>80</v>
      </c>
      <c r="AN187" s="192">
        <f t="shared" si="408"/>
        <v>80</v>
      </c>
      <c r="AO187" s="192">
        <f t="shared" si="408"/>
        <v>80</v>
      </c>
      <c r="AP187" s="198"/>
      <c r="AQ187" s="201"/>
      <c r="AR187" s="104"/>
    </row>
    <row r="188" spans="1:44" ht="15" customHeight="1" x14ac:dyDescent="0.3">
      <c r="A188" s="965"/>
      <c r="B188" s="989" t="s">
        <v>61</v>
      </c>
      <c r="C188" s="205">
        <v>2</v>
      </c>
      <c r="D188" s="202" t="s">
        <v>23</v>
      </c>
      <c r="E188" s="202">
        <v>2019</v>
      </c>
      <c r="F188" s="703" t="s">
        <v>19</v>
      </c>
      <c r="G188" s="204"/>
      <c r="H188" s="204"/>
      <c r="I188" s="204"/>
      <c r="J188" s="204"/>
      <c r="K188" s="204"/>
      <c r="L188" s="204"/>
      <c r="M188" s="204"/>
      <c r="N188" s="480">
        <f>G188*0.015*$BE$7</f>
        <v>0</v>
      </c>
      <c r="O188" s="93">
        <f t="shared" ref="O188:O190" si="409">P188+((Q188-P188)/(2040-2030))*(2025-2030)</f>
        <v>0</v>
      </c>
      <c r="P188" s="204">
        <f>I188*0.015*$BE$7</f>
        <v>0</v>
      </c>
      <c r="Q188" s="93">
        <f>S188+((U188-S188)/(2050-2030))*(2040-2030)</f>
        <v>0</v>
      </c>
      <c r="R188" s="93">
        <f t="shared" ref="R188:R190" si="410">Q188+((S188-Q188)/(2050-2040))*(2045-2040)</f>
        <v>0</v>
      </c>
      <c r="S188" s="204">
        <f>L188*0.015*$BE$7</f>
        <v>0</v>
      </c>
      <c r="T188" s="93">
        <f>R188+((S188-R188)/(2050-2045))*(2060-2045)</f>
        <v>0</v>
      </c>
      <c r="U188" s="205"/>
      <c r="V188" s="202"/>
      <c r="W188" s="202"/>
      <c r="X188" s="202"/>
      <c r="Y188" s="204"/>
      <c r="Z188" s="202"/>
      <c r="AA188" s="204"/>
      <c r="AB188" s="205"/>
      <c r="AC188" s="202"/>
      <c r="AD188" s="202"/>
      <c r="AE188" s="202"/>
      <c r="AF188" s="207"/>
      <c r="AG188" s="207"/>
      <c r="AH188" s="207"/>
      <c r="AI188" s="205"/>
      <c r="AJ188" s="202"/>
      <c r="AK188" s="202"/>
      <c r="AL188" s="202"/>
      <c r="AM188" s="204"/>
      <c r="AN188" s="202"/>
      <c r="AO188" s="207"/>
      <c r="AP188" s="205"/>
      <c r="AQ188" s="21"/>
      <c r="AR188" s="104"/>
    </row>
    <row r="189" spans="1:44" x14ac:dyDescent="0.3">
      <c r="A189" s="965"/>
      <c r="B189" s="990"/>
      <c r="C189" s="210">
        <v>11</v>
      </c>
      <c r="D189" s="208" t="s">
        <v>57</v>
      </c>
      <c r="E189" s="208">
        <v>2022</v>
      </c>
      <c r="F189" s="704" t="s">
        <v>19</v>
      </c>
      <c r="G189" s="107">
        <f t="shared" ref="G189:G190" si="411">H189+((I189-H189)/(2030-2025))*(2020-2025)</f>
        <v>1296.2712437642681</v>
      </c>
      <c r="H189" s="107">
        <f t="shared" ref="H189:H190" si="412">I189+((J189-I189)/(2040-2030))*(2025-2030)</f>
        <v>1065.4012006425974</v>
      </c>
      <c r="I189" s="209">
        <f>(987)/1.1827</f>
        <v>834.53115752092663</v>
      </c>
      <c r="J189" s="209">
        <f>(440.9)/1.1827</f>
        <v>372.79107127758516</v>
      </c>
      <c r="K189" s="107">
        <f t="shared" ref="K189:K190" si="413">J189+((L189-J189)/(2050-2040))*(2045-2040)</f>
        <v>310.13782024181955</v>
      </c>
      <c r="L189" s="209">
        <f>(292.7)/1.1827</f>
        <v>247.48456920605392</v>
      </c>
      <c r="M189" s="107">
        <v>247.48</v>
      </c>
      <c r="N189" s="106">
        <f t="shared" ref="N189:N190" si="414">O189+((P189-O189)/(2030-2025))*(2020-2025)</f>
        <v>15.113632254492153</v>
      </c>
      <c r="O189" s="107">
        <f t="shared" si="409"/>
        <v>12.421846143286698</v>
      </c>
      <c r="P189" s="209">
        <f t="shared" ref="P189:P190" si="415">I189*0.02*$BE$7</f>
        <v>9.7300600320812443</v>
      </c>
      <c r="Q189" s="209">
        <f t="shared" ref="Q189:Q190" si="416">J189*0.02*$BE$7</f>
        <v>4.346487809670335</v>
      </c>
      <c r="R189" s="107">
        <f t="shared" si="410"/>
        <v>3.6159939410004056</v>
      </c>
      <c r="S189" s="209">
        <f t="shared" ref="S189:S190" si="417">L189*0.02*$BE$7</f>
        <v>2.8855000723304762</v>
      </c>
      <c r="T189" s="107">
        <v>4.95</v>
      </c>
      <c r="U189" s="210"/>
      <c r="V189" s="208"/>
      <c r="W189" s="208"/>
      <c r="X189" s="208"/>
      <c r="Y189" s="209"/>
      <c r="Z189" s="208"/>
      <c r="AA189" s="209"/>
      <c r="AB189" s="210"/>
      <c r="AC189" s="208"/>
      <c r="AD189" s="208"/>
      <c r="AE189" s="208"/>
      <c r="AF189" s="213"/>
      <c r="AG189" s="213"/>
      <c r="AH189" s="213"/>
      <c r="AI189" s="106">
        <f t="shared" ref="AI189:AI190" si="418">AJ189+((AK189-AJ189)/(2030-2025))*(2020-2025)</f>
        <v>88</v>
      </c>
      <c r="AJ189" s="297">
        <f t="shared" ref="AJ189:AJ190" si="419">AK189+((AL189-AK189)/(2040-2030))*(2025-2030)</f>
        <v>88</v>
      </c>
      <c r="AK189" s="208">
        <v>88</v>
      </c>
      <c r="AL189" s="208">
        <v>88</v>
      </c>
      <c r="AM189" s="378">
        <f t="shared" ref="AM189:AM190" si="420">AL189+((AN189-AL189)/(2050-2040))*(2045-2040)</f>
        <v>88</v>
      </c>
      <c r="AN189" s="208">
        <v>88</v>
      </c>
      <c r="AO189" s="378">
        <f t="shared" ref="AO189:AO190" si="421">AM189+((AN189-AM189)/(2050-2045))*(2060-2045)</f>
        <v>88</v>
      </c>
      <c r="AP189" s="210"/>
      <c r="AQ189" s="24"/>
      <c r="AR189" t="s">
        <v>390</v>
      </c>
    </row>
    <row r="190" spans="1:44" x14ac:dyDescent="0.3">
      <c r="A190" s="965"/>
      <c r="B190" s="990"/>
      <c r="C190" s="210">
        <v>11</v>
      </c>
      <c r="D190" s="208" t="s">
        <v>57</v>
      </c>
      <c r="E190" s="208">
        <v>2022</v>
      </c>
      <c r="F190" s="704" t="s">
        <v>19</v>
      </c>
      <c r="G190" s="107">
        <f t="shared" si="411"/>
        <v>2592.4579352329415</v>
      </c>
      <c r="H190" s="107">
        <f t="shared" si="412"/>
        <v>2130.7178489896</v>
      </c>
      <c r="I190" s="209">
        <f>(1973.9)/1.1827</f>
        <v>1668.9777627462586</v>
      </c>
      <c r="J190" s="209">
        <f>(881.7)/1.1827</f>
        <v>745.49759025957553</v>
      </c>
      <c r="K190" s="107">
        <f t="shared" si="413"/>
        <v>620.23336433584166</v>
      </c>
      <c r="L190" s="209">
        <f>(585.4)/1.1827</f>
        <v>494.96913841210784</v>
      </c>
      <c r="M190" s="107">
        <v>494.97</v>
      </c>
      <c r="N190" s="106">
        <f t="shared" si="414"/>
        <v>30.2262786872992</v>
      </c>
      <c r="O190" s="107">
        <f t="shared" si="409"/>
        <v>24.842706464888288</v>
      </c>
      <c r="P190" s="209">
        <f t="shared" si="415"/>
        <v>19.459134242477376</v>
      </c>
      <c r="Q190" s="209">
        <f t="shared" si="416"/>
        <v>8.6919897976555553</v>
      </c>
      <c r="R190" s="107">
        <f t="shared" si="410"/>
        <v>7.2314949711582539</v>
      </c>
      <c r="S190" s="209">
        <f t="shared" si="417"/>
        <v>5.7710001446609525</v>
      </c>
      <c r="T190" s="107">
        <v>9.9</v>
      </c>
      <c r="U190" s="210"/>
      <c r="V190" s="208"/>
      <c r="W190" s="208"/>
      <c r="X190" s="208"/>
      <c r="Y190" s="209"/>
      <c r="Z190" s="208"/>
      <c r="AA190" s="209"/>
      <c r="AB190" s="210"/>
      <c r="AC190" s="208"/>
      <c r="AD190" s="208"/>
      <c r="AE190" s="208"/>
      <c r="AF190" s="213"/>
      <c r="AG190" s="213"/>
      <c r="AH190" s="213"/>
      <c r="AI190" s="106">
        <f t="shared" si="418"/>
        <v>87</v>
      </c>
      <c r="AJ190" s="297">
        <f t="shared" si="419"/>
        <v>87</v>
      </c>
      <c r="AK190" s="208">
        <v>87</v>
      </c>
      <c r="AL190" s="208">
        <v>87</v>
      </c>
      <c r="AM190" s="378">
        <f t="shared" si="420"/>
        <v>87</v>
      </c>
      <c r="AN190" s="208">
        <v>87</v>
      </c>
      <c r="AO190" s="378">
        <f t="shared" si="421"/>
        <v>87</v>
      </c>
      <c r="AP190" s="210"/>
      <c r="AQ190" s="24"/>
      <c r="AR190" t="s">
        <v>391</v>
      </c>
    </row>
    <row r="191" spans="1:44" x14ac:dyDescent="0.3">
      <c r="A191" s="965"/>
      <c r="B191" s="991"/>
      <c r="C191" s="216">
        <v>4</v>
      </c>
      <c r="D191" s="214" t="s">
        <v>31</v>
      </c>
      <c r="E191" s="214">
        <v>2022</v>
      </c>
      <c r="F191" s="705" t="s">
        <v>19</v>
      </c>
      <c r="G191" s="215">
        <f>1586.29</f>
        <v>1586.29</v>
      </c>
      <c r="H191" s="215">
        <v>1441.86</v>
      </c>
      <c r="I191" s="215">
        <v>1297.43</v>
      </c>
      <c r="J191" s="215">
        <v>1061.17</v>
      </c>
      <c r="K191" s="215">
        <v>937.36</v>
      </c>
      <c r="L191" s="215">
        <v>813.55</v>
      </c>
      <c r="M191" s="107">
        <f>K191+((L191-K191)/(2050-2045))*(2060-2045)</f>
        <v>565.92999999999984</v>
      </c>
      <c r="N191" s="597">
        <f>G191*0.03*$BE$7</f>
        <v>27.74257759435983</v>
      </c>
      <c r="O191" s="215">
        <f>H191*0.03*$BE$7</f>
        <v>25.216645714342057</v>
      </c>
      <c r="P191" s="215">
        <f>I191*0.03</f>
        <v>38.922899999999998</v>
      </c>
      <c r="Q191" s="215">
        <f>J191*0.03*$BE$7</f>
        <v>18.558769875499955</v>
      </c>
      <c r="R191" s="215">
        <f>K191*0.03*$BE$7</f>
        <v>16.393460548732659</v>
      </c>
      <c r="S191" s="215">
        <f>L191*0.03*$BE$7</f>
        <v>14.228151221965366</v>
      </c>
      <c r="T191" s="122">
        <f>R191+((S191-R191)/(2050-2045))*(2060-2045)</f>
        <v>9.8975325684307798</v>
      </c>
      <c r="U191" s="216">
        <v>0.02</v>
      </c>
      <c r="V191" s="214">
        <v>0.02</v>
      </c>
      <c r="W191" s="214">
        <v>0.02</v>
      </c>
      <c r="X191" s="214">
        <v>0.02</v>
      </c>
      <c r="Y191" s="215">
        <v>0.02</v>
      </c>
      <c r="Z191" s="214">
        <v>0.02</v>
      </c>
      <c r="AA191" s="122">
        <f>Y191+((Z191-Y191)/(2050-2045))*(2060-2045)</f>
        <v>0.02</v>
      </c>
      <c r="AB191" s="216">
        <v>30</v>
      </c>
      <c r="AC191" s="214">
        <v>30</v>
      </c>
      <c r="AD191" s="214">
        <v>30</v>
      </c>
      <c r="AE191" s="214">
        <v>30</v>
      </c>
      <c r="AF191" s="660">
        <v>30</v>
      </c>
      <c r="AG191" s="660">
        <v>30</v>
      </c>
      <c r="AH191" s="386">
        <f>AF191+((AG191-AF191)/(2050-2045))*(2060-2045)</f>
        <v>30</v>
      </c>
      <c r="AI191" s="597"/>
      <c r="AJ191" s="214"/>
      <c r="AK191" s="214"/>
      <c r="AL191" s="214"/>
      <c r="AM191" s="215"/>
      <c r="AN191" s="214"/>
      <c r="AO191" s="215"/>
      <c r="AP191" s="216"/>
      <c r="AQ191" s="27"/>
      <c r="AR191" t="s">
        <v>392</v>
      </c>
    </row>
    <row r="192" spans="1:44" x14ac:dyDescent="0.3">
      <c r="A192" s="965"/>
      <c r="B192" s="706" t="s">
        <v>267</v>
      </c>
      <c r="C192" s="229"/>
      <c r="D192" s="225"/>
      <c r="E192" s="225"/>
      <c r="F192" s="230"/>
      <c r="G192" s="220">
        <f>MIN(G188:G191)</f>
        <v>1296.2712437642681</v>
      </c>
      <c r="H192" s="220">
        <f t="shared" ref="H192:AO192" si="422">MIN(H188:H191)</f>
        <v>1065.4012006425974</v>
      </c>
      <c r="I192" s="220">
        <f t="shared" si="422"/>
        <v>834.53115752092663</v>
      </c>
      <c r="J192" s="220">
        <f t="shared" si="422"/>
        <v>372.79107127758516</v>
      </c>
      <c r="K192" s="220">
        <f t="shared" si="422"/>
        <v>310.13782024181955</v>
      </c>
      <c r="L192" s="220">
        <f t="shared" si="422"/>
        <v>247.48456920605392</v>
      </c>
      <c r="M192" s="220">
        <f t="shared" si="422"/>
        <v>247.48</v>
      </c>
      <c r="N192" s="219">
        <f t="shared" si="422"/>
        <v>0</v>
      </c>
      <c r="O192" s="220">
        <f t="shared" si="422"/>
        <v>0</v>
      </c>
      <c r="P192" s="220">
        <f t="shared" si="422"/>
        <v>0</v>
      </c>
      <c r="Q192" s="220">
        <f t="shared" si="422"/>
        <v>0</v>
      </c>
      <c r="R192" s="220">
        <f t="shared" si="422"/>
        <v>0</v>
      </c>
      <c r="S192" s="220">
        <f t="shared" si="422"/>
        <v>0</v>
      </c>
      <c r="T192" s="220">
        <f t="shared" si="422"/>
        <v>0</v>
      </c>
      <c r="U192" s="222">
        <f t="shared" si="422"/>
        <v>0.02</v>
      </c>
      <c r="V192" s="218">
        <f t="shared" si="422"/>
        <v>0.02</v>
      </c>
      <c r="W192" s="218">
        <f t="shared" si="422"/>
        <v>0.02</v>
      </c>
      <c r="X192" s="218">
        <f t="shared" si="422"/>
        <v>0.02</v>
      </c>
      <c r="Y192" s="218">
        <f t="shared" si="422"/>
        <v>0.02</v>
      </c>
      <c r="Z192" s="218">
        <f t="shared" si="422"/>
        <v>0.02</v>
      </c>
      <c r="AA192" s="218">
        <f t="shared" si="422"/>
        <v>0.02</v>
      </c>
      <c r="AB192" s="222">
        <f t="shared" si="422"/>
        <v>30</v>
      </c>
      <c r="AC192" s="218">
        <f t="shared" si="422"/>
        <v>30</v>
      </c>
      <c r="AD192" s="218">
        <f t="shared" si="422"/>
        <v>30</v>
      </c>
      <c r="AE192" s="218">
        <f t="shared" si="422"/>
        <v>30</v>
      </c>
      <c r="AF192" s="490">
        <f t="shared" si="422"/>
        <v>30</v>
      </c>
      <c r="AG192" s="490">
        <f t="shared" si="422"/>
        <v>30</v>
      </c>
      <c r="AH192" s="490">
        <f t="shared" si="422"/>
        <v>30</v>
      </c>
      <c r="AI192" s="222">
        <f t="shared" si="422"/>
        <v>87</v>
      </c>
      <c r="AJ192" s="218">
        <f t="shared" si="422"/>
        <v>87</v>
      </c>
      <c r="AK192" s="218">
        <f t="shared" si="422"/>
        <v>87</v>
      </c>
      <c r="AL192" s="218">
        <f t="shared" si="422"/>
        <v>87</v>
      </c>
      <c r="AM192" s="218">
        <f t="shared" si="422"/>
        <v>87</v>
      </c>
      <c r="AN192" s="218">
        <f t="shared" si="422"/>
        <v>87</v>
      </c>
      <c r="AO192" s="218">
        <f t="shared" si="422"/>
        <v>87</v>
      </c>
      <c r="AP192" s="222"/>
      <c r="AQ192" s="223"/>
      <c r="AR192" s="104"/>
    </row>
    <row r="193" spans="1:44" ht="16.2" customHeight="1" x14ac:dyDescent="0.3">
      <c r="A193" s="965"/>
      <c r="B193" s="707" t="s">
        <v>268</v>
      </c>
      <c r="C193" s="229"/>
      <c r="D193" s="225"/>
      <c r="E193" s="225"/>
      <c r="F193" s="230"/>
      <c r="G193" s="227">
        <f>MEDIAN(G188:G191)</f>
        <v>1586.29</v>
      </c>
      <c r="H193" s="227">
        <f t="shared" ref="H193:AO193" si="423">MEDIAN(H188:H191)</f>
        <v>1441.86</v>
      </c>
      <c r="I193" s="227">
        <f t="shared" si="423"/>
        <v>1297.43</v>
      </c>
      <c r="J193" s="227">
        <f t="shared" si="423"/>
        <v>745.49759025957553</v>
      </c>
      <c r="K193" s="227">
        <f t="shared" si="423"/>
        <v>620.23336433584166</v>
      </c>
      <c r="L193" s="227">
        <f t="shared" si="423"/>
        <v>494.96913841210784</v>
      </c>
      <c r="M193" s="227">
        <f t="shared" si="423"/>
        <v>494.97</v>
      </c>
      <c r="N193" s="226">
        <f t="shared" si="423"/>
        <v>21.428104924425991</v>
      </c>
      <c r="O193" s="227">
        <f t="shared" si="423"/>
        <v>18.632276304087494</v>
      </c>
      <c r="P193" s="227">
        <f t="shared" si="423"/>
        <v>14.59459713727931</v>
      </c>
      <c r="Q193" s="227">
        <f t="shared" si="423"/>
        <v>6.5192388036629456</v>
      </c>
      <c r="R193" s="227">
        <f t="shared" si="423"/>
        <v>5.42374445607933</v>
      </c>
      <c r="S193" s="227">
        <f t="shared" si="423"/>
        <v>4.3282501084957143</v>
      </c>
      <c r="T193" s="227">
        <f t="shared" si="423"/>
        <v>7.4237662842153895</v>
      </c>
      <c r="U193" s="229">
        <f t="shared" si="423"/>
        <v>0.02</v>
      </c>
      <c r="V193" s="225">
        <f t="shared" si="423"/>
        <v>0.02</v>
      </c>
      <c r="W193" s="225">
        <f t="shared" si="423"/>
        <v>0.02</v>
      </c>
      <c r="X193" s="225">
        <f t="shared" si="423"/>
        <v>0.02</v>
      </c>
      <c r="Y193" s="225">
        <f t="shared" si="423"/>
        <v>0.02</v>
      </c>
      <c r="Z193" s="225">
        <f t="shared" si="423"/>
        <v>0.02</v>
      </c>
      <c r="AA193" s="225">
        <f t="shared" si="423"/>
        <v>0.02</v>
      </c>
      <c r="AB193" s="229">
        <f t="shared" si="423"/>
        <v>30</v>
      </c>
      <c r="AC193" s="225">
        <f t="shared" si="423"/>
        <v>30</v>
      </c>
      <c r="AD193" s="225">
        <f t="shared" si="423"/>
        <v>30</v>
      </c>
      <c r="AE193" s="225">
        <f t="shared" si="423"/>
        <v>30</v>
      </c>
      <c r="AF193" s="494">
        <f t="shared" si="423"/>
        <v>30</v>
      </c>
      <c r="AG193" s="494">
        <f t="shared" si="423"/>
        <v>30</v>
      </c>
      <c r="AH193" s="494">
        <f t="shared" si="423"/>
        <v>30</v>
      </c>
      <c r="AI193" s="229">
        <f t="shared" si="423"/>
        <v>87.5</v>
      </c>
      <c r="AJ193" s="225">
        <f t="shared" si="423"/>
        <v>87.5</v>
      </c>
      <c r="AK193" s="225">
        <f t="shared" si="423"/>
        <v>87.5</v>
      </c>
      <c r="AL193" s="225">
        <f t="shared" si="423"/>
        <v>87.5</v>
      </c>
      <c r="AM193" s="225">
        <f t="shared" si="423"/>
        <v>87.5</v>
      </c>
      <c r="AN193" s="225">
        <f t="shared" si="423"/>
        <v>87.5</v>
      </c>
      <c r="AO193" s="225">
        <f t="shared" si="423"/>
        <v>87.5</v>
      </c>
      <c r="AP193" s="229"/>
      <c r="AQ193" s="230"/>
      <c r="AR193" s="104"/>
    </row>
    <row r="194" spans="1:44" x14ac:dyDescent="0.3">
      <c r="A194" s="965"/>
      <c r="B194" s="708" t="s">
        <v>269</v>
      </c>
      <c r="C194" s="229"/>
      <c r="D194" s="225"/>
      <c r="E194" s="225"/>
      <c r="F194" s="230"/>
      <c r="G194" s="233">
        <f>MAX(G188:G191)</f>
        <v>2592.4579352329415</v>
      </c>
      <c r="H194" s="233">
        <f t="shared" ref="H194:AO194" si="424">MAX(H188:H191)</f>
        <v>2130.7178489896</v>
      </c>
      <c r="I194" s="233">
        <f t="shared" si="424"/>
        <v>1668.9777627462586</v>
      </c>
      <c r="J194" s="233">
        <f t="shared" si="424"/>
        <v>1061.17</v>
      </c>
      <c r="K194" s="233">
        <f t="shared" si="424"/>
        <v>937.36</v>
      </c>
      <c r="L194" s="233">
        <f t="shared" si="424"/>
        <v>813.55</v>
      </c>
      <c r="M194" s="233">
        <f t="shared" si="424"/>
        <v>565.92999999999984</v>
      </c>
      <c r="N194" s="599">
        <f t="shared" si="424"/>
        <v>30.2262786872992</v>
      </c>
      <c r="O194" s="233">
        <f t="shared" si="424"/>
        <v>25.216645714342057</v>
      </c>
      <c r="P194" s="233">
        <f t="shared" si="424"/>
        <v>38.922899999999998</v>
      </c>
      <c r="Q194" s="233">
        <f t="shared" si="424"/>
        <v>18.558769875499955</v>
      </c>
      <c r="R194" s="233">
        <f t="shared" si="424"/>
        <v>16.393460548732659</v>
      </c>
      <c r="S194" s="233">
        <f t="shared" si="424"/>
        <v>14.228151221965366</v>
      </c>
      <c r="T194" s="233">
        <f t="shared" si="424"/>
        <v>9.9</v>
      </c>
      <c r="U194" s="234">
        <f t="shared" si="424"/>
        <v>0.02</v>
      </c>
      <c r="V194" s="232">
        <f t="shared" si="424"/>
        <v>0.02</v>
      </c>
      <c r="W194" s="232">
        <f t="shared" si="424"/>
        <v>0.02</v>
      </c>
      <c r="X194" s="232">
        <f t="shared" si="424"/>
        <v>0.02</v>
      </c>
      <c r="Y194" s="232">
        <f t="shared" si="424"/>
        <v>0.02</v>
      </c>
      <c r="Z194" s="232">
        <f t="shared" si="424"/>
        <v>0.02</v>
      </c>
      <c r="AA194" s="232">
        <f t="shared" si="424"/>
        <v>0.02</v>
      </c>
      <c r="AB194" s="234">
        <f t="shared" si="424"/>
        <v>30</v>
      </c>
      <c r="AC194" s="232">
        <f t="shared" si="424"/>
        <v>30</v>
      </c>
      <c r="AD194" s="232">
        <f t="shared" si="424"/>
        <v>30</v>
      </c>
      <c r="AE194" s="232">
        <f t="shared" si="424"/>
        <v>30</v>
      </c>
      <c r="AF194" s="498">
        <f t="shared" si="424"/>
        <v>30</v>
      </c>
      <c r="AG194" s="498">
        <f t="shared" si="424"/>
        <v>30</v>
      </c>
      <c r="AH194" s="498">
        <f t="shared" si="424"/>
        <v>30</v>
      </c>
      <c r="AI194" s="234">
        <f t="shared" si="424"/>
        <v>88</v>
      </c>
      <c r="AJ194" s="232">
        <f t="shared" si="424"/>
        <v>88</v>
      </c>
      <c r="AK194" s="232">
        <f t="shared" si="424"/>
        <v>88</v>
      </c>
      <c r="AL194" s="232">
        <f t="shared" si="424"/>
        <v>88</v>
      </c>
      <c r="AM194" s="232">
        <f t="shared" si="424"/>
        <v>88</v>
      </c>
      <c r="AN194" s="232">
        <f t="shared" si="424"/>
        <v>88</v>
      </c>
      <c r="AO194" s="232">
        <f t="shared" si="424"/>
        <v>88</v>
      </c>
      <c r="AP194" s="234"/>
      <c r="AQ194" s="235"/>
      <c r="AR194" s="104"/>
    </row>
    <row r="195" spans="1:44" ht="15" customHeight="1" x14ac:dyDescent="0.3">
      <c r="A195" s="965"/>
      <c r="B195" s="989" t="s">
        <v>393</v>
      </c>
      <c r="C195" s="205">
        <v>11</v>
      </c>
      <c r="D195" s="202" t="s">
        <v>57</v>
      </c>
      <c r="E195" s="202">
        <v>2022</v>
      </c>
      <c r="F195" s="703" t="s">
        <v>19</v>
      </c>
      <c r="G195" s="93">
        <f t="shared" ref="G195:G196" si="425">H195+((I195-H195)/(2030-2025))*(2020-2025)</f>
        <v>1061.9768326710068</v>
      </c>
      <c r="H195" s="93">
        <f t="shared" ref="H195:H196" si="426">I195+((J195-I195)/(2040-2030))*(2025-2030)</f>
        <v>862.17975818043442</v>
      </c>
      <c r="I195" s="204">
        <f>(783.4)/1.1827</f>
        <v>662.38268368986212</v>
      </c>
      <c r="J195" s="204">
        <f>(310.8)/1.1827</f>
        <v>262.78853470871735</v>
      </c>
      <c r="K195" s="93">
        <f t="shared" ref="K195:K196" si="427">J195+((L195-J195)/(2050-2040))*(2045-2040)</f>
        <v>215.56607761900733</v>
      </c>
      <c r="L195" s="204">
        <f>(199.1)/1.1827</f>
        <v>168.34362052929734</v>
      </c>
      <c r="M195" s="107">
        <v>168.57</v>
      </c>
      <c r="N195" s="92">
        <f t="shared" ref="N195:N196" si="428">O195+((P195-O195)/(2030-2025))*(2020-2025)</f>
        <v>18.572880547559336</v>
      </c>
      <c r="O195" s="93">
        <f t="shared" ref="O195:O196" si="429">P195+((Q195-P195)/(2040-2030))*(2025-2030)</f>
        <v>15.078635584670584</v>
      </c>
      <c r="P195" s="204">
        <f>I195*0.03*$BE$7</f>
        <v>11.584390621781834</v>
      </c>
      <c r="Q195" s="204">
        <f>J195*0.03*$BE$7</f>
        <v>4.5959006960043327</v>
      </c>
      <c r="R195" s="93">
        <f t="shared" ref="R195:R196" si="430">Q195+((S195-Q195)/(2050-2040))*(2045-2040)</f>
        <v>3.7700285792995638</v>
      </c>
      <c r="S195" s="204">
        <f>L195*0.03*$BE$7</f>
        <v>2.9441564625947954</v>
      </c>
      <c r="T195" s="93">
        <v>5.05</v>
      </c>
      <c r="U195" s="205"/>
      <c r="V195" s="202"/>
      <c r="W195" s="202"/>
      <c r="X195" s="202"/>
      <c r="Y195" s="204"/>
      <c r="Z195" s="202"/>
      <c r="AA195" s="204"/>
      <c r="AB195" s="205"/>
      <c r="AC195" s="202"/>
      <c r="AD195" s="202"/>
      <c r="AE195" s="202"/>
      <c r="AF195" s="207"/>
      <c r="AG195" s="207"/>
      <c r="AH195" s="207"/>
      <c r="AI195" s="92">
        <f t="shared" ref="AI195:AI196" si="431">AJ195+((AK195-AJ195)/(2030-2025))*(2020-2025)</f>
        <v>98</v>
      </c>
      <c r="AJ195" s="100">
        <f t="shared" ref="AJ195:AJ196" si="432">AK195+((AL195-AK195)/(2040-2030))*(2025-2030)</f>
        <v>98</v>
      </c>
      <c r="AK195" s="202">
        <v>98</v>
      </c>
      <c r="AL195" s="202">
        <v>98</v>
      </c>
      <c r="AM195" s="101">
        <f t="shared" ref="AM195:AM196" si="433">AL195+((AN195-AL195)/(2050-2040))*(2045-2040)</f>
        <v>98</v>
      </c>
      <c r="AN195" s="202">
        <v>98</v>
      </c>
      <c r="AO195" s="101">
        <f t="shared" ref="AO195:AO196" si="434">AM195+((AN195-AM195)/(2050-2045))*(2060-2045)</f>
        <v>98</v>
      </c>
      <c r="AP195" s="205"/>
      <c r="AQ195" s="21"/>
      <c r="AR195" t="s">
        <v>390</v>
      </c>
    </row>
    <row r="196" spans="1:44" x14ac:dyDescent="0.3">
      <c r="A196" s="965"/>
      <c r="B196" s="990"/>
      <c r="C196" s="210">
        <v>11</v>
      </c>
      <c r="D196" s="208" t="s">
        <v>57</v>
      </c>
      <c r="E196" s="208">
        <v>2022</v>
      </c>
      <c r="F196" s="704" t="s">
        <v>19</v>
      </c>
      <c r="G196" s="107">
        <f t="shared" si="425"/>
        <v>2066.8808658155067</v>
      </c>
      <c r="H196" s="107">
        <f t="shared" si="426"/>
        <v>1678.0248583749049</v>
      </c>
      <c r="I196" s="209">
        <f>(1524.7)/1.1827</f>
        <v>1289.1688509343028</v>
      </c>
      <c r="J196" s="209">
        <f>(604.9)/1.1827</f>
        <v>511.45683605309881</v>
      </c>
      <c r="K196" s="107">
        <f t="shared" si="427"/>
        <v>405.38598122939038</v>
      </c>
      <c r="L196" s="209">
        <f>(354)/1.1827</f>
        <v>299.31512640568189</v>
      </c>
      <c r="M196" s="107">
        <v>299.32</v>
      </c>
      <c r="N196" s="106">
        <f t="shared" si="428"/>
        <v>48.196822185253502</v>
      </c>
      <c r="O196" s="107">
        <f t="shared" si="429"/>
        <v>39.129234325569278</v>
      </c>
      <c r="P196" s="209">
        <f>I196*0.04*$BE$7</f>
        <v>30.061646465885055</v>
      </c>
      <c r="Q196" s="209">
        <f>J196*0.04*$BE$7</f>
        <v>11.926470746516605</v>
      </c>
      <c r="R196" s="107">
        <f t="shared" si="430"/>
        <v>9.4530441385640387</v>
      </c>
      <c r="S196" s="209">
        <f>L196*0.04*$BE$7</f>
        <v>6.9796175306114705</v>
      </c>
      <c r="T196" s="107">
        <v>11.97</v>
      </c>
      <c r="U196" s="210"/>
      <c r="V196" s="208"/>
      <c r="W196" s="208"/>
      <c r="X196" s="208"/>
      <c r="Y196" s="209"/>
      <c r="Z196" s="208"/>
      <c r="AA196" s="209"/>
      <c r="AB196" s="210"/>
      <c r="AC196" s="208"/>
      <c r="AD196" s="208"/>
      <c r="AE196" s="208"/>
      <c r="AF196" s="213"/>
      <c r="AG196" s="213"/>
      <c r="AH196" s="213"/>
      <c r="AI196" s="106">
        <f t="shared" si="431"/>
        <v>98</v>
      </c>
      <c r="AJ196" s="297">
        <f t="shared" si="432"/>
        <v>98</v>
      </c>
      <c r="AK196" s="208">
        <v>98</v>
      </c>
      <c r="AL196" s="208">
        <v>98</v>
      </c>
      <c r="AM196" s="378">
        <f t="shared" si="433"/>
        <v>98</v>
      </c>
      <c r="AN196" s="208">
        <v>98</v>
      </c>
      <c r="AO196" s="378">
        <f t="shared" si="434"/>
        <v>98</v>
      </c>
      <c r="AP196" s="210"/>
      <c r="AQ196" s="24"/>
      <c r="AR196" t="s">
        <v>391</v>
      </c>
    </row>
    <row r="197" spans="1:44" x14ac:dyDescent="0.3">
      <c r="A197" s="965"/>
      <c r="B197" s="991"/>
      <c r="C197" s="216">
        <v>4</v>
      </c>
      <c r="D197" s="214" t="s">
        <v>31</v>
      </c>
      <c r="E197" s="214">
        <v>2022</v>
      </c>
      <c r="F197" s="705" t="s">
        <v>19</v>
      </c>
      <c r="G197" s="215">
        <v>1062.107</v>
      </c>
      <c r="H197" s="215">
        <v>1062.107</v>
      </c>
      <c r="I197" s="215">
        <v>1062.107</v>
      </c>
      <c r="J197" s="215">
        <v>794.84900000000005</v>
      </c>
      <c r="K197" s="215">
        <v>661.221</v>
      </c>
      <c r="L197" s="215">
        <v>527.59199999999998</v>
      </c>
      <c r="M197" s="107">
        <f>K197+((L197-K197)/(2050-2045))*(2060-2045)</f>
        <v>260.33399999999995</v>
      </c>
      <c r="N197" s="597">
        <f t="shared" ref="N197:S197" si="435">G197*0.043*$BE$7</f>
        <v>26.624391757361469</v>
      </c>
      <c r="O197" s="215">
        <f t="shared" si="435"/>
        <v>26.624391757361469</v>
      </c>
      <c r="P197" s="215">
        <f t="shared" si="435"/>
        <v>26.624391757361469</v>
      </c>
      <c r="Q197" s="215">
        <f t="shared" si="435"/>
        <v>19.924895668653914</v>
      </c>
      <c r="R197" s="215">
        <f t="shared" si="435"/>
        <v>16.575172691823241</v>
      </c>
      <c r="S197" s="215">
        <f t="shared" si="435"/>
        <v>13.225424647469463</v>
      </c>
      <c r="T197" s="122">
        <v>22.69</v>
      </c>
      <c r="U197" s="216"/>
      <c r="V197" s="214"/>
      <c r="W197" s="214"/>
      <c r="X197" s="214"/>
      <c r="Y197" s="215"/>
      <c r="Z197" s="214"/>
      <c r="AA197" s="215"/>
      <c r="AB197" s="216">
        <v>25</v>
      </c>
      <c r="AC197" s="214">
        <v>25</v>
      </c>
      <c r="AD197" s="214">
        <v>25</v>
      </c>
      <c r="AE197" s="214">
        <v>25</v>
      </c>
      <c r="AF197" s="660">
        <v>25</v>
      </c>
      <c r="AG197" s="660">
        <v>25</v>
      </c>
      <c r="AH197" s="386">
        <f>AF197+((AG197-AF197)/(2050-2045))*(2060-2045)</f>
        <v>25</v>
      </c>
      <c r="AI197" s="597"/>
      <c r="AJ197" s="214"/>
      <c r="AK197" s="214"/>
      <c r="AL197" s="214"/>
      <c r="AM197" s="215"/>
      <c r="AN197" s="214"/>
      <c r="AO197" s="215"/>
      <c r="AP197" s="216"/>
      <c r="AQ197" s="27"/>
      <c r="AR197" t="s">
        <v>394</v>
      </c>
    </row>
    <row r="198" spans="1:44" x14ac:dyDescent="0.3">
      <c r="A198" s="965"/>
      <c r="B198" s="706" t="s">
        <v>267</v>
      </c>
      <c r="C198" s="229"/>
      <c r="D198" s="225"/>
      <c r="E198" s="225"/>
      <c r="F198" s="230"/>
      <c r="G198" s="220">
        <f>MIN(G195:G197)</f>
        <v>1061.9768326710068</v>
      </c>
      <c r="H198" s="220">
        <f t="shared" ref="H198:T198" si="436">MIN(H195:H197)</f>
        <v>862.17975818043442</v>
      </c>
      <c r="I198" s="220">
        <f t="shared" si="436"/>
        <v>662.38268368986212</v>
      </c>
      <c r="J198" s="220">
        <f t="shared" si="436"/>
        <v>262.78853470871735</v>
      </c>
      <c r="K198" s="220">
        <f t="shared" si="436"/>
        <v>215.56607761900733</v>
      </c>
      <c r="L198" s="220">
        <f t="shared" si="436"/>
        <v>168.34362052929734</v>
      </c>
      <c r="M198" s="220">
        <f t="shared" si="436"/>
        <v>168.57</v>
      </c>
      <c r="N198" s="219">
        <f t="shared" si="436"/>
        <v>18.572880547559336</v>
      </c>
      <c r="O198" s="220">
        <f t="shared" si="436"/>
        <v>15.078635584670584</v>
      </c>
      <c r="P198" s="220">
        <f t="shared" si="436"/>
        <v>11.584390621781834</v>
      </c>
      <c r="Q198" s="220">
        <f t="shared" si="436"/>
        <v>4.5959006960043327</v>
      </c>
      <c r="R198" s="220">
        <f t="shared" si="436"/>
        <v>3.7700285792995638</v>
      </c>
      <c r="S198" s="220">
        <f t="shared" si="436"/>
        <v>2.9441564625947954</v>
      </c>
      <c r="T198" s="220">
        <f t="shared" si="436"/>
        <v>5.05</v>
      </c>
      <c r="U198" s="222"/>
      <c r="V198" s="218"/>
      <c r="W198" s="218"/>
      <c r="X198" s="218"/>
      <c r="Y198" s="220"/>
      <c r="Z198" s="218"/>
      <c r="AA198" s="220"/>
      <c r="AB198" s="222">
        <f t="shared" ref="AB198:AO198" si="437">MIN(AB195:AB197)</f>
        <v>25</v>
      </c>
      <c r="AC198" s="218">
        <f t="shared" si="437"/>
        <v>25</v>
      </c>
      <c r="AD198" s="218">
        <f t="shared" si="437"/>
        <v>25</v>
      </c>
      <c r="AE198" s="218">
        <f t="shared" si="437"/>
        <v>25</v>
      </c>
      <c r="AF198" s="490">
        <f t="shared" si="437"/>
        <v>25</v>
      </c>
      <c r="AG198" s="490">
        <f t="shared" si="437"/>
        <v>25</v>
      </c>
      <c r="AH198" s="490">
        <f t="shared" si="437"/>
        <v>25</v>
      </c>
      <c r="AI198" s="222">
        <f t="shared" si="437"/>
        <v>98</v>
      </c>
      <c r="AJ198" s="218">
        <f t="shared" si="437"/>
        <v>98</v>
      </c>
      <c r="AK198" s="218">
        <f t="shared" si="437"/>
        <v>98</v>
      </c>
      <c r="AL198" s="218">
        <f t="shared" si="437"/>
        <v>98</v>
      </c>
      <c r="AM198" s="218">
        <f t="shared" si="437"/>
        <v>98</v>
      </c>
      <c r="AN198" s="218">
        <f t="shared" si="437"/>
        <v>98</v>
      </c>
      <c r="AO198" s="218">
        <f t="shared" si="437"/>
        <v>98</v>
      </c>
      <c r="AP198" s="222"/>
      <c r="AQ198" s="223"/>
      <c r="AR198" s="104"/>
    </row>
    <row r="199" spans="1:44" x14ac:dyDescent="0.3">
      <c r="A199" s="965"/>
      <c r="B199" s="707" t="s">
        <v>268</v>
      </c>
      <c r="C199" s="229"/>
      <c r="D199" s="225"/>
      <c r="E199" s="225"/>
      <c r="F199" s="230"/>
      <c r="G199" s="227">
        <f>MEDIAN(G195:G197)</f>
        <v>1062.107</v>
      </c>
      <c r="H199" s="227">
        <f t="shared" ref="H199:T199" si="438">MEDIAN(H195:H197)</f>
        <v>1062.107</v>
      </c>
      <c r="I199" s="227">
        <f t="shared" si="438"/>
        <v>1062.107</v>
      </c>
      <c r="J199" s="227">
        <f t="shared" si="438"/>
        <v>511.45683605309881</v>
      </c>
      <c r="K199" s="227">
        <f t="shared" si="438"/>
        <v>405.38598122939038</v>
      </c>
      <c r="L199" s="227">
        <f t="shared" si="438"/>
        <v>299.31512640568189</v>
      </c>
      <c r="M199" s="227">
        <f t="shared" si="438"/>
        <v>260.33399999999995</v>
      </c>
      <c r="N199" s="226">
        <f t="shared" si="438"/>
        <v>26.624391757361469</v>
      </c>
      <c r="O199" s="227">
        <f t="shared" si="438"/>
        <v>26.624391757361469</v>
      </c>
      <c r="P199" s="227">
        <f t="shared" si="438"/>
        <v>26.624391757361469</v>
      </c>
      <c r="Q199" s="227">
        <f t="shared" si="438"/>
        <v>11.926470746516605</v>
      </c>
      <c r="R199" s="227">
        <f t="shared" si="438"/>
        <v>9.4530441385640387</v>
      </c>
      <c r="S199" s="227">
        <f t="shared" si="438"/>
        <v>6.9796175306114705</v>
      </c>
      <c r="T199" s="227">
        <f t="shared" si="438"/>
        <v>11.97</v>
      </c>
      <c r="U199" s="229"/>
      <c r="V199" s="225"/>
      <c r="W199" s="225"/>
      <c r="X199" s="225"/>
      <c r="Y199" s="227"/>
      <c r="Z199" s="225"/>
      <c r="AA199" s="227"/>
      <c r="AB199" s="229">
        <f t="shared" ref="AB199:AO199" si="439">MEDIAN(AB195:AB197)</f>
        <v>25</v>
      </c>
      <c r="AC199" s="225">
        <f t="shared" si="439"/>
        <v>25</v>
      </c>
      <c r="AD199" s="225">
        <f t="shared" si="439"/>
        <v>25</v>
      </c>
      <c r="AE199" s="225">
        <f t="shared" si="439"/>
        <v>25</v>
      </c>
      <c r="AF199" s="494">
        <f t="shared" si="439"/>
        <v>25</v>
      </c>
      <c r="AG199" s="494">
        <f t="shared" si="439"/>
        <v>25</v>
      </c>
      <c r="AH199" s="494">
        <f t="shared" si="439"/>
        <v>25</v>
      </c>
      <c r="AI199" s="229">
        <f t="shared" si="439"/>
        <v>98</v>
      </c>
      <c r="AJ199" s="225">
        <f t="shared" si="439"/>
        <v>98</v>
      </c>
      <c r="AK199" s="225">
        <f t="shared" si="439"/>
        <v>98</v>
      </c>
      <c r="AL199" s="225">
        <f t="shared" si="439"/>
        <v>98</v>
      </c>
      <c r="AM199" s="225">
        <f t="shared" si="439"/>
        <v>98</v>
      </c>
      <c r="AN199" s="225">
        <f t="shared" si="439"/>
        <v>98</v>
      </c>
      <c r="AO199" s="225">
        <f t="shared" si="439"/>
        <v>98</v>
      </c>
      <c r="AP199" s="229"/>
      <c r="AQ199" s="230"/>
      <c r="AR199" s="104"/>
    </row>
    <row r="200" spans="1:44" x14ac:dyDescent="0.3">
      <c r="A200" s="965"/>
      <c r="B200" s="708" t="s">
        <v>269</v>
      </c>
      <c r="C200" s="229"/>
      <c r="D200" s="225"/>
      <c r="E200" s="225"/>
      <c r="F200" s="230"/>
      <c r="G200" s="233">
        <f>MAX(G195:G197)</f>
        <v>2066.8808658155067</v>
      </c>
      <c r="H200" s="233">
        <f t="shared" ref="H200:T200" si="440">MAX(H195:H197)</f>
        <v>1678.0248583749049</v>
      </c>
      <c r="I200" s="233">
        <f t="shared" si="440"/>
        <v>1289.1688509343028</v>
      </c>
      <c r="J200" s="233">
        <f t="shared" si="440"/>
        <v>794.84900000000005</v>
      </c>
      <c r="K200" s="233">
        <f t="shared" si="440"/>
        <v>661.221</v>
      </c>
      <c r="L200" s="233">
        <f t="shared" si="440"/>
        <v>527.59199999999998</v>
      </c>
      <c r="M200" s="233">
        <f t="shared" si="440"/>
        <v>299.32</v>
      </c>
      <c r="N200" s="599">
        <f t="shared" si="440"/>
        <v>48.196822185253502</v>
      </c>
      <c r="O200" s="233">
        <f t="shared" si="440"/>
        <v>39.129234325569278</v>
      </c>
      <c r="P200" s="233">
        <f t="shared" si="440"/>
        <v>30.061646465885055</v>
      </c>
      <c r="Q200" s="233">
        <f t="shared" si="440"/>
        <v>19.924895668653914</v>
      </c>
      <c r="R200" s="233">
        <f t="shared" si="440"/>
        <v>16.575172691823241</v>
      </c>
      <c r="S200" s="233">
        <f t="shared" si="440"/>
        <v>13.225424647469463</v>
      </c>
      <c r="T200" s="233">
        <f t="shared" si="440"/>
        <v>22.69</v>
      </c>
      <c r="U200" s="234"/>
      <c r="V200" s="232"/>
      <c r="W200" s="232"/>
      <c r="X200" s="232"/>
      <c r="Y200" s="233"/>
      <c r="Z200" s="232"/>
      <c r="AA200" s="233"/>
      <c r="AB200" s="234">
        <f t="shared" ref="AB200:AO200" si="441">MAX(AB195:AB197)</f>
        <v>25</v>
      </c>
      <c r="AC200" s="232">
        <f t="shared" si="441"/>
        <v>25</v>
      </c>
      <c r="AD200" s="232">
        <f t="shared" si="441"/>
        <v>25</v>
      </c>
      <c r="AE200" s="232">
        <f t="shared" si="441"/>
        <v>25</v>
      </c>
      <c r="AF200" s="498">
        <f t="shared" si="441"/>
        <v>25</v>
      </c>
      <c r="AG200" s="498">
        <f t="shared" si="441"/>
        <v>25</v>
      </c>
      <c r="AH200" s="498">
        <f t="shared" si="441"/>
        <v>25</v>
      </c>
      <c r="AI200" s="234">
        <f t="shared" si="441"/>
        <v>98</v>
      </c>
      <c r="AJ200" s="232">
        <f t="shared" si="441"/>
        <v>98</v>
      </c>
      <c r="AK200" s="232">
        <f t="shared" si="441"/>
        <v>98</v>
      </c>
      <c r="AL200" s="232">
        <f t="shared" si="441"/>
        <v>98</v>
      </c>
      <c r="AM200" s="232">
        <f t="shared" si="441"/>
        <v>98</v>
      </c>
      <c r="AN200" s="232">
        <f t="shared" si="441"/>
        <v>98</v>
      </c>
      <c r="AO200" s="232">
        <f t="shared" si="441"/>
        <v>98</v>
      </c>
      <c r="AP200" s="234"/>
      <c r="AQ200" s="235"/>
      <c r="AR200" s="104"/>
    </row>
    <row r="201" spans="1:44" x14ac:dyDescent="0.3">
      <c r="A201" s="965"/>
      <c r="B201" s="992" t="s">
        <v>67</v>
      </c>
      <c r="C201" s="240">
        <v>2</v>
      </c>
      <c r="D201" s="236" t="s">
        <v>23</v>
      </c>
      <c r="E201" s="236">
        <v>2019</v>
      </c>
      <c r="F201" s="709" t="s">
        <v>19</v>
      </c>
      <c r="G201" s="239">
        <f>((230*10^6)/1.1297)/(4200*10^3)/1.256</f>
        <v>38.594531862289664</v>
      </c>
      <c r="H201" s="239"/>
      <c r="I201" s="239"/>
      <c r="J201" s="239"/>
      <c r="K201" s="239"/>
      <c r="L201" s="239"/>
      <c r="M201" s="239"/>
      <c r="N201" s="92">
        <f>G201*0.02*$BE$7</f>
        <v>0.44998572976675721</v>
      </c>
      <c r="O201" s="239"/>
      <c r="P201" s="239"/>
      <c r="Q201" s="239"/>
      <c r="R201" s="239"/>
      <c r="S201" s="239"/>
      <c r="T201" s="239"/>
      <c r="U201" s="240"/>
      <c r="V201" s="236"/>
      <c r="W201" s="236"/>
      <c r="X201" s="236"/>
      <c r="Y201" s="239"/>
      <c r="Z201" s="236"/>
      <c r="AA201" s="239"/>
      <c r="AB201" s="240"/>
      <c r="AC201" s="236"/>
      <c r="AD201" s="236"/>
      <c r="AE201" s="236"/>
      <c r="AF201" s="242"/>
      <c r="AG201" s="242"/>
      <c r="AH201" s="242"/>
      <c r="AI201" s="240"/>
      <c r="AJ201" s="236"/>
      <c r="AK201" s="236"/>
      <c r="AL201" s="236"/>
      <c r="AM201" s="239"/>
      <c r="AN201" s="236"/>
      <c r="AO201" s="239"/>
      <c r="AP201" s="240"/>
      <c r="AQ201" s="30"/>
      <c r="AR201" s="104"/>
    </row>
    <row r="202" spans="1:44" x14ac:dyDescent="0.3">
      <c r="A202" s="965"/>
      <c r="B202" s="993"/>
      <c r="C202" s="247">
        <v>4</v>
      </c>
      <c r="D202" s="243" t="s">
        <v>31</v>
      </c>
      <c r="E202" s="243">
        <v>2022</v>
      </c>
      <c r="F202" s="710" t="s">
        <v>19</v>
      </c>
      <c r="G202" s="245">
        <v>51.259540000000001</v>
      </c>
      <c r="H202" s="245">
        <v>51.259540000000001</v>
      </c>
      <c r="I202" s="245">
        <v>51.259540000000001</v>
      </c>
      <c r="J202" s="245">
        <v>51.259540000000001</v>
      </c>
      <c r="K202" s="245">
        <v>51.259540000000001</v>
      </c>
      <c r="L202" s="245">
        <v>51.259540000000001</v>
      </c>
      <c r="M202" s="107">
        <f>K202+((L202-K202)/(2050-2045))*(2060-2045)</f>
        <v>51.259540000000001</v>
      </c>
      <c r="N202" s="244">
        <f t="shared" ref="N202:S202" si="442">G202*0.03*$BE$7</f>
        <v>0.89647653701479024</v>
      </c>
      <c r="O202" s="245">
        <f t="shared" si="442"/>
        <v>0.89647653701479024</v>
      </c>
      <c r="P202" s="245">
        <f t="shared" si="442"/>
        <v>0.89647653701479024</v>
      </c>
      <c r="Q202" s="245">
        <f t="shared" si="442"/>
        <v>0.89647653701479024</v>
      </c>
      <c r="R202" s="245">
        <f t="shared" si="442"/>
        <v>0.89647653701479024</v>
      </c>
      <c r="S202" s="245">
        <f t="shared" si="442"/>
        <v>0.89647653701479024</v>
      </c>
      <c r="T202" s="107">
        <f>R202+((S202-R202)/(2050-2045))*(2060-2045)</f>
        <v>0.89647653701479024</v>
      </c>
      <c r="U202" s="247"/>
      <c r="V202" s="243"/>
      <c r="W202" s="243"/>
      <c r="X202" s="243"/>
      <c r="Y202" s="245"/>
      <c r="Z202" s="243"/>
      <c r="AA202" s="245"/>
      <c r="AB202" s="247">
        <v>20</v>
      </c>
      <c r="AC202" s="243">
        <v>20</v>
      </c>
      <c r="AD202" s="243">
        <v>20</v>
      </c>
      <c r="AE202" s="243">
        <v>20</v>
      </c>
      <c r="AF202" s="669">
        <v>20</v>
      </c>
      <c r="AG202" s="669">
        <v>20</v>
      </c>
      <c r="AH202" s="378">
        <f>AF202+((AG202-AF202)/(2050-2045))*(2060-2045)</f>
        <v>20</v>
      </c>
      <c r="AI202" s="247"/>
      <c r="AJ202" s="243"/>
      <c r="AK202" s="243"/>
      <c r="AL202" s="243"/>
      <c r="AM202" s="245"/>
      <c r="AN202" s="243"/>
      <c r="AO202" s="245"/>
      <c r="AP202" s="247"/>
      <c r="AQ202" s="33"/>
      <c r="AR202" s="104"/>
    </row>
    <row r="203" spans="1:44" x14ac:dyDescent="0.3">
      <c r="A203" s="965"/>
      <c r="B203" s="993"/>
      <c r="C203" s="247">
        <v>11</v>
      </c>
      <c r="D203" s="243" t="s">
        <v>57</v>
      </c>
      <c r="E203" s="243">
        <v>2022</v>
      </c>
      <c r="F203" s="710" t="s">
        <v>19</v>
      </c>
      <c r="G203" s="107">
        <f t="shared" ref="G203:G204" si="443">H203+((I203-H203)/(2030-2025))*(2020-2025)</f>
        <v>303.79639807220769</v>
      </c>
      <c r="H203" s="107">
        <f t="shared" ref="H203:H204" si="444">I203+((J203-I203)/(2040-2030))*(2025-2030)</f>
        <v>247.35774076266171</v>
      </c>
      <c r="I203" s="245">
        <f>(225.8)/1.1827</f>
        <v>190.91908345311575</v>
      </c>
      <c r="J203" s="245">
        <f>(92.3)/1.1827</f>
        <v>78.041768834023841</v>
      </c>
      <c r="K203" s="107">
        <f t="shared" ref="K203:K204" si="445">J203+((L203-J203)/(2050-2040))*(2045-2040)</f>
        <v>63.62560243510611</v>
      </c>
      <c r="L203" s="245">
        <f>(58.2)/1.1827</f>
        <v>49.209436036188379</v>
      </c>
      <c r="M203" s="107">
        <v>49.21</v>
      </c>
      <c r="N203" s="106">
        <f t="shared" ref="N203:N204" si="446">O203+((P203-O203)/(2030-2025))*(2020-2025)</f>
        <v>5.313085971925215</v>
      </c>
      <c r="O203" s="297">
        <f t="shared" ref="O203:O204" si="447">P203+((Q203-P203)/(2040-2030))*(2025-2030)</f>
        <v>4.3260320097042069</v>
      </c>
      <c r="P203" s="245">
        <f>I203*0.03*$BE$7</f>
        <v>3.3389780474831992</v>
      </c>
      <c r="Q203" s="245">
        <f>J203*0.03*$BE$7</f>
        <v>1.3648701230411835</v>
      </c>
      <c r="R203" s="107">
        <f t="shared" ref="R203:R204" si="448">Q203+((S203-Q203)/(2050-2040))*(2045-2040)</f>
        <v>1.112746227073121</v>
      </c>
      <c r="S203" s="245">
        <f>L203*0.03*$BE$7</f>
        <v>0.86062233110505837</v>
      </c>
      <c r="T203" s="107">
        <v>1.48</v>
      </c>
      <c r="U203" s="247"/>
      <c r="V203" s="243"/>
      <c r="W203" s="243"/>
      <c r="X203" s="243"/>
      <c r="Y203" s="245"/>
      <c r="Z203" s="243"/>
      <c r="AA203" s="245"/>
      <c r="AB203" s="247"/>
      <c r="AC203" s="243"/>
      <c r="AD203" s="243"/>
      <c r="AE203" s="243"/>
      <c r="AF203" s="669"/>
      <c r="AG203" s="669"/>
      <c r="AH203" s="669"/>
      <c r="AI203" s="106">
        <f t="shared" ref="AI203:AI204" si="449">AJ203+((AK203-AJ203)/(2030-2025))*(2020-2025)</f>
        <v>93</v>
      </c>
      <c r="AJ203" s="297">
        <f t="shared" ref="AJ203:AJ204" si="450">AK203+((AL203-AK203)/(2040-2030))*(2025-2030)</f>
        <v>94</v>
      </c>
      <c r="AK203" s="243">
        <v>95</v>
      </c>
      <c r="AL203" s="243">
        <v>97</v>
      </c>
      <c r="AM203" s="378">
        <f t="shared" ref="AM203:AM204" si="451">AL203+((AN203-AL203)/(2050-2040))*(2045-2040)</f>
        <v>98</v>
      </c>
      <c r="AN203" s="243">
        <v>99</v>
      </c>
      <c r="AO203" s="378">
        <v>99</v>
      </c>
      <c r="AP203" s="247"/>
      <c r="AQ203" s="33"/>
      <c r="AR203" t="s">
        <v>395</v>
      </c>
    </row>
    <row r="204" spans="1:44" x14ac:dyDescent="0.3">
      <c r="A204" s="965"/>
      <c r="B204" s="994"/>
      <c r="C204" s="250">
        <v>11</v>
      </c>
      <c r="D204" s="248" t="s">
        <v>57</v>
      </c>
      <c r="E204" s="248">
        <v>2022</v>
      </c>
      <c r="F204" s="711" t="s">
        <v>19</v>
      </c>
      <c r="G204" s="122">
        <f t="shared" si="443"/>
        <v>607.76190073560474</v>
      </c>
      <c r="H204" s="122">
        <f t="shared" si="444"/>
        <v>494.84230996871554</v>
      </c>
      <c r="I204" s="249">
        <f>(451.7)/1.1827</f>
        <v>381.92271920182628</v>
      </c>
      <c r="J204" s="249">
        <f>(184.6)/1.1827</f>
        <v>156.08353766804768</v>
      </c>
      <c r="K204" s="122">
        <f t="shared" si="445"/>
        <v>127.25120487021222</v>
      </c>
      <c r="L204" s="249">
        <f>(116.4)/1.1827</f>
        <v>98.418872072376757</v>
      </c>
      <c r="M204" s="107">
        <v>98.42</v>
      </c>
      <c r="N204" s="607">
        <f t="shared" si="446"/>
        <v>14.172172545207699</v>
      </c>
      <c r="O204" s="306">
        <f t="shared" si="447"/>
        <v>11.539042824266563</v>
      </c>
      <c r="P204" s="249">
        <f>I204*0.04*$BE$7</f>
        <v>8.9059131033254264</v>
      </c>
      <c r="Q204" s="249">
        <f>J204*0.04*$BE$7</f>
        <v>3.6396536614431563</v>
      </c>
      <c r="R204" s="122">
        <f t="shared" si="448"/>
        <v>2.9673232721949896</v>
      </c>
      <c r="S204" s="249">
        <f>L204*0.04*$BE$7</f>
        <v>2.2949928829468225</v>
      </c>
      <c r="T204" s="122">
        <v>3.94</v>
      </c>
      <c r="U204" s="250"/>
      <c r="V204" s="248"/>
      <c r="W204" s="248"/>
      <c r="X204" s="248"/>
      <c r="Y204" s="249"/>
      <c r="Z204" s="248"/>
      <c r="AA204" s="249"/>
      <c r="AB204" s="250"/>
      <c r="AC204" s="248"/>
      <c r="AD204" s="248"/>
      <c r="AE204" s="248"/>
      <c r="AF204" s="673"/>
      <c r="AG204" s="673"/>
      <c r="AH204" s="673"/>
      <c r="AI204" s="607">
        <f t="shared" si="449"/>
        <v>87</v>
      </c>
      <c r="AJ204" s="306">
        <f t="shared" si="450"/>
        <v>88.5</v>
      </c>
      <c r="AK204" s="248">
        <v>90</v>
      </c>
      <c r="AL204" s="248">
        <v>93</v>
      </c>
      <c r="AM204" s="712">
        <f t="shared" si="451"/>
        <v>94.5</v>
      </c>
      <c r="AN204" s="248">
        <v>96</v>
      </c>
      <c r="AO204" s="386">
        <f>AM204+((AN204-AM204)/(2050-2045))*(2060-2045)</f>
        <v>99</v>
      </c>
      <c r="AP204" s="250"/>
      <c r="AQ204" s="36"/>
      <c r="AR204" t="s">
        <v>396</v>
      </c>
    </row>
    <row r="205" spans="1:44" x14ac:dyDescent="0.3">
      <c r="A205" s="965"/>
      <c r="B205" s="713" t="s">
        <v>267</v>
      </c>
      <c r="C205" s="265"/>
      <c r="D205" s="261"/>
      <c r="E205" s="261"/>
      <c r="F205" s="268"/>
      <c r="G205" s="254">
        <f>MIN(G201:G204)</f>
        <v>38.594531862289664</v>
      </c>
      <c r="H205" s="254">
        <f t="shared" ref="H205:T205" si="452">MIN(H201:H204)</f>
        <v>51.259540000000001</v>
      </c>
      <c r="I205" s="254">
        <f t="shared" si="452"/>
        <v>51.259540000000001</v>
      </c>
      <c r="J205" s="254">
        <f t="shared" si="452"/>
        <v>51.259540000000001</v>
      </c>
      <c r="K205" s="254">
        <f t="shared" si="452"/>
        <v>51.259540000000001</v>
      </c>
      <c r="L205" s="254">
        <f t="shared" si="452"/>
        <v>49.209436036188379</v>
      </c>
      <c r="M205" s="254">
        <f t="shared" si="452"/>
        <v>49.21</v>
      </c>
      <c r="N205" s="253">
        <f t="shared" si="452"/>
        <v>0.44998572976675721</v>
      </c>
      <c r="O205" s="254">
        <f t="shared" si="452"/>
        <v>0.89647653701479024</v>
      </c>
      <c r="P205" s="254">
        <f t="shared" si="452"/>
        <v>0.89647653701479024</v>
      </c>
      <c r="Q205" s="254">
        <f t="shared" si="452"/>
        <v>0.89647653701479024</v>
      </c>
      <c r="R205" s="254">
        <f t="shared" si="452"/>
        <v>0.89647653701479024</v>
      </c>
      <c r="S205" s="254">
        <f t="shared" si="452"/>
        <v>0.86062233110505837</v>
      </c>
      <c r="T205" s="254">
        <f t="shared" si="452"/>
        <v>0.89647653701479024</v>
      </c>
      <c r="U205" s="256"/>
      <c r="V205" s="252"/>
      <c r="W205" s="252"/>
      <c r="X205" s="252"/>
      <c r="Y205" s="254"/>
      <c r="Z205" s="252"/>
      <c r="AA205" s="254"/>
      <c r="AB205" s="256">
        <f t="shared" ref="AB205:AO205" si="453">MIN(AB201:AB204)</f>
        <v>20</v>
      </c>
      <c r="AC205" s="252">
        <f t="shared" si="453"/>
        <v>20</v>
      </c>
      <c r="AD205" s="252">
        <f t="shared" si="453"/>
        <v>20</v>
      </c>
      <c r="AE205" s="252">
        <f t="shared" si="453"/>
        <v>20</v>
      </c>
      <c r="AF205" s="257">
        <f t="shared" si="453"/>
        <v>20</v>
      </c>
      <c r="AG205" s="257">
        <f t="shared" si="453"/>
        <v>20</v>
      </c>
      <c r="AH205" s="257">
        <f t="shared" si="453"/>
        <v>20</v>
      </c>
      <c r="AI205" s="256">
        <f t="shared" si="453"/>
        <v>87</v>
      </c>
      <c r="AJ205" s="252">
        <f t="shared" si="453"/>
        <v>88.5</v>
      </c>
      <c r="AK205" s="252">
        <f t="shared" si="453"/>
        <v>90</v>
      </c>
      <c r="AL205" s="252">
        <f t="shared" si="453"/>
        <v>93</v>
      </c>
      <c r="AM205" s="252">
        <f t="shared" si="453"/>
        <v>94.5</v>
      </c>
      <c r="AN205" s="252">
        <f t="shared" si="453"/>
        <v>96</v>
      </c>
      <c r="AO205" s="252">
        <f t="shared" si="453"/>
        <v>99</v>
      </c>
      <c r="AP205" s="256"/>
      <c r="AQ205" s="259"/>
      <c r="AR205" s="104"/>
    </row>
    <row r="206" spans="1:44" x14ac:dyDescent="0.3">
      <c r="A206" s="965"/>
      <c r="B206" s="714" t="s">
        <v>268</v>
      </c>
      <c r="C206" s="265"/>
      <c r="D206" s="261"/>
      <c r="E206" s="261"/>
      <c r="F206" s="268"/>
      <c r="G206" s="263">
        <f>MEDIAN(G201:G204)</f>
        <v>177.52796903610385</v>
      </c>
      <c r="H206" s="263">
        <f t="shared" ref="H206:T206" si="454">MEDIAN(H201:H204)</f>
        <v>247.35774076266171</v>
      </c>
      <c r="I206" s="263">
        <f t="shared" si="454"/>
        <v>190.91908345311575</v>
      </c>
      <c r="J206" s="263">
        <f t="shared" si="454"/>
        <v>78.041768834023841</v>
      </c>
      <c r="K206" s="263">
        <f t="shared" si="454"/>
        <v>63.62560243510611</v>
      </c>
      <c r="L206" s="263">
        <f t="shared" si="454"/>
        <v>51.259540000000001</v>
      </c>
      <c r="M206" s="263">
        <f t="shared" si="454"/>
        <v>51.259540000000001</v>
      </c>
      <c r="N206" s="262">
        <f t="shared" si="454"/>
        <v>3.1047812544700029</v>
      </c>
      <c r="O206" s="263">
        <f t="shared" si="454"/>
        <v>4.3260320097042069</v>
      </c>
      <c r="P206" s="263">
        <f t="shared" si="454"/>
        <v>3.3389780474831992</v>
      </c>
      <c r="Q206" s="263">
        <f t="shared" si="454"/>
        <v>1.3648701230411835</v>
      </c>
      <c r="R206" s="263">
        <f t="shared" si="454"/>
        <v>1.112746227073121</v>
      </c>
      <c r="S206" s="263">
        <f t="shared" si="454"/>
        <v>0.89647653701479024</v>
      </c>
      <c r="T206" s="263">
        <f t="shared" si="454"/>
        <v>1.48</v>
      </c>
      <c r="U206" s="265"/>
      <c r="V206" s="261"/>
      <c r="W206" s="261"/>
      <c r="X206" s="261"/>
      <c r="Y206" s="263"/>
      <c r="Z206" s="261"/>
      <c r="AA206" s="263"/>
      <c r="AB206" s="265">
        <f t="shared" ref="AB206:AO206" si="455">MEDIAN(AB201:AB204)</f>
        <v>20</v>
      </c>
      <c r="AC206" s="261">
        <f t="shared" si="455"/>
        <v>20</v>
      </c>
      <c r="AD206" s="261">
        <f t="shared" si="455"/>
        <v>20</v>
      </c>
      <c r="AE206" s="261">
        <f t="shared" si="455"/>
        <v>20</v>
      </c>
      <c r="AF206" s="266">
        <f t="shared" si="455"/>
        <v>20</v>
      </c>
      <c r="AG206" s="266">
        <f t="shared" si="455"/>
        <v>20</v>
      </c>
      <c r="AH206" s="266">
        <f t="shared" si="455"/>
        <v>20</v>
      </c>
      <c r="AI206" s="265">
        <f t="shared" si="455"/>
        <v>90</v>
      </c>
      <c r="AJ206" s="261">
        <f t="shared" si="455"/>
        <v>91.25</v>
      </c>
      <c r="AK206" s="261">
        <f t="shared" si="455"/>
        <v>92.5</v>
      </c>
      <c r="AL206" s="261">
        <f t="shared" si="455"/>
        <v>95</v>
      </c>
      <c r="AM206" s="261">
        <f t="shared" si="455"/>
        <v>96.25</v>
      </c>
      <c r="AN206" s="261">
        <f t="shared" si="455"/>
        <v>97.5</v>
      </c>
      <c r="AO206" s="261">
        <f t="shared" si="455"/>
        <v>99</v>
      </c>
      <c r="AP206" s="265"/>
      <c r="AQ206" s="268"/>
      <c r="AR206" s="104"/>
    </row>
    <row r="207" spans="1:44" x14ac:dyDescent="0.3">
      <c r="A207" s="965"/>
      <c r="B207" s="715" t="s">
        <v>269</v>
      </c>
      <c r="C207" s="265"/>
      <c r="D207" s="261"/>
      <c r="E207" s="261"/>
      <c r="F207" s="268"/>
      <c r="G207" s="271">
        <f>MAX(G201:G204)</f>
        <v>607.76190073560474</v>
      </c>
      <c r="H207" s="271">
        <f t="shared" ref="H207:T207" si="456">MAX(H201:H204)</f>
        <v>494.84230996871554</v>
      </c>
      <c r="I207" s="271">
        <f t="shared" si="456"/>
        <v>381.92271920182628</v>
      </c>
      <c r="J207" s="271">
        <f t="shared" si="456"/>
        <v>156.08353766804768</v>
      </c>
      <c r="K207" s="271">
        <f t="shared" si="456"/>
        <v>127.25120487021222</v>
      </c>
      <c r="L207" s="271">
        <f t="shared" si="456"/>
        <v>98.418872072376757</v>
      </c>
      <c r="M207" s="271">
        <f t="shared" si="456"/>
        <v>98.42</v>
      </c>
      <c r="N207" s="270">
        <f t="shared" si="456"/>
        <v>14.172172545207699</v>
      </c>
      <c r="O207" s="271">
        <f t="shared" si="456"/>
        <v>11.539042824266563</v>
      </c>
      <c r="P207" s="271">
        <f t="shared" si="456"/>
        <v>8.9059131033254264</v>
      </c>
      <c r="Q207" s="271">
        <f t="shared" si="456"/>
        <v>3.6396536614431563</v>
      </c>
      <c r="R207" s="271">
        <f t="shared" si="456"/>
        <v>2.9673232721949896</v>
      </c>
      <c r="S207" s="271">
        <f t="shared" si="456"/>
        <v>2.2949928829468225</v>
      </c>
      <c r="T207" s="271">
        <f t="shared" si="456"/>
        <v>3.94</v>
      </c>
      <c r="U207" s="273"/>
      <c r="V207" s="274"/>
      <c r="W207" s="274"/>
      <c r="X207" s="274"/>
      <c r="Y207" s="271"/>
      <c r="Z207" s="274"/>
      <c r="AA207" s="271"/>
      <c r="AB207" s="273">
        <f t="shared" ref="AB207:AO207" si="457">MAX(AB201:AB204)</f>
        <v>20</v>
      </c>
      <c r="AC207" s="274">
        <f t="shared" si="457"/>
        <v>20</v>
      </c>
      <c r="AD207" s="274">
        <f t="shared" si="457"/>
        <v>20</v>
      </c>
      <c r="AE207" s="274">
        <f t="shared" si="457"/>
        <v>20</v>
      </c>
      <c r="AF207" s="275">
        <f t="shared" si="457"/>
        <v>20</v>
      </c>
      <c r="AG207" s="275">
        <f t="shared" si="457"/>
        <v>20</v>
      </c>
      <c r="AH207" s="275">
        <f t="shared" si="457"/>
        <v>20</v>
      </c>
      <c r="AI207" s="273">
        <f t="shared" si="457"/>
        <v>93</v>
      </c>
      <c r="AJ207" s="274">
        <f t="shared" si="457"/>
        <v>94</v>
      </c>
      <c r="AK207" s="274">
        <f t="shared" si="457"/>
        <v>95</v>
      </c>
      <c r="AL207" s="274">
        <f t="shared" si="457"/>
        <v>97</v>
      </c>
      <c r="AM207" s="274">
        <f t="shared" si="457"/>
        <v>98</v>
      </c>
      <c r="AN207" s="274">
        <f t="shared" si="457"/>
        <v>99</v>
      </c>
      <c r="AO207" s="274">
        <f t="shared" si="457"/>
        <v>99</v>
      </c>
      <c r="AP207" s="273"/>
      <c r="AQ207" s="277"/>
      <c r="AR207" s="104"/>
    </row>
    <row r="208" spans="1:44" ht="14.4" customHeight="1" x14ac:dyDescent="0.3">
      <c r="A208" s="965"/>
      <c r="B208" s="992" t="s">
        <v>397</v>
      </c>
      <c r="C208" s="240">
        <v>4</v>
      </c>
      <c r="D208" s="236" t="s">
        <v>31</v>
      </c>
      <c r="E208" s="236">
        <v>2022</v>
      </c>
      <c r="F208" s="709" t="s">
        <v>19</v>
      </c>
      <c r="G208" s="239">
        <v>50.728029999999997</v>
      </c>
      <c r="H208" s="239">
        <v>50.728029999999997</v>
      </c>
      <c r="I208" s="239">
        <v>50.728029999999997</v>
      </c>
      <c r="J208" s="239">
        <v>50.728029999999997</v>
      </c>
      <c r="K208" s="239">
        <v>50.728029999999997</v>
      </c>
      <c r="L208" s="239">
        <v>50.728029999999997</v>
      </c>
      <c r="M208" s="107">
        <f>K208+((L208-K208)/(2050-2045))*(2060-2045)</f>
        <v>50.728029999999997</v>
      </c>
      <c r="N208" s="238">
        <f t="shared" ref="N208:S208" si="458">G208*0.03*$BE$7</f>
        <v>0.88718097478015578</v>
      </c>
      <c r="O208" s="239">
        <f t="shared" si="458"/>
        <v>0.88718097478015578</v>
      </c>
      <c r="P208" s="239">
        <f t="shared" si="458"/>
        <v>0.88718097478015578</v>
      </c>
      <c r="Q208" s="239">
        <f t="shared" si="458"/>
        <v>0.88718097478015578</v>
      </c>
      <c r="R208" s="239">
        <f t="shared" si="458"/>
        <v>0.88718097478015578</v>
      </c>
      <c r="S208" s="239">
        <f t="shared" si="458"/>
        <v>0.88718097478015578</v>
      </c>
      <c r="T208" s="93">
        <f>R208+((S208-R208)/(2050-2045))*(2060-2045)</f>
        <v>0.88718097478015578</v>
      </c>
      <c r="U208" s="240"/>
      <c r="V208" s="236"/>
      <c r="W208" s="236"/>
      <c r="X208" s="236"/>
      <c r="Y208" s="239"/>
      <c r="Z208" s="236"/>
      <c r="AA208" s="239"/>
      <c r="AB208" s="240">
        <v>20</v>
      </c>
      <c r="AC208" s="236">
        <v>20</v>
      </c>
      <c r="AD208" s="236">
        <v>20</v>
      </c>
      <c r="AE208" s="236">
        <v>20</v>
      </c>
      <c r="AF208" s="242">
        <v>20</v>
      </c>
      <c r="AG208" s="242">
        <v>20</v>
      </c>
      <c r="AH208" s="101">
        <f>AF208+((AG208-AF208)/(2050-2045))*(2060-2045)</f>
        <v>20</v>
      </c>
      <c r="AI208" s="240"/>
      <c r="AJ208" s="236"/>
      <c r="AK208" s="236"/>
      <c r="AL208" s="236"/>
      <c r="AM208" s="239"/>
      <c r="AN208" s="236"/>
      <c r="AO208" s="239"/>
      <c r="AP208" s="240"/>
      <c r="AQ208" s="30"/>
      <c r="AR208" s="104"/>
    </row>
    <row r="209" spans="1:44" ht="15" customHeight="1" x14ac:dyDescent="0.3">
      <c r="A209" s="965"/>
      <c r="B209" s="993"/>
      <c r="C209" s="247">
        <v>11</v>
      </c>
      <c r="D209" s="243" t="s">
        <v>57</v>
      </c>
      <c r="E209" s="243">
        <v>2022</v>
      </c>
      <c r="F209" s="710" t="s">
        <v>19</v>
      </c>
      <c r="G209" s="107">
        <f t="shared" ref="G209:G210" si="459">H209+((I209-H209)/(2030-2025))*(2020-2025)</f>
        <v>553.64843155491667</v>
      </c>
      <c r="H209" s="107">
        <f t="shared" ref="H209:H210" si="460">I209+((J209-I209)/(2040-2030))*(2025-2030)</f>
        <v>452.86209520588477</v>
      </c>
      <c r="I209" s="245">
        <f>(416.4)/1.1827</f>
        <v>352.07575885685293</v>
      </c>
      <c r="J209" s="245">
        <f>(178)/1.1827</f>
        <v>150.50308615878919</v>
      </c>
      <c r="K209" s="107">
        <f t="shared" ref="K209:K210" si="461">J209+((L209-J209)/(2050-2040))*(2045-2040)</f>
        <v>116.25940644288491</v>
      </c>
      <c r="L209" s="245">
        <f>(97)/1.1827</f>
        <v>82.015726726980631</v>
      </c>
      <c r="M209" s="107">
        <v>82.02</v>
      </c>
      <c r="N209" s="106">
        <f t="shared" ref="N209:N210" si="462">O209+((P209-O209)/(2030-2025))*(2020-2025)</f>
        <v>9.682740591195742</v>
      </c>
      <c r="O209" s="107">
        <f t="shared" ref="O209:O210" si="463">P209+((Q209-P209)/(2040-2030))*(2025-2030)</f>
        <v>7.9200914182108111</v>
      </c>
      <c r="P209" s="245">
        <f>I209*0.03*$BE$7</f>
        <v>6.157442245225881</v>
      </c>
      <c r="Q209" s="245">
        <f>J209*0.03*$BE$7</f>
        <v>2.6321438992560204</v>
      </c>
      <c r="R209" s="107">
        <f t="shared" ref="R209:R210" si="464">Q209+((S209-Q209)/(2050-2040))*(2045-2040)</f>
        <v>2.0332572255488923</v>
      </c>
      <c r="S209" s="245">
        <f>L209*0.03*$BE$7</f>
        <v>1.434370551841764</v>
      </c>
      <c r="T209" s="107">
        <v>2.46</v>
      </c>
      <c r="U209" s="247"/>
      <c r="V209" s="243"/>
      <c r="W209" s="243"/>
      <c r="X209" s="243"/>
      <c r="Y209" s="245"/>
      <c r="Z209" s="243"/>
      <c r="AA209" s="245"/>
      <c r="AB209" s="247"/>
      <c r="AC209" s="243"/>
      <c r="AD209" s="243"/>
      <c r="AE209" s="243"/>
      <c r="AF209" s="669"/>
      <c r="AG209" s="669"/>
      <c r="AH209" s="669"/>
      <c r="AI209" s="106">
        <f t="shared" ref="AI209:AI210" si="465">AJ209+((AK209-AJ209)/(2030-2025))*(2020-2025)</f>
        <v>98</v>
      </c>
      <c r="AJ209" s="297">
        <f t="shared" ref="AJ209:AJ210" si="466">AK209+((AL209-AK209)/(2040-2030))*(2025-2030)</f>
        <v>98</v>
      </c>
      <c r="AK209" s="243">
        <v>98</v>
      </c>
      <c r="AL209" s="243">
        <v>98</v>
      </c>
      <c r="AM209" s="378">
        <f t="shared" ref="AM209:AM210" si="467">AL209+((AN209-AL209)/(2050-2040))*(2045-2040)</f>
        <v>98</v>
      </c>
      <c r="AN209" s="243">
        <v>98</v>
      </c>
      <c r="AO209" s="378">
        <f t="shared" ref="AO209:AO210" si="468">AM209+((AN209-AM209)/(2050-2045))*(2060-2045)</f>
        <v>98</v>
      </c>
      <c r="AP209" s="247"/>
      <c r="AQ209" s="33"/>
      <c r="AR209" t="s">
        <v>395</v>
      </c>
    </row>
    <row r="210" spans="1:44" x14ac:dyDescent="0.3">
      <c r="A210" s="965"/>
      <c r="B210" s="994"/>
      <c r="C210" s="250">
        <v>11</v>
      </c>
      <c r="D210" s="248" t="s">
        <v>57</v>
      </c>
      <c r="E210" s="248">
        <v>2022</v>
      </c>
      <c r="F210" s="711" t="s">
        <v>19</v>
      </c>
      <c r="G210" s="122">
        <f t="shared" si="459"/>
        <v>1446.3515684450833</v>
      </c>
      <c r="H210" s="122">
        <f t="shared" si="460"/>
        <v>1183.055719962797</v>
      </c>
      <c r="I210" s="249">
        <f>(1087.8)/1.1827</f>
        <v>919.75987148051058</v>
      </c>
      <c r="J210" s="249">
        <f>(465)/1.1827</f>
        <v>393.16817451593806</v>
      </c>
      <c r="K210" s="122">
        <f t="shared" si="461"/>
        <v>299.10374566669481</v>
      </c>
      <c r="L210" s="249">
        <f>(242.5)/1.1827</f>
        <v>205.03931681745158</v>
      </c>
      <c r="M210" s="107">
        <v>205.04</v>
      </c>
      <c r="N210" s="607">
        <f t="shared" si="462"/>
        <v>50.590397236711773</v>
      </c>
      <c r="O210" s="122">
        <f t="shared" si="463"/>
        <v>41.38085105437105</v>
      </c>
      <c r="P210" s="249">
        <f>I210*0.06*$BE$7</f>
        <v>32.171304872030326</v>
      </c>
      <c r="Q210" s="249">
        <f>J210*0.06*$BE$7</f>
        <v>13.752212507348871</v>
      </c>
      <c r="R210" s="122">
        <f t="shared" si="464"/>
        <v>10.462032633278845</v>
      </c>
      <c r="S210" s="249">
        <f>L210*0.06*$BE$7</f>
        <v>7.1718527592088197</v>
      </c>
      <c r="T210" s="122">
        <v>12.3</v>
      </c>
      <c r="U210" s="250"/>
      <c r="V210" s="248"/>
      <c r="W210" s="248"/>
      <c r="X210" s="248"/>
      <c r="Y210" s="249"/>
      <c r="Z210" s="248"/>
      <c r="AA210" s="249"/>
      <c r="AB210" s="250"/>
      <c r="AC210" s="248"/>
      <c r="AD210" s="248"/>
      <c r="AE210" s="248"/>
      <c r="AF210" s="673"/>
      <c r="AG210" s="673"/>
      <c r="AH210" s="673"/>
      <c r="AI210" s="607">
        <f t="shared" si="465"/>
        <v>98</v>
      </c>
      <c r="AJ210" s="306">
        <f t="shared" si="466"/>
        <v>98</v>
      </c>
      <c r="AK210" s="248">
        <v>98</v>
      </c>
      <c r="AL210" s="248">
        <v>98</v>
      </c>
      <c r="AM210" s="386">
        <f t="shared" si="467"/>
        <v>98</v>
      </c>
      <c r="AN210" s="248">
        <v>98</v>
      </c>
      <c r="AO210" s="386">
        <f t="shared" si="468"/>
        <v>98</v>
      </c>
      <c r="AP210" s="250"/>
      <c r="AQ210" s="36"/>
      <c r="AR210" t="s">
        <v>396</v>
      </c>
    </row>
    <row r="211" spans="1:44" x14ac:dyDescent="0.3">
      <c r="A211" s="965"/>
      <c r="B211" s="713" t="s">
        <v>267</v>
      </c>
      <c r="C211" s="256"/>
      <c r="D211" s="252"/>
      <c r="E211" s="252"/>
      <c r="F211" s="259"/>
      <c r="G211" s="254">
        <f>MIN(G208:G210)</f>
        <v>50.728029999999997</v>
      </c>
      <c r="H211" s="254">
        <f t="shared" ref="H211:T211" si="469">MIN(H208:H210)</f>
        <v>50.728029999999997</v>
      </c>
      <c r="I211" s="254">
        <f t="shared" si="469"/>
        <v>50.728029999999997</v>
      </c>
      <c r="J211" s="254">
        <f t="shared" si="469"/>
        <v>50.728029999999997</v>
      </c>
      <c r="K211" s="254">
        <f t="shared" si="469"/>
        <v>50.728029999999997</v>
      </c>
      <c r="L211" s="254">
        <f t="shared" si="469"/>
        <v>50.728029999999997</v>
      </c>
      <c r="M211" s="254">
        <f t="shared" si="469"/>
        <v>50.728029999999997</v>
      </c>
      <c r="N211" s="253">
        <f t="shared" si="469"/>
        <v>0.88718097478015578</v>
      </c>
      <c r="O211" s="254">
        <f t="shared" si="469"/>
        <v>0.88718097478015578</v>
      </c>
      <c r="P211" s="254">
        <f t="shared" si="469"/>
        <v>0.88718097478015578</v>
      </c>
      <c r="Q211" s="254">
        <f t="shared" si="469"/>
        <v>0.88718097478015578</v>
      </c>
      <c r="R211" s="254">
        <f t="shared" si="469"/>
        <v>0.88718097478015578</v>
      </c>
      <c r="S211" s="254">
        <f t="shared" si="469"/>
        <v>0.88718097478015578</v>
      </c>
      <c r="T211" s="254">
        <f t="shared" si="469"/>
        <v>0.88718097478015578</v>
      </c>
      <c r="U211" s="256"/>
      <c r="V211" s="252"/>
      <c r="W211" s="252"/>
      <c r="X211" s="252"/>
      <c r="Y211" s="254"/>
      <c r="Z211" s="252"/>
      <c r="AA211" s="254"/>
      <c r="AB211" s="256">
        <f t="shared" ref="AB211:AO211" si="470">MIN(AB208:AB210)</f>
        <v>20</v>
      </c>
      <c r="AC211" s="252">
        <f t="shared" si="470"/>
        <v>20</v>
      </c>
      <c r="AD211" s="252">
        <f t="shared" si="470"/>
        <v>20</v>
      </c>
      <c r="AE211" s="252">
        <f t="shared" si="470"/>
        <v>20</v>
      </c>
      <c r="AF211" s="257">
        <f t="shared" si="470"/>
        <v>20</v>
      </c>
      <c r="AG211" s="257">
        <f t="shared" si="470"/>
        <v>20</v>
      </c>
      <c r="AH211" s="257">
        <f t="shared" si="470"/>
        <v>20</v>
      </c>
      <c r="AI211" s="256">
        <f t="shared" si="470"/>
        <v>98</v>
      </c>
      <c r="AJ211" s="252">
        <f t="shared" si="470"/>
        <v>98</v>
      </c>
      <c r="AK211" s="252">
        <f t="shared" si="470"/>
        <v>98</v>
      </c>
      <c r="AL211" s="252">
        <f t="shared" si="470"/>
        <v>98</v>
      </c>
      <c r="AM211" s="252">
        <f t="shared" si="470"/>
        <v>98</v>
      </c>
      <c r="AN211" s="252">
        <f t="shared" si="470"/>
        <v>98</v>
      </c>
      <c r="AO211" s="252">
        <f t="shared" si="470"/>
        <v>98</v>
      </c>
      <c r="AP211" s="256"/>
      <c r="AQ211" s="259"/>
      <c r="AR211" s="104"/>
    </row>
    <row r="212" spans="1:44" x14ac:dyDescent="0.3">
      <c r="A212" s="965"/>
      <c r="B212" s="714" t="s">
        <v>268</v>
      </c>
      <c r="C212" s="265"/>
      <c r="D212" s="261"/>
      <c r="E212" s="261"/>
      <c r="F212" s="268"/>
      <c r="G212" s="263">
        <f>MEDIAN(G208:G210)</f>
        <v>553.64843155491667</v>
      </c>
      <c r="H212" s="263">
        <f t="shared" ref="H212:T212" si="471">MEDIAN(H208:H210)</f>
        <v>452.86209520588477</v>
      </c>
      <c r="I212" s="263">
        <f t="shared" si="471"/>
        <v>352.07575885685293</v>
      </c>
      <c r="J212" s="263">
        <f t="shared" si="471"/>
        <v>150.50308615878919</v>
      </c>
      <c r="K212" s="263">
        <f t="shared" si="471"/>
        <v>116.25940644288491</v>
      </c>
      <c r="L212" s="263">
        <f t="shared" si="471"/>
        <v>82.015726726980631</v>
      </c>
      <c r="M212" s="263">
        <f t="shared" si="471"/>
        <v>82.02</v>
      </c>
      <c r="N212" s="262">
        <f t="shared" si="471"/>
        <v>9.682740591195742</v>
      </c>
      <c r="O212" s="263">
        <f t="shared" si="471"/>
        <v>7.9200914182108111</v>
      </c>
      <c r="P212" s="263">
        <f t="shared" si="471"/>
        <v>6.157442245225881</v>
      </c>
      <c r="Q212" s="263">
        <f t="shared" si="471"/>
        <v>2.6321438992560204</v>
      </c>
      <c r="R212" s="263">
        <f t="shared" si="471"/>
        <v>2.0332572255488923</v>
      </c>
      <c r="S212" s="263">
        <f t="shared" si="471"/>
        <v>1.434370551841764</v>
      </c>
      <c r="T212" s="263">
        <f t="shared" si="471"/>
        <v>2.46</v>
      </c>
      <c r="U212" s="265"/>
      <c r="V212" s="261"/>
      <c r="W212" s="261"/>
      <c r="X212" s="261"/>
      <c r="Y212" s="263"/>
      <c r="Z212" s="261"/>
      <c r="AA212" s="263"/>
      <c r="AB212" s="265">
        <f t="shared" ref="AB212:AO212" si="472">MEDIAN(AB208:AB210)</f>
        <v>20</v>
      </c>
      <c r="AC212" s="261">
        <f t="shared" si="472"/>
        <v>20</v>
      </c>
      <c r="AD212" s="261">
        <f t="shared" si="472"/>
        <v>20</v>
      </c>
      <c r="AE212" s="261">
        <f t="shared" si="472"/>
        <v>20</v>
      </c>
      <c r="AF212" s="266">
        <f t="shared" si="472"/>
        <v>20</v>
      </c>
      <c r="AG212" s="266">
        <f t="shared" si="472"/>
        <v>20</v>
      </c>
      <c r="AH212" s="266">
        <f t="shared" si="472"/>
        <v>20</v>
      </c>
      <c r="AI212" s="265">
        <f t="shared" si="472"/>
        <v>98</v>
      </c>
      <c r="AJ212" s="261">
        <f t="shared" si="472"/>
        <v>98</v>
      </c>
      <c r="AK212" s="261">
        <f t="shared" si="472"/>
        <v>98</v>
      </c>
      <c r="AL212" s="261">
        <f t="shared" si="472"/>
        <v>98</v>
      </c>
      <c r="AM212" s="261">
        <f t="shared" si="472"/>
        <v>98</v>
      </c>
      <c r="AN212" s="261">
        <f t="shared" si="472"/>
        <v>98</v>
      </c>
      <c r="AO212" s="261">
        <f t="shared" si="472"/>
        <v>98</v>
      </c>
      <c r="AP212" s="265"/>
      <c r="AQ212" s="268"/>
      <c r="AR212" s="104"/>
    </row>
    <row r="213" spans="1:44" x14ac:dyDescent="0.3">
      <c r="A213" s="965"/>
      <c r="B213" s="715" t="s">
        <v>269</v>
      </c>
      <c r="C213" s="273"/>
      <c r="D213" s="274"/>
      <c r="E213" s="274"/>
      <c r="F213" s="277"/>
      <c r="G213" s="271">
        <f>MAX(G208:G210)</f>
        <v>1446.3515684450833</v>
      </c>
      <c r="H213" s="271">
        <f t="shared" ref="H213:T213" si="473">MAX(H208:H210)</f>
        <v>1183.055719962797</v>
      </c>
      <c r="I213" s="271">
        <f t="shared" si="473"/>
        <v>919.75987148051058</v>
      </c>
      <c r="J213" s="271">
        <f t="shared" si="473"/>
        <v>393.16817451593806</v>
      </c>
      <c r="K213" s="271">
        <f t="shared" si="473"/>
        <v>299.10374566669481</v>
      </c>
      <c r="L213" s="271">
        <f t="shared" si="473"/>
        <v>205.03931681745158</v>
      </c>
      <c r="M213" s="271">
        <f t="shared" si="473"/>
        <v>205.04</v>
      </c>
      <c r="N213" s="270">
        <f t="shared" si="473"/>
        <v>50.590397236711773</v>
      </c>
      <c r="O213" s="271">
        <f t="shared" si="473"/>
        <v>41.38085105437105</v>
      </c>
      <c r="P213" s="271">
        <f t="shared" si="473"/>
        <v>32.171304872030326</v>
      </c>
      <c r="Q213" s="271">
        <f t="shared" si="473"/>
        <v>13.752212507348871</v>
      </c>
      <c r="R213" s="271">
        <f t="shared" si="473"/>
        <v>10.462032633278845</v>
      </c>
      <c r="S213" s="271">
        <f t="shared" si="473"/>
        <v>7.1718527592088197</v>
      </c>
      <c r="T213" s="271">
        <f t="shared" si="473"/>
        <v>12.3</v>
      </c>
      <c r="U213" s="273"/>
      <c r="V213" s="274"/>
      <c r="W213" s="274"/>
      <c r="X213" s="274"/>
      <c r="Y213" s="271"/>
      <c r="Z213" s="274"/>
      <c r="AA213" s="271"/>
      <c r="AB213" s="273">
        <f t="shared" ref="AB213:AO213" si="474">MAX(AB208:AB210)</f>
        <v>20</v>
      </c>
      <c r="AC213" s="274">
        <f t="shared" si="474"/>
        <v>20</v>
      </c>
      <c r="AD213" s="274">
        <f t="shared" si="474"/>
        <v>20</v>
      </c>
      <c r="AE213" s="274">
        <f t="shared" si="474"/>
        <v>20</v>
      </c>
      <c r="AF213" s="275">
        <f t="shared" si="474"/>
        <v>20</v>
      </c>
      <c r="AG213" s="275">
        <f t="shared" si="474"/>
        <v>20</v>
      </c>
      <c r="AH213" s="275">
        <f t="shared" si="474"/>
        <v>20</v>
      </c>
      <c r="AI213" s="273">
        <f t="shared" si="474"/>
        <v>98</v>
      </c>
      <c r="AJ213" s="274">
        <f t="shared" si="474"/>
        <v>98</v>
      </c>
      <c r="AK213" s="274">
        <f t="shared" si="474"/>
        <v>98</v>
      </c>
      <c r="AL213" s="274">
        <f t="shared" si="474"/>
        <v>98</v>
      </c>
      <c r="AM213" s="274">
        <f t="shared" si="474"/>
        <v>98</v>
      </c>
      <c r="AN213" s="274">
        <f t="shared" si="474"/>
        <v>98</v>
      </c>
      <c r="AO213" s="274">
        <f t="shared" si="474"/>
        <v>98</v>
      </c>
      <c r="AP213" s="273"/>
      <c r="AQ213" s="277"/>
      <c r="AR213" s="104"/>
    </row>
    <row r="214" spans="1:44" ht="15" customHeight="1" x14ac:dyDescent="0.3">
      <c r="A214" s="965"/>
      <c r="B214" s="943" t="s">
        <v>398</v>
      </c>
      <c r="C214" s="278">
        <v>12</v>
      </c>
      <c r="D214" s="279" t="s">
        <v>60</v>
      </c>
      <c r="E214" s="279">
        <v>2022</v>
      </c>
      <c r="F214" s="280" t="s">
        <v>19</v>
      </c>
      <c r="G214" s="279">
        <f>2.2*10^6/10^3</f>
        <v>2200</v>
      </c>
      <c r="H214" s="279"/>
      <c r="I214" s="281"/>
      <c r="J214" s="281"/>
      <c r="K214" s="281"/>
      <c r="L214" s="281"/>
      <c r="M214" s="281"/>
      <c r="N214" s="508">
        <f t="shared" ref="N214:N216" si="475">G214*0.017*$BE$7</f>
        <v>21.802915440620524</v>
      </c>
      <c r="O214" s="281"/>
      <c r="P214" s="281"/>
      <c r="Q214" s="281"/>
      <c r="R214" s="281"/>
      <c r="S214" s="281"/>
      <c r="T214" s="281"/>
      <c r="U214" s="278"/>
      <c r="V214" s="279"/>
      <c r="W214" s="279"/>
      <c r="X214" s="279"/>
      <c r="Y214" s="281"/>
      <c r="Z214" s="279"/>
      <c r="AA214" s="281"/>
      <c r="AB214" s="278"/>
      <c r="AC214" s="279"/>
      <c r="AD214" s="279"/>
      <c r="AE214" s="279"/>
      <c r="AF214" s="281"/>
      <c r="AG214" s="279"/>
      <c r="AH214" s="281"/>
      <c r="AI214" s="278"/>
      <c r="AJ214" s="279"/>
      <c r="AK214" s="279"/>
      <c r="AL214" s="279"/>
      <c r="AM214" s="281"/>
      <c r="AN214" s="279"/>
      <c r="AO214" s="281"/>
      <c r="AP214" s="278"/>
      <c r="AQ214" s="7"/>
      <c r="AR214" s="104" t="s">
        <v>399</v>
      </c>
    </row>
    <row r="215" spans="1:44" x14ac:dyDescent="0.3">
      <c r="A215" s="965"/>
      <c r="B215" s="944"/>
      <c r="C215" s="289">
        <v>12</v>
      </c>
      <c r="D215" s="290" t="s">
        <v>60</v>
      </c>
      <c r="E215" s="290">
        <v>2022</v>
      </c>
      <c r="F215" s="291" t="s">
        <v>19</v>
      </c>
      <c r="G215" s="290">
        <f>3.4*10^6/10^3</f>
        <v>3400</v>
      </c>
      <c r="H215" s="290"/>
      <c r="I215" s="282"/>
      <c r="J215" s="282"/>
      <c r="K215" s="282"/>
      <c r="L215" s="282"/>
      <c r="M215" s="282"/>
      <c r="N215" s="510">
        <f t="shared" si="475"/>
        <v>33.69541477186808</v>
      </c>
      <c r="O215" s="282"/>
      <c r="P215" s="282"/>
      <c r="Q215" s="282"/>
      <c r="R215" s="282"/>
      <c r="S215" s="282"/>
      <c r="T215" s="282"/>
      <c r="U215" s="289"/>
      <c r="V215" s="290"/>
      <c r="W215" s="290"/>
      <c r="X215" s="290"/>
      <c r="Y215" s="282"/>
      <c r="Z215" s="290"/>
      <c r="AA215" s="282"/>
      <c r="AB215" s="289"/>
      <c r="AC215" s="290"/>
      <c r="AD215" s="290"/>
      <c r="AE215" s="290"/>
      <c r="AF215" s="282"/>
      <c r="AG215" s="290"/>
      <c r="AH215" s="282"/>
      <c r="AI215" s="289"/>
      <c r="AJ215" s="290"/>
      <c r="AK215" s="290"/>
      <c r="AL215" s="290"/>
      <c r="AM215" s="282"/>
      <c r="AN215" s="290"/>
      <c r="AO215" s="282"/>
      <c r="AP215" s="289"/>
      <c r="AQ215" s="11"/>
      <c r="AR215" s="104" t="s">
        <v>400</v>
      </c>
    </row>
    <row r="216" spans="1:44" x14ac:dyDescent="0.3">
      <c r="A216" s="965"/>
      <c r="B216" s="944"/>
      <c r="C216" s="289">
        <v>12</v>
      </c>
      <c r="D216" s="290" t="s">
        <v>60</v>
      </c>
      <c r="E216" s="290">
        <v>2022</v>
      </c>
      <c r="F216" s="291" t="s">
        <v>19</v>
      </c>
      <c r="G216" s="290">
        <f>6.7*10^6/10^3</f>
        <v>6700</v>
      </c>
      <c r="H216" s="290"/>
      <c r="I216" s="282"/>
      <c r="J216" s="282"/>
      <c r="K216" s="282"/>
      <c r="L216" s="282"/>
      <c r="M216" s="282"/>
      <c r="N216" s="510">
        <f t="shared" si="475"/>
        <v>66.399787932798858</v>
      </c>
      <c r="O216" s="282"/>
      <c r="P216" s="282"/>
      <c r="Q216" s="282"/>
      <c r="R216" s="282"/>
      <c r="S216" s="282"/>
      <c r="T216" s="282"/>
      <c r="U216" s="289"/>
      <c r="V216" s="290"/>
      <c r="W216" s="290"/>
      <c r="X216" s="290"/>
      <c r="Y216" s="282"/>
      <c r="Z216" s="290"/>
      <c r="AA216" s="282"/>
      <c r="AB216" s="289"/>
      <c r="AC216" s="290"/>
      <c r="AD216" s="290"/>
      <c r="AE216" s="290"/>
      <c r="AF216" s="282"/>
      <c r="AG216" s="290"/>
      <c r="AH216" s="282"/>
      <c r="AI216" s="289"/>
      <c r="AJ216" s="290"/>
      <c r="AK216" s="290"/>
      <c r="AL216" s="290"/>
      <c r="AM216" s="282"/>
      <c r="AN216" s="290"/>
      <c r="AO216" s="282"/>
      <c r="AP216" s="289"/>
      <c r="AQ216" s="11"/>
      <c r="AR216" s="104" t="s">
        <v>401</v>
      </c>
    </row>
    <row r="217" spans="1:44" x14ac:dyDescent="0.3">
      <c r="A217" s="965"/>
      <c r="B217" s="944"/>
      <c r="C217" s="289">
        <v>17</v>
      </c>
      <c r="D217" s="716" t="s">
        <v>72</v>
      </c>
      <c r="E217" s="290">
        <v>2021</v>
      </c>
      <c r="F217" s="291" t="s">
        <v>19</v>
      </c>
      <c r="G217" s="290">
        <v>2083</v>
      </c>
      <c r="H217" s="290"/>
      <c r="I217" s="282"/>
      <c r="J217" s="282"/>
      <c r="K217" s="282"/>
      <c r="L217" s="282"/>
      <c r="M217" s="282"/>
      <c r="N217" s="106">
        <f t="shared" ref="N217:N218" si="476">G217*0.02*$BE$7</f>
        <v>24.286349124498688</v>
      </c>
      <c r="O217" s="282"/>
      <c r="P217" s="282"/>
      <c r="Q217" s="282"/>
      <c r="R217" s="282"/>
      <c r="S217" s="282"/>
      <c r="T217" s="282"/>
      <c r="U217" s="289"/>
      <c r="V217" s="290"/>
      <c r="W217" s="290"/>
      <c r="X217" s="290"/>
      <c r="Y217" s="282"/>
      <c r="Z217" s="290"/>
      <c r="AA217" s="282"/>
      <c r="AB217" s="289"/>
      <c r="AC217" s="290"/>
      <c r="AD217" s="290"/>
      <c r="AE217" s="290"/>
      <c r="AF217" s="282"/>
      <c r="AG217" s="290"/>
      <c r="AH217" s="282"/>
      <c r="AI217" s="289"/>
      <c r="AJ217" s="290"/>
      <c r="AK217" s="290"/>
      <c r="AL217" s="290"/>
      <c r="AM217" s="282"/>
      <c r="AN217" s="290"/>
      <c r="AO217" s="282"/>
      <c r="AP217" s="289"/>
      <c r="AQ217" s="11"/>
      <c r="AR217" s="104"/>
    </row>
    <row r="218" spans="1:44" x14ac:dyDescent="0.3">
      <c r="A218" s="965"/>
      <c r="B218" s="945"/>
      <c r="C218" s="299">
        <v>17</v>
      </c>
      <c r="D218" s="717" t="s">
        <v>72</v>
      </c>
      <c r="E218" s="300">
        <v>2021</v>
      </c>
      <c r="F218" s="301" t="s">
        <v>19</v>
      </c>
      <c r="G218" s="717"/>
      <c r="H218" s="300"/>
      <c r="I218" s="302"/>
      <c r="J218" s="302"/>
      <c r="K218" s="302"/>
      <c r="L218" s="302"/>
      <c r="M218" s="302"/>
      <c r="N218" s="607">
        <f t="shared" si="476"/>
        <v>0</v>
      </c>
      <c r="O218" s="302"/>
      <c r="P218" s="302"/>
      <c r="Q218" s="302"/>
      <c r="R218" s="302"/>
      <c r="S218" s="302"/>
      <c r="T218" s="302"/>
      <c r="U218" s="299"/>
      <c r="V218" s="300"/>
      <c r="W218" s="300"/>
      <c r="X218" s="300"/>
      <c r="Y218" s="302"/>
      <c r="Z218" s="300"/>
      <c r="AA218" s="302"/>
      <c r="AB218" s="299"/>
      <c r="AC218" s="300"/>
      <c r="AD218" s="300"/>
      <c r="AE218" s="300"/>
      <c r="AF218" s="302"/>
      <c r="AG218" s="300"/>
      <c r="AH218" s="302"/>
      <c r="AI218" s="299"/>
      <c r="AJ218" s="300"/>
      <c r="AK218" s="300"/>
      <c r="AL218" s="300"/>
      <c r="AM218" s="302"/>
      <c r="AN218" s="300"/>
      <c r="AO218" s="302"/>
      <c r="AP218" s="299"/>
      <c r="AQ218" s="18"/>
      <c r="AR218" s="104"/>
    </row>
    <row r="219" spans="1:44" x14ac:dyDescent="0.3">
      <c r="A219" s="965"/>
      <c r="B219" s="718" t="s">
        <v>267</v>
      </c>
      <c r="C219" s="317"/>
      <c r="D219" s="318"/>
      <c r="E219" s="318"/>
      <c r="F219" s="321"/>
      <c r="G219" s="311">
        <f>MIN(G214:G218)</f>
        <v>2083</v>
      </c>
      <c r="H219" s="311"/>
      <c r="I219" s="311"/>
      <c r="J219" s="311"/>
      <c r="K219" s="311"/>
      <c r="L219" s="311"/>
      <c r="M219" s="311"/>
      <c r="N219" s="312">
        <f>MIN(N214:N218)</f>
        <v>0</v>
      </c>
      <c r="O219" s="318"/>
      <c r="P219" s="318"/>
      <c r="Q219" s="318"/>
      <c r="R219" s="318"/>
      <c r="S219" s="318"/>
      <c r="T219" s="321"/>
      <c r="U219" s="328"/>
      <c r="V219" s="311"/>
      <c r="W219" s="311"/>
      <c r="X219" s="311"/>
      <c r="Y219" s="311"/>
      <c r="Z219" s="311"/>
      <c r="AA219" s="311"/>
      <c r="AB219" s="328"/>
      <c r="AC219" s="311"/>
      <c r="AD219" s="311"/>
      <c r="AE219" s="311"/>
      <c r="AF219" s="311"/>
      <c r="AG219" s="311"/>
      <c r="AH219" s="311"/>
      <c r="AI219" s="328"/>
      <c r="AJ219" s="311"/>
      <c r="AK219" s="311"/>
      <c r="AL219" s="311"/>
      <c r="AM219" s="311"/>
      <c r="AN219" s="311"/>
      <c r="AO219" s="311"/>
      <c r="AP219" s="328"/>
      <c r="AQ219" s="331"/>
      <c r="AR219" s="104"/>
    </row>
    <row r="220" spans="1:44" x14ac:dyDescent="0.3">
      <c r="A220" s="965"/>
      <c r="B220" s="718" t="s">
        <v>268</v>
      </c>
      <c r="C220" s="328"/>
      <c r="D220" s="311"/>
      <c r="E220" s="311"/>
      <c r="F220" s="331"/>
      <c r="G220" s="311">
        <f>MEDIAN(G214:G218)</f>
        <v>2800</v>
      </c>
      <c r="H220" s="311"/>
      <c r="I220" s="311"/>
      <c r="J220" s="311"/>
      <c r="K220" s="311"/>
      <c r="L220" s="311"/>
      <c r="M220" s="311"/>
      <c r="N220" s="323">
        <f>MEDIAN(N214:N218)</f>
        <v>24.286349124498688</v>
      </c>
      <c r="O220" s="311"/>
      <c r="P220" s="311"/>
      <c r="Q220" s="311"/>
      <c r="R220" s="311"/>
      <c r="S220" s="311"/>
      <c r="T220" s="331"/>
      <c r="U220" s="328"/>
      <c r="V220" s="311"/>
      <c r="W220" s="311"/>
      <c r="X220" s="311"/>
      <c r="Y220" s="311"/>
      <c r="Z220" s="311"/>
      <c r="AA220" s="311"/>
      <c r="AB220" s="328"/>
      <c r="AC220" s="311"/>
      <c r="AD220" s="311"/>
      <c r="AE220" s="311"/>
      <c r="AF220" s="311"/>
      <c r="AG220" s="311"/>
      <c r="AH220" s="311"/>
      <c r="AI220" s="328"/>
      <c r="AJ220" s="311"/>
      <c r="AK220" s="311"/>
      <c r="AL220" s="311"/>
      <c r="AM220" s="311"/>
      <c r="AN220" s="311"/>
      <c r="AO220" s="311"/>
      <c r="AP220" s="328"/>
      <c r="AQ220" s="331"/>
      <c r="AR220" s="104"/>
    </row>
    <row r="221" spans="1:44" x14ac:dyDescent="0.3">
      <c r="A221" s="966"/>
      <c r="B221" s="719" t="s">
        <v>269</v>
      </c>
      <c r="C221" s="339"/>
      <c r="D221" s="333"/>
      <c r="E221" s="333"/>
      <c r="F221" s="342"/>
      <c r="G221" s="333">
        <f>MAX(G214:G218)</f>
        <v>6700</v>
      </c>
      <c r="H221" s="333"/>
      <c r="I221" s="333"/>
      <c r="J221" s="333"/>
      <c r="K221" s="333"/>
      <c r="L221" s="333"/>
      <c r="M221" s="333"/>
      <c r="N221" s="334">
        <f>MAX(N214:N218)</f>
        <v>66.399787932798858</v>
      </c>
      <c r="O221" s="333"/>
      <c r="P221" s="333"/>
      <c r="Q221" s="333"/>
      <c r="R221" s="333"/>
      <c r="S221" s="333"/>
      <c r="T221" s="342"/>
      <c r="U221" s="339"/>
      <c r="V221" s="333"/>
      <c r="W221" s="333"/>
      <c r="X221" s="333"/>
      <c r="Y221" s="333"/>
      <c r="Z221" s="333"/>
      <c r="AA221" s="333"/>
      <c r="AB221" s="339"/>
      <c r="AC221" s="333"/>
      <c r="AD221" s="333"/>
      <c r="AE221" s="333"/>
      <c r="AF221" s="333"/>
      <c r="AG221" s="333"/>
      <c r="AH221" s="333"/>
      <c r="AI221" s="339"/>
      <c r="AJ221" s="333"/>
      <c r="AK221" s="333"/>
      <c r="AL221" s="333"/>
      <c r="AM221" s="333"/>
      <c r="AN221" s="333"/>
      <c r="AO221" s="333"/>
      <c r="AP221" s="339"/>
      <c r="AQ221" s="342"/>
      <c r="AR221" s="104"/>
    </row>
    <row r="224" spans="1:44" x14ac:dyDescent="0.3">
      <c r="B224" t="s">
        <v>325</v>
      </c>
      <c r="C224" s="12"/>
      <c r="D224" s="12"/>
      <c r="E224" s="14"/>
      <c r="F224" s="14"/>
      <c r="N224" s="82"/>
    </row>
    <row r="225" spans="2:41" x14ac:dyDescent="0.3">
      <c r="B225" s="616">
        <v>1</v>
      </c>
      <c r="C225" s="616" t="s">
        <v>18</v>
      </c>
      <c r="D225" s="616">
        <v>2020</v>
      </c>
      <c r="E225" s="617" t="s">
        <v>19</v>
      </c>
      <c r="F225" s="14"/>
      <c r="J225" s="618">
        <v>2</v>
      </c>
      <c r="K225" s="618" t="s">
        <v>23</v>
      </c>
      <c r="L225" s="618">
        <v>2019</v>
      </c>
      <c r="M225" s="617" t="s">
        <v>19</v>
      </c>
      <c r="P225" s="14"/>
      <c r="R225" s="8"/>
      <c r="U225" s="616">
        <v>9</v>
      </c>
      <c r="V225" s="616" t="s">
        <v>50</v>
      </c>
      <c r="W225" s="616">
        <v>2021</v>
      </c>
      <c r="X225" s="617" t="s">
        <v>19</v>
      </c>
      <c r="AA225" s="14"/>
      <c r="AC225" s="8"/>
      <c r="AE225" s="8"/>
      <c r="AF225" s="83"/>
      <c r="AM225" s="8"/>
      <c r="AO225" s="8"/>
    </row>
    <row r="226" spans="2:41" x14ac:dyDescent="0.3">
      <c r="B226" t="s">
        <v>326</v>
      </c>
      <c r="J226" t="s">
        <v>372</v>
      </c>
      <c r="U226" t="s">
        <v>232</v>
      </c>
    </row>
    <row r="234" spans="2:41" x14ac:dyDescent="0.3">
      <c r="U234" t="s">
        <v>402</v>
      </c>
    </row>
    <row r="240" spans="2:41" x14ac:dyDescent="0.3">
      <c r="B240" t="s">
        <v>328</v>
      </c>
    </row>
    <row r="241" spans="2:32" x14ac:dyDescent="0.3">
      <c r="B241" s="618">
        <v>4</v>
      </c>
      <c r="C241" s="618" t="s">
        <v>31</v>
      </c>
      <c r="D241" s="618">
        <v>2022</v>
      </c>
      <c r="E241" s="617" t="s">
        <v>19</v>
      </c>
      <c r="F241" s="14"/>
    </row>
    <row r="246" spans="2:32" x14ac:dyDescent="0.3">
      <c r="U246" s="616">
        <v>11</v>
      </c>
      <c r="V246" s="616" t="s">
        <v>57</v>
      </c>
      <c r="W246" s="616">
        <v>2022</v>
      </c>
      <c r="X246" s="617" t="s">
        <v>19</v>
      </c>
      <c r="AF246" s="83"/>
    </row>
    <row r="247" spans="2:32" x14ac:dyDescent="0.3">
      <c r="U247" t="s">
        <v>403</v>
      </c>
    </row>
    <row r="251" spans="2:32" x14ac:dyDescent="0.3">
      <c r="B251" s="12"/>
      <c r="C251" s="12"/>
      <c r="D251" s="12"/>
      <c r="E251" s="14"/>
    </row>
    <row r="252" spans="2:32" x14ac:dyDescent="0.3">
      <c r="B252" s="616">
        <v>12</v>
      </c>
      <c r="C252" s="616" t="s">
        <v>60</v>
      </c>
      <c r="D252" s="616">
        <v>2022</v>
      </c>
      <c r="E252" s="617" t="s">
        <v>19</v>
      </c>
      <c r="F252" s="82"/>
      <c r="G252" s="83"/>
    </row>
    <row r="253" spans="2:32" x14ac:dyDescent="0.3">
      <c r="B253" t="s">
        <v>404</v>
      </c>
    </row>
    <row r="275" spans="2:4" x14ac:dyDescent="0.3">
      <c r="B275" s="81" t="s">
        <v>405</v>
      </c>
      <c r="C275" s="81"/>
      <c r="D275" t="s">
        <v>406</v>
      </c>
    </row>
    <row r="276" spans="2:4" x14ac:dyDescent="0.3">
      <c r="B276" t="s">
        <v>407</v>
      </c>
    </row>
    <row r="292" spans="4:9" x14ac:dyDescent="0.3">
      <c r="D292" s="83" t="s">
        <v>408</v>
      </c>
    </row>
    <row r="294" spans="4:9" x14ac:dyDescent="0.3">
      <c r="I294" t="s">
        <v>409</v>
      </c>
    </row>
    <row r="297" spans="4:9" x14ac:dyDescent="0.3">
      <c r="D297" s="83" t="s">
        <v>410</v>
      </c>
    </row>
    <row r="298" spans="4:9" x14ac:dyDescent="0.3">
      <c r="D298" s="83" t="s">
        <v>411</v>
      </c>
    </row>
    <row r="313" spans="4:12" x14ac:dyDescent="0.3">
      <c r="D313" t="s">
        <v>412</v>
      </c>
    </row>
    <row r="314" spans="4:12" x14ac:dyDescent="0.3">
      <c r="D314" s="81" t="s">
        <v>413</v>
      </c>
      <c r="E314" t="s">
        <v>414</v>
      </c>
      <c r="L314" s="83" t="s">
        <v>19</v>
      </c>
    </row>
    <row r="331" spans="3:8" x14ac:dyDescent="0.3">
      <c r="D331" s="616">
        <v>17</v>
      </c>
      <c r="E331" s="81" t="s">
        <v>72</v>
      </c>
      <c r="F331" s="618">
        <v>2021</v>
      </c>
      <c r="G331" s="617" t="s">
        <v>19</v>
      </c>
      <c r="H331" t="s">
        <v>415</v>
      </c>
    </row>
    <row r="333" spans="3:8" x14ac:dyDescent="0.3">
      <c r="C333" t="s">
        <v>416</v>
      </c>
    </row>
    <row r="353" spans="12:12" x14ac:dyDescent="0.3">
      <c r="L353" t="s">
        <v>417</v>
      </c>
    </row>
  </sheetData>
  <mergeCells count="46">
    <mergeCell ref="A1:A2"/>
    <mergeCell ref="B1:B2"/>
    <mergeCell ref="C1:F1"/>
    <mergeCell ref="G1:M1"/>
    <mergeCell ref="N1:T1"/>
    <mergeCell ref="U1:AA1"/>
    <mergeCell ref="AB1:AH1"/>
    <mergeCell ref="AI1:AO1"/>
    <mergeCell ref="AP1:AQ1"/>
    <mergeCell ref="AR1:AR2"/>
    <mergeCell ref="A3:A56"/>
    <mergeCell ref="B3:B8"/>
    <mergeCell ref="B12:B13"/>
    <mergeCell ref="B17:B19"/>
    <mergeCell ref="B23:B26"/>
    <mergeCell ref="B30:B32"/>
    <mergeCell ref="B36:B39"/>
    <mergeCell ref="B43:B45"/>
    <mergeCell ref="B49:B53"/>
    <mergeCell ref="A58:A111"/>
    <mergeCell ref="B58:B63"/>
    <mergeCell ref="B67:B68"/>
    <mergeCell ref="B72:B74"/>
    <mergeCell ref="B78:B81"/>
    <mergeCell ref="B85:B87"/>
    <mergeCell ref="B91:B94"/>
    <mergeCell ref="B98:B100"/>
    <mergeCell ref="B104:B108"/>
    <mergeCell ref="A113:A166"/>
    <mergeCell ref="B113:B118"/>
    <mergeCell ref="B122:B123"/>
    <mergeCell ref="B127:B129"/>
    <mergeCell ref="B133:B136"/>
    <mergeCell ref="B140:B142"/>
    <mergeCell ref="B146:B149"/>
    <mergeCell ref="B153:B155"/>
    <mergeCell ref="B159:B163"/>
    <mergeCell ref="A168:A221"/>
    <mergeCell ref="B168:B173"/>
    <mergeCell ref="B177:B178"/>
    <mergeCell ref="B182:B184"/>
    <mergeCell ref="B188:B191"/>
    <mergeCell ref="B195:B197"/>
    <mergeCell ref="B201:B204"/>
    <mergeCell ref="B208:B210"/>
    <mergeCell ref="B214:B218"/>
  </mergeCells>
  <hyperlinks>
    <hyperlink ref="F3" r:id="rId1" xr:uid="{00000000-0004-0000-0500-000000000000}"/>
    <hyperlink ref="F4" r:id="rId2" xr:uid="{00000000-0004-0000-0500-000001000000}"/>
    <hyperlink ref="F5" r:id="rId3" xr:uid="{00000000-0004-0000-0500-000002000000}"/>
    <hyperlink ref="F6" r:id="rId4" xr:uid="{00000000-0004-0000-0500-000003000000}"/>
    <hyperlink ref="F7" r:id="rId5" xr:uid="{00000000-0004-0000-0500-000004000000}"/>
    <hyperlink ref="F8" r:id="rId6" xr:uid="{00000000-0004-0000-0500-000005000000}"/>
    <hyperlink ref="F12" r:id="rId7" xr:uid="{00000000-0004-0000-0500-000006000000}"/>
    <hyperlink ref="F13" r:id="rId8" xr:uid="{00000000-0004-0000-0500-000007000000}"/>
    <hyperlink ref="F17" r:id="rId9" xr:uid="{00000000-0004-0000-0500-000008000000}"/>
    <hyperlink ref="F18" r:id="rId10" xr:uid="{00000000-0004-0000-0500-000009000000}"/>
    <hyperlink ref="F19" r:id="rId11" xr:uid="{00000000-0004-0000-0500-00000A000000}"/>
    <hyperlink ref="F23" r:id="rId12" xr:uid="{00000000-0004-0000-0500-00000B000000}"/>
    <hyperlink ref="F24" r:id="rId13" xr:uid="{00000000-0004-0000-0500-00000C000000}"/>
    <hyperlink ref="F25" r:id="rId14" xr:uid="{00000000-0004-0000-0500-00000D000000}"/>
    <hyperlink ref="F26" r:id="rId15" xr:uid="{00000000-0004-0000-0500-00000E000000}"/>
    <hyperlink ref="F30" r:id="rId16" xr:uid="{00000000-0004-0000-0500-00000F000000}"/>
    <hyperlink ref="F31" r:id="rId17" xr:uid="{00000000-0004-0000-0500-000010000000}"/>
    <hyperlink ref="F32" r:id="rId18" xr:uid="{00000000-0004-0000-0500-000011000000}"/>
    <hyperlink ref="F36" r:id="rId19" xr:uid="{00000000-0004-0000-0500-000012000000}"/>
    <hyperlink ref="F37" r:id="rId20" xr:uid="{00000000-0004-0000-0500-000013000000}"/>
    <hyperlink ref="F38" r:id="rId21" xr:uid="{00000000-0004-0000-0500-000014000000}"/>
    <hyperlink ref="F39" r:id="rId22" xr:uid="{00000000-0004-0000-0500-000015000000}"/>
    <hyperlink ref="F43" r:id="rId23" xr:uid="{00000000-0004-0000-0500-000016000000}"/>
    <hyperlink ref="F44" r:id="rId24" xr:uid="{00000000-0004-0000-0500-000017000000}"/>
    <hyperlink ref="F45" r:id="rId25" xr:uid="{00000000-0004-0000-0500-000018000000}"/>
    <hyperlink ref="F49" r:id="rId26" xr:uid="{00000000-0004-0000-0500-000019000000}"/>
    <hyperlink ref="F50" r:id="rId27" xr:uid="{00000000-0004-0000-0500-00001A000000}"/>
    <hyperlink ref="F51" r:id="rId28" xr:uid="{00000000-0004-0000-0500-00001B000000}"/>
    <hyperlink ref="F52" r:id="rId29" xr:uid="{00000000-0004-0000-0500-00001C000000}"/>
    <hyperlink ref="F53" r:id="rId30" xr:uid="{00000000-0004-0000-0500-00001D000000}"/>
    <hyperlink ref="F58" r:id="rId31" xr:uid="{00000000-0004-0000-0500-00001E000000}"/>
    <hyperlink ref="F59" r:id="rId32" xr:uid="{00000000-0004-0000-0500-00001F000000}"/>
    <hyperlink ref="F60" r:id="rId33" xr:uid="{00000000-0004-0000-0500-000020000000}"/>
    <hyperlink ref="F61" r:id="rId34" xr:uid="{00000000-0004-0000-0500-000021000000}"/>
    <hyperlink ref="F62" r:id="rId35" xr:uid="{00000000-0004-0000-0500-000022000000}"/>
    <hyperlink ref="F63" r:id="rId36" xr:uid="{00000000-0004-0000-0500-000023000000}"/>
    <hyperlink ref="F67" r:id="rId37" xr:uid="{00000000-0004-0000-0500-000024000000}"/>
    <hyperlink ref="F68" r:id="rId38" xr:uid="{00000000-0004-0000-0500-000025000000}"/>
    <hyperlink ref="F72" r:id="rId39" xr:uid="{00000000-0004-0000-0500-000026000000}"/>
    <hyperlink ref="F73" r:id="rId40" xr:uid="{00000000-0004-0000-0500-000027000000}"/>
    <hyperlink ref="F74" r:id="rId41" xr:uid="{00000000-0004-0000-0500-000028000000}"/>
    <hyperlink ref="F78" r:id="rId42" xr:uid="{00000000-0004-0000-0500-000029000000}"/>
    <hyperlink ref="F79" r:id="rId43" xr:uid="{00000000-0004-0000-0500-00002A000000}"/>
    <hyperlink ref="F80" r:id="rId44" xr:uid="{00000000-0004-0000-0500-00002B000000}"/>
    <hyperlink ref="F81" r:id="rId45" xr:uid="{00000000-0004-0000-0500-00002C000000}"/>
    <hyperlink ref="F85" r:id="rId46" xr:uid="{00000000-0004-0000-0500-00002D000000}"/>
    <hyperlink ref="F86" r:id="rId47" xr:uid="{00000000-0004-0000-0500-00002E000000}"/>
    <hyperlink ref="F87" r:id="rId48" xr:uid="{00000000-0004-0000-0500-00002F000000}"/>
    <hyperlink ref="F91" r:id="rId49" xr:uid="{00000000-0004-0000-0500-000030000000}"/>
    <hyperlink ref="F92" r:id="rId50" xr:uid="{00000000-0004-0000-0500-000031000000}"/>
    <hyperlink ref="F93" r:id="rId51" xr:uid="{00000000-0004-0000-0500-000032000000}"/>
    <hyperlink ref="F94" r:id="rId52" xr:uid="{00000000-0004-0000-0500-000033000000}"/>
    <hyperlink ref="F98" r:id="rId53" xr:uid="{00000000-0004-0000-0500-000034000000}"/>
    <hyperlink ref="F99" r:id="rId54" xr:uid="{00000000-0004-0000-0500-000035000000}"/>
    <hyperlink ref="F100" r:id="rId55" xr:uid="{00000000-0004-0000-0500-000036000000}"/>
    <hyperlink ref="F104" r:id="rId56" xr:uid="{00000000-0004-0000-0500-000037000000}"/>
    <hyperlink ref="F105" r:id="rId57" xr:uid="{00000000-0004-0000-0500-000038000000}"/>
    <hyperlink ref="F106" r:id="rId58" xr:uid="{00000000-0004-0000-0500-000039000000}"/>
    <hyperlink ref="F107" r:id="rId59" xr:uid="{00000000-0004-0000-0500-00003A000000}"/>
    <hyperlink ref="F108" r:id="rId60" xr:uid="{00000000-0004-0000-0500-00003B000000}"/>
    <hyperlink ref="F113" r:id="rId61" xr:uid="{00000000-0004-0000-0500-00003C000000}"/>
    <hyperlink ref="F114" r:id="rId62" xr:uid="{00000000-0004-0000-0500-00003D000000}"/>
    <hyperlink ref="F115" r:id="rId63" xr:uid="{00000000-0004-0000-0500-00003E000000}"/>
    <hyperlink ref="F116" r:id="rId64" xr:uid="{00000000-0004-0000-0500-00003F000000}"/>
    <hyperlink ref="F117" r:id="rId65" xr:uid="{00000000-0004-0000-0500-000040000000}"/>
    <hyperlink ref="F118" r:id="rId66" xr:uid="{00000000-0004-0000-0500-000041000000}"/>
    <hyperlink ref="F122" r:id="rId67" xr:uid="{00000000-0004-0000-0500-000042000000}"/>
    <hyperlink ref="F123" r:id="rId68" xr:uid="{00000000-0004-0000-0500-000043000000}"/>
    <hyperlink ref="F127" r:id="rId69" xr:uid="{00000000-0004-0000-0500-000044000000}"/>
    <hyperlink ref="F128" r:id="rId70" xr:uid="{00000000-0004-0000-0500-000045000000}"/>
    <hyperlink ref="F129" r:id="rId71" xr:uid="{00000000-0004-0000-0500-000046000000}"/>
    <hyperlink ref="F133" r:id="rId72" xr:uid="{00000000-0004-0000-0500-000047000000}"/>
    <hyperlink ref="F134" r:id="rId73" xr:uid="{00000000-0004-0000-0500-000048000000}"/>
    <hyperlink ref="F135" r:id="rId74" xr:uid="{00000000-0004-0000-0500-000049000000}"/>
    <hyperlink ref="F136" r:id="rId75" xr:uid="{00000000-0004-0000-0500-00004A000000}"/>
    <hyperlink ref="F140" r:id="rId76" xr:uid="{00000000-0004-0000-0500-00004B000000}"/>
    <hyperlink ref="F141" r:id="rId77" xr:uid="{00000000-0004-0000-0500-00004C000000}"/>
    <hyperlink ref="F142" r:id="rId78" xr:uid="{00000000-0004-0000-0500-00004D000000}"/>
    <hyperlink ref="F146" r:id="rId79" xr:uid="{00000000-0004-0000-0500-00004E000000}"/>
    <hyperlink ref="F147" r:id="rId80" xr:uid="{00000000-0004-0000-0500-00004F000000}"/>
    <hyperlink ref="F148" r:id="rId81" xr:uid="{00000000-0004-0000-0500-000050000000}"/>
    <hyperlink ref="F149" r:id="rId82" xr:uid="{00000000-0004-0000-0500-000051000000}"/>
    <hyperlink ref="F153" r:id="rId83" xr:uid="{00000000-0004-0000-0500-000052000000}"/>
    <hyperlink ref="F154" r:id="rId84" xr:uid="{00000000-0004-0000-0500-000053000000}"/>
    <hyperlink ref="F155" r:id="rId85" xr:uid="{00000000-0004-0000-0500-000054000000}"/>
    <hyperlink ref="F159" r:id="rId86" xr:uid="{00000000-0004-0000-0500-000055000000}"/>
    <hyperlink ref="F160" r:id="rId87" xr:uid="{00000000-0004-0000-0500-000056000000}"/>
    <hyperlink ref="F161" r:id="rId88" xr:uid="{00000000-0004-0000-0500-000057000000}"/>
    <hyperlink ref="F162" r:id="rId89" xr:uid="{00000000-0004-0000-0500-000058000000}"/>
    <hyperlink ref="F163" r:id="rId90" xr:uid="{00000000-0004-0000-0500-000059000000}"/>
    <hyperlink ref="F168" r:id="rId91" xr:uid="{00000000-0004-0000-0500-00005A000000}"/>
    <hyperlink ref="F169" r:id="rId92" xr:uid="{00000000-0004-0000-0500-00005B000000}"/>
    <hyperlink ref="F170" r:id="rId93" xr:uid="{00000000-0004-0000-0500-00005C000000}"/>
    <hyperlink ref="F171" r:id="rId94" xr:uid="{00000000-0004-0000-0500-00005D000000}"/>
    <hyperlink ref="F172" r:id="rId95" xr:uid="{00000000-0004-0000-0500-00005E000000}"/>
    <hyperlink ref="F173" r:id="rId96" xr:uid="{00000000-0004-0000-0500-00005F000000}"/>
    <hyperlink ref="F177" r:id="rId97" xr:uid="{00000000-0004-0000-0500-000060000000}"/>
    <hyperlink ref="F178" r:id="rId98" xr:uid="{00000000-0004-0000-0500-000061000000}"/>
    <hyperlink ref="F182" r:id="rId99" xr:uid="{00000000-0004-0000-0500-000062000000}"/>
    <hyperlink ref="F183" r:id="rId100" xr:uid="{00000000-0004-0000-0500-000063000000}"/>
    <hyperlink ref="F184" r:id="rId101" xr:uid="{00000000-0004-0000-0500-000064000000}"/>
    <hyperlink ref="F188" r:id="rId102" xr:uid="{00000000-0004-0000-0500-000065000000}"/>
    <hyperlink ref="F189" r:id="rId103" xr:uid="{00000000-0004-0000-0500-000066000000}"/>
    <hyperlink ref="F190" r:id="rId104" xr:uid="{00000000-0004-0000-0500-000067000000}"/>
    <hyperlink ref="F191" r:id="rId105" xr:uid="{00000000-0004-0000-0500-000068000000}"/>
    <hyperlink ref="F195" r:id="rId106" xr:uid="{00000000-0004-0000-0500-000069000000}"/>
    <hyperlink ref="F196" r:id="rId107" xr:uid="{00000000-0004-0000-0500-00006A000000}"/>
    <hyperlink ref="F197" r:id="rId108" xr:uid="{00000000-0004-0000-0500-00006B000000}"/>
    <hyperlink ref="F201" r:id="rId109" xr:uid="{00000000-0004-0000-0500-00006C000000}"/>
    <hyperlink ref="F202" r:id="rId110" xr:uid="{00000000-0004-0000-0500-00006D000000}"/>
    <hyperlink ref="F203" r:id="rId111" xr:uid="{00000000-0004-0000-0500-00006E000000}"/>
    <hyperlink ref="F204" r:id="rId112" xr:uid="{00000000-0004-0000-0500-00006F000000}"/>
    <hyperlink ref="F208" r:id="rId113" xr:uid="{00000000-0004-0000-0500-000070000000}"/>
    <hyperlink ref="F209" r:id="rId114" xr:uid="{00000000-0004-0000-0500-000071000000}"/>
    <hyperlink ref="F210" r:id="rId115" xr:uid="{00000000-0004-0000-0500-000072000000}"/>
    <hyperlink ref="F214" r:id="rId116" xr:uid="{00000000-0004-0000-0500-000073000000}"/>
    <hyperlink ref="F215" r:id="rId117" xr:uid="{00000000-0004-0000-0500-000074000000}"/>
    <hyperlink ref="F216" r:id="rId118" xr:uid="{00000000-0004-0000-0500-000075000000}"/>
    <hyperlink ref="F217" r:id="rId119" xr:uid="{00000000-0004-0000-0500-000076000000}"/>
    <hyperlink ref="F218" r:id="rId120" xr:uid="{00000000-0004-0000-0500-000077000000}"/>
    <hyperlink ref="E225" r:id="rId121" xr:uid="{00000000-0004-0000-0500-000078000000}"/>
    <hyperlink ref="M225" r:id="rId122" xr:uid="{00000000-0004-0000-0500-000079000000}"/>
    <hyperlink ref="X225" r:id="rId123" xr:uid="{00000000-0004-0000-0500-00007A000000}"/>
    <hyperlink ref="E241" r:id="rId124" xr:uid="{00000000-0004-0000-0500-00007B000000}"/>
    <hyperlink ref="X246" r:id="rId125" xr:uid="{00000000-0004-0000-0500-00007C000000}"/>
    <hyperlink ref="E252" r:id="rId126" xr:uid="{00000000-0004-0000-0500-00007D000000}"/>
    <hyperlink ref="D292" r:id="rId127" xr:uid="{00000000-0004-0000-0500-00007E000000}"/>
    <hyperlink ref="D297" r:id="rId128" xr:uid="{00000000-0004-0000-0500-00007F000000}"/>
    <hyperlink ref="D298" r:id="rId129" xr:uid="{00000000-0004-0000-0500-000080000000}"/>
    <hyperlink ref="L314" r:id="rId130" xr:uid="{00000000-0004-0000-0500-000081000000}"/>
    <hyperlink ref="G331" r:id="rId131" xr:uid="{00000000-0004-0000-0500-000082000000}"/>
  </hyperlinks>
  <pageMargins left="0.7" right="0.7" top="0.78740157500000008" bottom="0.78740157500000008" header="0.3" footer="0.3"/>
  <pageSetup paperSize="9" orientation="portrait"/>
  <drawing r:id="rId132"/>
  <legacyDrawing r:id="rId13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AW428"/>
  <sheetViews>
    <sheetView topLeftCell="A169" zoomScale="85" workbookViewId="0">
      <selection activeCell="G216" sqref="G216"/>
    </sheetView>
  </sheetViews>
  <sheetFormatPr baseColWidth="10" defaultRowHeight="14.4" x14ac:dyDescent="0.3"/>
  <cols>
    <col min="2" max="2" width="18" customWidth="1"/>
    <col min="7" max="7" width="12.6640625" bestFit="1" customWidth="1"/>
    <col min="8" max="8" width="12.109375" bestFit="1" customWidth="1"/>
    <col min="9" max="9" width="11.6640625" bestFit="1" customWidth="1"/>
    <col min="10" max="10" width="12.109375" bestFit="1" customWidth="1"/>
    <col min="11" max="11" width="12.109375" customWidth="1"/>
    <col min="13" max="13" width="12.109375" customWidth="1"/>
    <col min="18" max="18" width="12.109375" customWidth="1"/>
    <col min="20" max="20" width="12.109375" customWidth="1"/>
    <col min="25" max="25" width="12.109375" customWidth="1"/>
    <col min="27" max="27" width="12.109375" customWidth="1"/>
    <col min="32" max="32" width="12.109375" customWidth="1"/>
    <col min="34" max="34" width="12.109375" customWidth="1"/>
    <col min="39" max="39" width="12.109375" customWidth="1"/>
    <col min="41" max="41" width="12.109375" customWidth="1"/>
  </cols>
  <sheetData>
    <row r="1" spans="1:49" ht="14.25" customHeight="1" x14ac:dyDescent="0.3">
      <c r="A1" s="935" t="s">
        <v>259</v>
      </c>
      <c r="B1" s="947" t="s">
        <v>1</v>
      </c>
      <c r="C1" s="949" t="s">
        <v>246</v>
      </c>
      <c r="D1" s="950"/>
      <c r="E1" s="950"/>
      <c r="F1" s="951"/>
      <c r="G1" s="949" t="s">
        <v>418</v>
      </c>
      <c r="H1" s="950"/>
      <c r="I1" s="950"/>
      <c r="J1" s="950"/>
      <c r="K1" s="950"/>
      <c r="L1" s="950"/>
      <c r="M1" s="951"/>
      <c r="N1" s="914" t="s">
        <v>419</v>
      </c>
      <c r="O1" s="915"/>
      <c r="P1" s="915"/>
      <c r="Q1" s="915"/>
      <c r="R1" s="915"/>
      <c r="S1" s="915"/>
      <c r="T1" s="916"/>
      <c r="U1" s="914" t="s">
        <v>249</v>
      </c>
      <c r="V1" s="915"/>
      <c r="W1" s="915"/>
      <c r="X1" s="915"/>
      <c r="Y1" s="915"/>
      <c r="Z1" s="915"/>
      <c r="AA1" s="916"/>
      <c r="AB1" s="914" t="s">
        <v>250</v>
      </c>
      <c r="AC1" s="915"/>
      <c r="AD1" s="915"/>
      <c r="AE1" s="915"/>
      <c r="AF1" s="915"/>
      <c r="AG1" s="915"/>
      <c r="AH1" s="916"/>
      <c r="AI1" s="914" t="s">
        <v>251</v>
      </c>
      <c r="AJ1" s="915"/>
      <c r="AK1" s="915"/>
      <c r="AL1" s="915"/>
      <c r="AM1" s="915"/>
      <c r="AN1" s="915"/>
      <c r="AO1" s="916"/>
      <c r="AP1" s="914" t="s">
        <v>252</v>
      </c>
      <c r="AQ1" s="916"/>
      <c r="AR1" s="962" t="s">
        <v>253</v>
      </c>
    </row>
    <row r="2" spans="1:49" ht="14.25" customHeight="1" x14ac:dyDescent="0.3">
      <c r="A2" s="936"/>
      <c r="B2" s="963"/>
      <c r="C2" s="86" t="s">
        <v>254</v>
      </c>
      <c r="D2" s="87" t="s">
        <v>255</v>
      </c>
      <c r="E2" s="85" t="s">
        <v>256</v>
      </c>
      <c r="F2" s="622" t="s">
        <v>19</v>
      </c>
      <c r="G2" s="86">
        <v>2020</v>
      </c>
      <c r="H2" s="87">
        <v>2025</v>
      </c>
      <c r="I2" s="87">
        <v>2030</v>
      </c>
      <c r="J2" s="87">
        <v>2040</v>
      </c>
      <c r="K2" s="87">
        <v>2045</v>
      </c>
      <c r="L2" s="87">
        <v>2050</v>
      </c>
      <c r="M2" s="87">
        <v>2060</v>
      </c>
      <c r="N2" s="86">
        <v>2020</v>
      </c>
      <c r="O2" s="87">
        <v>2025</v>
      </c>
      <c r="P2" s="87">
        <v>2030</v>
      </c>
      <c r="Q2" s="87">
        <v>2040</v>
      </c>
      <c r="R2" s="87">
        <v>2045</v>
      </c>
      <c r="S2" s="87">
        <v>2050</v>
      </c>
      <c r="T2" s="87">
        <v>2060</v>
      </c>
      <c r="U2" s="86">
        <v>2020</v>
      </c>
      <c r="V2" s="87">
        <v>2025</v>
      </c>
      <c r="W2" s="87">
        <v>2030</v>
      </c>
      <c r="X2" s="87">
        <v>2040</v>
      </c>
      <c r="Y2" s="87">
        <v>2045</v>
      </c>
      <c r="Z2" s="87">
        <v>2050</v>
      </c>
      <c r="AA2" s="87">
        <v>2060</v>
      </c>
      <c r="AB2" s="86">
        <v>2020</v>
      </c>
      <c r="AC2" s="87">
        <v>2025</v>
      </c>
      <c r="AD2" s="87">
        <v>2030</v>
      </c>
      <c r="AE2" s="87">
        <v>2040</v>
      </c>
      <c r="AF2" s="87">
        <v>2045</v>
      </c>
      <c r="AG2" s="87">
        <v>2050</v>
      </c>
      <c r="AH2" s="87">
        <v>2060</v>
      </c>
      <c r="AI2" s="86">
        <v>2020</v>
      </c>
      <c r="AJ2" s="87">
        <v>2025</v>
      </c>
      <c r="AK2" s="87">
        <v>2030</v>
      </c>
      <c r="AL2" s="87">
        <v>2040</v>
      </c>
      <c r="AM2" s="87">
        <v>2045</v>
      </c>
      <c r="AN2" s="87">
        <v>2050</v>
      </c>
      <c r="AO2" s="87">
        <v>2060</v>
      </c>
      <c r="AP2" s="86" t="s">
        <v>257</v>
      </c>
      <c r="AQ2" s="622" t="s">
        <v>258</v>
      </c>
      <c r="AR2" s="962"/>
      <c r="AV2" t="s">
        <v>123</v>
      </c>
    </row>
    <row r="3" spans="1:49" ht="14.25" customHeight="1" x14ac:dyDescent="0.3">
      <c r="A3" s="936"/>
      <c r="B3" s="1010" t="s">
        <v>420</v>
      </c>
      <c r="C3" s="687">
        <v>2</v>
      </c>
      <c r="D3" s="90" t="s">
        <v>23</v>
      </c>
      <c r="E3" s="90">
        <v>2019</v>
      </c>
      <c r="F3" s="688" t="s">
        <v>19</v>
      </c>
      <c r="G3" s="447">
        <f>1.21*10^6*(1/1.1297)*(1/(340*10^6))*(1/(1/8760))*(1/33.33)*10^3</f>
        <v>827.96526402167694</v>
      </c>
      <c r="H3" s="97"/>
      <c r="I3" s="94"/>
      <c r="J3" s="94"/>
      <c r="K3" s="94"/>
      <c r="L3" s="94"/>
      <c r="M3" s="94"/>
      <c r="N3" s="447"/>
      <c r="O3" s="94"/>
      <c r="P3" s="94"/>
      <c r="Q3" s="94"/>
      <c r="R3" s="94"/>
      <c r="S3" s="94"/>
      <c r="T3" s="94"/>
      <c r="U3" s="96"/>
      <c r="V3" s="97"/>
      <c r="W3" s="97"/>
      <c r="X3" s="97"/>
      <c r="Y3" s="94"/>
      <c r="Z3" s="97"/>
      <c r="AA3" s="94"/>
      <c r="AB3" s="96">
        <v>40</v>
      </c>
      <c r="AC3" s="97"/>
      <c r="AD3" s="97"/>
      <c r="AE3" s="97"/>
      <c r="AF3" s="94"/>
      <c r="AG3" s="97"/>
      <c r="AH3" s="94"/>
      <c r="AI3" s="96"/>
      <c r="AJ3" s="97"/>
      <c r="AK3" s="97"/>
      <c r="AL3" s="97"/>
      <c r="AM3" s="94"/>
      <c r="AN3" s="97"/>
      <c r="AO3" s="94"/>
      <c r="AP3" s="826"/>
      <c r="AQ3" s="827"/>
      <c r="AR3" s="104" t="s">
        <v>421</v>
      </c>
      <c r="AV3" t="s">
        <v>128</v>
      </c>
      <c r="AW3" s="76">
        <v>1.3486719798104709</v>
      </c>
    </row>
    <row r="4" spans="1:49" ht="14.25" customHeight="1" x14ac:dyDescent="0.3">
      <c r="A4" s="936"/>
      <c r="B4" s="1012"/>
      <c r="C4" s="691">
        <v>1</v>
      </c>
      <c r="D4" s="120" t="s">
        <v>18</v>
      </c>
      <c r="E4" s="120">
        <v>2020</v>
      </c>
      <c r="F4" s="692" t="s">
        <v>19</v>
      </c>
      <c r="G4" s="587"/>
      <c r="H4" s="124"/>
      <c r="I4" s="121"/>
      <c r="J4" s="121"/>
      <c r="K4" s="121"/>
      <c r="L4" s="121"/>
      <c r="M4" s="121"/>
      <c r="N4" s="587"/>
      <c r="O4" s="121"/>
      <c r="P4" s="121"/>
      <c r="Q4" s="121"/>
      <c r="R4" s="121"/>
      <c r="S4" s="121"/>
      <c r="T4" s="121"/>
      <c r="U4" s="123"/>
      <c r="V4" s="124"/>
      <c r="W4" s="124"/>
      <c r="X4" s="124"/>
      <c r="Y4" s="121"/>
      <c r="Z4" s="124"/>
      <c r="AA4" s="121"/>
      <c r="AB4" s="123">
        <v>40</v>
      </c>
      <c r="AC4" s="124"/>
      <c r="AD4" s="124"/>
      <c r="AE4" s="124"/>
      <c r="AF4" s="121"/>
      <c r="AG4" s="124"/>
      <c r="AH4" s="121"/>
      <c r="AI4" s="123"/>
      <c r="AJ4" s="124"/>
      <c r="AK4" s="124"/>
      <c r="AL4" s="124"/>
      <c r="AM4" s="121"/>
      <c r="AN4" s="124"/>
      <c r="AO4" s="121"/>
      <c r="AP4" s="1017"/>
      <c r="AQ4" s="1016"/>
      <c r="AR4" s="104"/>
      <c r="AV4" t="s">
        <v>132</v>
      </c>
      <c r="AW4" s="76">
        <v>1.3374192380309164</v>
      </c>
    </row>
    <row r="5" spans="1:49" ht="14.25" customHeight="1" x14ac:dyDescent="0.3">
      <c r="A5" s="936"/>
      <c r="B5" s="1010" t="s">
        <v>422</v>
      </c>
      <c r="C5" s="687">
        <v>12</v>
      </c>
      <c r="D5" s="90" t="s">
        <v>60</v>
      </c>
      <c r="E5" s="90">
        <v>2022</v>
      </c>
      <c r="F5" s="688" t="s">
        <v>19</v>
      </c>
      <c r="G5" s="447">
        <f>S294</f>
        <v>1084.4865132158436</v>
      </c>
      <c r="H5" s="94"/>
      <c r="I5" s="94"/>
      <c r="J5" s="94"/>
      <c r="K5" s="94"/>
      <c r="L5" s="94"/>
      <c r="M5" s="94"/>
      <c r="N5" s="447">
        <f>1.4*10^6*0.008</f>
        <v>11200</v>
      </c>
      <c r="O5" s="94"/>
      <c r="P5" s="94"/>
      <c r="Q5" s="94"/>
      <c r="R5" s="94"/>
      <c r="S5" s="94"/>
      <c r="T5" s="94"/>
      <c r="U5" s="96"/>
      <c r="V5" s="97"/>
      <c r="W5" s="97"/>
      <c r="X5" s="97"/>
      <c r="Y5" s="94"/>
      <c r="Z5" s="97"/>
      <c r="AA5" s="94"/>
      <c r="AB5" s="96"/>
      <c r="AC5" s="97"/>
      <c r="AD5" s="97"/>
      <c r="AE5" s="97"/>
      <c r="AF5" s="94"/>
      <c r="AG5" s="97"/>
      <c r="AH5" s="94"/>
      <c r="AI5" s="96"/>
      <c r="AJ5" s="97"/>
      <c r="AK5" s="97"/>
      <c r="AL5" s="97"/>
      <c r="AM5" s="94"/>
      <c r="AN5" s="97"/>
      <c r="AO5" s="94"/>
      <c r="AP5" s="1013">
        <v>0.05</v>
      </c>
      <c r="AQ5" s="827"/>
      <c r="AR5" s="104" t="s">
        <v>423</v>
      </c>
      <c r="AV5" t="s">
        <v>130</v>
      </c>
      <c r="AW5" s="76">
        <v>0.58296565349252727</v>
      </c>
    </row>
    <row r="6" spans="1:49" ht="14.25" customHeight="1" x14ac:dyDescent="0.3">
      <c r="A6" s="936"/>
      <c r="B6" s="1011"/>
      <c r="C6" s="689">
        <v>12</v>
      </c>
      <c r="D6" s="105" t="s">
        <v>60</v>
      </c>
      <c r="E6" s="105">
        <v>2022</v>
      </c>
      <c r="F6" s="690" t="s">
        <v>19</v>
      </c>
      <c r="G6" s="113">
        <f>T294</f>
        <v>1161.9498355884039</v>
      </c>
      <c r="H6" s="111"/>
      <c r="I6" s="108"/>
      <c r="J6" s="108"/>
      <c r="K6" s="108"/>
      <c r="L6" s="108"/>
      <c r="M6" s="108"/>
      <c r="N6" s="113">
        <f>1.5*10^6*0.009</f>
        <v>13499.999999999998</v>
      </c>
      <c r="O6" s="108"/>
      <c r="P6" s="108"/>
      <c r="Q6" s="108"/>
      <c r="R6" s="108"/>
      <c r="S6" s="108"/>
      <c r="T6" s="108"/>
      <c r="U6" s="110"/>
      <c r="V6" s="111"/>
      <c r="W6" s="111"/>
      <c r="X6" s="111"/>
      <c r="Y6" s="108"/>
      <c r="Z6" s="111"/>
      <c r="AA6" s="108"/>
      <c r="AB6" s="110"/>
      <c r="AC6" s="111"/>
      <c r="AD6" s="111"/>
      <c r="AE6" s="111"/>
      <c r="AF6" s="108"/>
      <c r="AG6" s="111"/>
      <c r="AH6" s="108"/>
      <c r="AI6" s="110"/>
      <c r="AJ6" s="111"/>
      <c r="AK6" s="111"/>
      <c r="AL6" s="111"/>
      <c r="AM6" s="108"/>
      <c r="AN6" s="111"/>
      <c r="AO6" s="108"/>
      <c r="AP6" s="1014">
        <v>0.05</v>
      </c>
      <c r="AQ6" s="829"/>
      <c r="AR6" s="116" t="s">
        <v>424</v>
      </c>
    </row>
    <row r="7" spans="1:49" ht="14.25" customHeight="1" x14ac:dyDescent="0.3">
      <c r="A7" s="936"/>
      <c r="B7" s="1012"/>
      <c r="C7" s="691">
        <v>12</v>
      </c>
      <c r="D7" s="120" t="s">
        <v>60</v>
      </c>
      <c r="E7" s="120">
        <v>2022</v>
      </c>
      <c r="F7" s="692" t="s">
        <v>19</v>
      </c>
      <c r="G7" s="587">
        <f>U294</f>
        <v>1394.339802706085</v>
      </c>
      <c r="H7" s="124"/>
      <c r="I7" s="121"/>
      <c r="J7" s="121"/>
      <c r="K7" s="121"/>
      <c r="L7" s="121"/>
      <c r="M7" s="121"/>
      <c r="N7" s="587">
        <f>1.8*10^6*0.01</f>
        <v>18000</v>
      </c>
      <c r="O7" s="121"/>
      <c r="P7" s="121"/>
      <c r="Q7" s="121"/>
      <c r="R7" s="121"/>
      <c r="S7" s="121"/>
      <c r="T7" s="121"/>
      <c r="U7" s="123"/>
      <c r="V7" s="124"/>
      <c r="W7" s="124"/>
      <c r="X7" s="124"/>
      <c r="Y7" s="121"/>
      <c r="Z7" s="124"/>
      <c r="AA7" s="121"/>
      <c r="AB7" s="123"/>
      <c r="AC7" s="124"/>
      <c r="AD7" s="124"/>
      <c r="AE7" s="124"/>
      <c r="AF7" s="121"/>
      <c r="AG7" s="124"/>
      <c r="AH7" s="121"/>
      <c r="AI7" s="123"/>
      <c r="AJ7" s="124"/>
      <c r="AK7" s="124"/>
      <c r="AL7" s="124"/>
      <c r="AM7" s="121"/>
      <c r="AN7" s="124"/>
      <c r="AO7" s="121"/>
      <c r="AP7" s="1015">
        <v>0.05</v>
      </c>
      <c r="AQ7" s="1016"/>
      <c r="AR7" s="116" t="s">
        <v>425</v>
      </c>
    </row>
    <row r="8" spans="1:49" ht="14.25" customHeight="1" x14ac:dyDescent="0.3">
      <c r="A8" s="936"/>
      <c r="B8" s="1010" t="s">
        <v>426</v>
      </c>
      <c r="C8" s="687">
        <v>12</v>
      </c>
      <c r="D8" s="90" t="s">
        <v>60</v>
      </c>
      <c r="E8" s="90">
        <v>2022</v>
      </c>
      <c r="F8" s="688" t="s">
        <v>19</v>
      </c>
      <c r="G8" s="447">
        <f>S295</f>
        <v>263.133445473439</v>
      </c>
      <c r="H8" s="94"/>
      <c r="I8" s="94"/>
      <c r="J8" s="94"/>
      <c r="K8" s="94"/>
      <c r="L8" s="94"/>
      <c r="M8" s="94"/>
      <c r="N8" s="447">
        <f>2*10^6*0.008</f>
        <v>16000</v>
      </c>
      <c r="O8" s="94"/>
      <c r="P8" s="94"/>
      <c r="Q8" s="94"/>
      <c r="R8" s="94"/>
      <c r="S8" s="94"/>
      <c r="T8" s="94"/>
      <c r="U8" s="96"/>
      <c r="V8" s="97"/>
      <c r="W8" s="97"/>
      <c r="X8" s="97"/>
      <c r="Y8" s="94"/>
      <c r="Z8" s="97"/>
      <c r="AA8" s="94"/>
      <c r="AB8" s="96"/>
      <c r="AC8" s="97"/>
      <c r="AD8" s="97"/>
      <c r="AE8" s="97"/>
      <c r="AF8" s="94"/>
      <c r="AG8" s="97"/>
      <c r="AH8" s="94"/>
      <c r="AI8" s="96"/>
      <c r="AJ8" s="97"/>
      <c r="AK8" s="97"/>
      <c r="AL8" s="97"/>
      <c r="AM8" s="94"/>
      <c r="AN8" s="97"/>
      <c r="AO8" s="94"/>
      <c r="AP8" s="1013">
        <v>0.05</v>
      </c>
      <c r="AQ8" s="827"/>
      <c r="AR8" s="104" t="s">
        <v>423</v>
      </c>
    </row>
    <row r="9" spans="1:49" ht="14.25" customHeight="1" x14ac:dyDescent="0.3">
      <c r="A9" s="936"/>
      <c r="B9" s="1011"/>
      <c r="C9" s="689">
        <v>12</v>
      </c>
      <c r="D9" s="105" t="s">
        <v>60</v>
      </c>
      <c r="E9" s="105">
        <v>2022</v>
      </c>
      <c r="F9" s="690" t="s">
        <v>19</v>
      </c>
      <c r="G9" s="113">
        <f>T295</f>
        <v>289.44679002078288</v>
      </c>
      <c r="H9" s="111"/>
      <c r="I9" s="108"/>
      <c r="J9" s="108"/>
      <c r="K9" s="108"/>
      <c r="L9" s="108"/>
      <c r="M9" s="108"/>
      <c r="N9" s="113">
        <f>2.2*10^6*0.009</f>
        <v>19800</v>
      </c>
      <c r="O9" s="108"/>
      <c r="P9" s="108"/>
      <c r="Q9" s="108"/>
      <c r="R9" s="108"/>
      <c r="S9" s="108"/>
      <c r="T9" s="108"/>
      <c r="U9" s="110"/>
      <c r="V9" s="111"/>
      <c r="W9" s="111"/>
      <c r="X9" s="111"/>
      <c r="Y9" s="108"/>
      <c r="Z9" s="111"/>
      <c r="AA9" s="108"/>
      <c r="AB9" s="110"/>
      <c r="AC9" s="111"/>
      <c r="AD9" s="111"/>
      <c r="AE9" s="111"/>
      <c r="AF9" s="108"/>
      <c r="AG9" s="111"/>
      <c r="AH9" s="108"/>
      <c r="AI9" s="110"/>
      <c r="AJ9" s="111"/>
      <c r="AK9" s="111"/>
      <c r="AL9" s="111"/>
      <c r="AM9" s="108"/>
      <c r="AN9" s="111"/>
      <c r="AO9" s="108"/>
      <c r="AP9" s="1014">
        <v>0.05</v>
      </c>
      <c r="AQ9" s="829"/>
      <c r="AR9" s="116" t="s">
        <v>424</v>
      </c>
    </row>
    <row r="10" spans="1:49" ht="14.25" customHeight="1" x14ac:dyDescent="0.3">
      <c r="A10" s="936"/>
      <c r="B10" s="1012"/>
      <c r="C10" s="691">
        <v>12</v>
      </c>
      <c r="D10" s="120" t="s">
        <v>60</v>
      </c>
      <c r="E10" s="120">
        <v>2022</v>
      </c>
      <c r="F10" s="692" t="s">
        <v>19</v>
      </c>
      <c r="G10" s="587">
        <f>U295</f>
        <v>355.23015138914263</v>
      </c>
      <c r="H10" s="124"/>
      <c r="I10" s="121"/>
      <c r="J10" s="121"/>
      <c r="K10" s="121"/>
      <c r="L10" s="121"/>
      <c r="M10" s="121"/>
      <c r="N10" s="587">
        <f>2.7*10^6*0.01</f>
        <v>27000</v>
      </c>
      <c r="O10" s="121"/>
      <c r="P10" s="121"/>
      <c r="Q10" s="121"/>
      <c r="R10" s="121"/>
      <c r="S10" s="121"/>
      <c r="T10" s="121"/>
      <c r="U10" s="123"/>
      <c r="V10" s="124"/>
      <c r="W10" s="124"/>
      <c r="X10" s="124"/>
      <c r="Y10" s="121"/>
      <c r="Z10" s="124"/>
      <c r="AA10" s="121"/>
      <c r="AB10" s="123"/>
      <c r="AC10" s="124"/>
      <c r="AD10" s="124"/>
      <c r="AE10" s="124"/>
      <c r="AF10" s="121"/>
      <c r="AG10" s="124"/>
      <c r="AH10" s="121"/>
      <c r="AI10" s="123"/>
      <c r="AJ10" s="124"/>
      <c r="AK10" s="124"/>
      <c r="AL10" s="124"/>
      <c r="AM10" s="121"/>
      <c r="AN10" s="124"/>
      <c r="AO10" s="121"/>
      <c r="AP10" s="1015">
        <v>0.05</v>
      </c>
      <c r="AQ10" s="1016"/>
      <c r="AR10" s="116" t="s">
        <v>425</v>
      </c>
    </row>
    <row r="11" spans="1:49" ht="14.25" customHeight="1" x14ac:dyDescent="0.3">
      <c r="A11" s="936"/>
      <c r="B11" s="1010" t="s">
        <v>427</v>
      </c>
      <c r="C11" s="687">
        <v>12</v>
      </c>
      <c r="D11" s="90" t="s">
        <v>60</v>
      </c>
      <c r="E11" s="90">
        <v>2022</v>
      </c>
      <c r="F11" s="688" t="s">
        <v>19</v>
      </c>
      <c r="G11" s="447">
        <f>S297</f>
        <v>447.32685730484621</v>
      </c>
      <c r="H11" s="94"/>
      <c r="I11" s="94"/>
      <c r="J11" s="94"/>
      <c r="K11" s="94"/>
      <c r="L11" s="94"/>
      <c r="M11" s="94"/>
      <c r="N11" s="447">
        <f>3.4*10^6*0.008</f>
        <v>27200</v>
      </c>
      <c r="O11" s="94"/>
      <c r="P11" s="94"/>
      <c r="Q11" s="94"/>
      <c r="R11" s="94"/>
      <c r="S11" s="94"/>
      <c r="T11" s="94"/>
      <c r="U11" s="96"/>
      <c r="V11" s="97"/>
      <c r="W11" s="97"/>
      <c r="X11" s="97"/>
      <c r="Y11" s="94"/>
      <c r="Z11" s="97"/>
      <c r="AA11" s="94"/>
      <c r="AB11" s="96"/>
      <c r="AC11" s="97"/>
      <c r="AD11" s="97"/>
      <c r="AE11" s="97"/>
      <c r="AF11" s="94"/>
      <c r="AG11" s="97"/>
      <c r="AH11" s="94"/>
      <c r="AI11" s="96"/>
      <c r="AJ11" s="97"/>
      <c r="AK11" s="97"/>
      <c r="AL11" s="97"/>
      <c r="AM11" s="94"/>
      <c r="AN11" s="97"/>
      <c r="AO11" s="94"/>
      <c r="AP11" s="1013">
        <v>0.05</v>
      </c>
      <c r="AQ11" s="827"/>
      <c r="AR11" s="104" t="s">
        <v>423</v>
      </c>
    </row>
    <row r="12" spans="1:49" ht="14.25" customHeight="1" x14ac:dyDescent="0.3">
      <c r="A12" s="936"/>
      <c r="B12" s="1011"/>
      <c r="C12" s="689">
        <v>12</v>
      </c>
      <c r="D12" s="105" t="s">
        <v>60</v>
      </c>
      <c r="E12" s="105">
        <v>2022</v>
      </c>
      <c r="F12" s="690" t="s">
        <v>19</v>
      </c>
      <c r="G12" s="113">
        <f>T297</f>
        <v>486.79687412586208</v>
      </c>
      <c r="H12" s="111"/>
      <c r="I12" s="108"/>
      <c r="J12" s="108"/>
      <c r="K12" s="108"/>
      <c r="L12" s="108"/>
      <c r="M12" s="108"/>
      <c r="N12" s="113">
        <f>3.7*10^6*0.009</f>
        <v>33300</v>
      </c>
      <c r="O12" s="108"/>
      <c r="P12" s="108"/>
      <c r="Q12" s="108"/>
      <c r="R12" s="108"/>
      <c r="S12" s="108"/>
      <c r="T12" s="108"/>
      <c r="U12" s="110"/>
      <c r="V12" s="111"/>
      <c r="W12" s="111"/>
      <c r="X12" s="111"/>
      <c r="Y12" s="108"/>
      <c r="Z12" s="111"/>
      <c r="AA12" s="108"/>
      <c r="AB12" s="110"/>
      <c r="AC12" s="111"/>
      <c r="AD12" s="111"/>
      <c r="AE12" s="111"/>
      <c r="AF12" s="108"/>
      <c r="AG12" s="111"/>
      <c r="AH12" s="108"/>
      <c r="AI12" s="110"/>
      <c r="AJ12" s="111"/>
      <c r="AK12" s="111"/>
      <c r="AL12" s="111"/>
      <c r="AM12" s="108"/>
      <c r="AN12" s="111"/>
      <c r="AO12" s="108"/>
      <c r="AP12" s="1014">
        <v>0.05</v>
      </c>
      <c r="AQ12" s="829"/>
      <c r="AR12" s="116" t="s">
        <v>424</v>
      </c>
    </row>
    <row r="13" spans="1:49" ht="14.25" customHeight="1" x14ac:dyDescent="0.3">
      <c r="A13" s="936"/>
      <c r="B13" s="1012"/>
      <c r="C13" s="691">
        <v>12</v>
      </c>
      <c r="D13" s="120" t="s">
        <v>60</v>
      </c>
      <c r="E13" s="120">
        <v>2022</v>
      </c>
      <c r="F13" s="692" t="s">
        <v>19</v>
      </c>
      <c r="G13" s="587">
        <f>U297</f>
        <v>605.2069245889096</v>
      </c>
      <c r="H13" s="124"/>
      <c r="I13" s="121"/>
      <c r="J13" s="121"/>
      <c r="K13" s="121"/>
      <c r="L13" s="121"/>
      <c r="M13" s="121"/>
      <c r="N13" s="587">
        <f>4.6*10^6*0.01</f>
        <v>46000</v>
      </c>
      <c r="O13" s="121"/>
      <c r="P13" s="121"/>
      <c r="Q13" s="121"/>
      <c r="R13" s="121"/>
      <c r="S13" s="121"/>
      <c r="T13" s="121"/>
      <c r="U13" s="123"/>
      <c r="V13" s="124"/>
      <c r="W13" s="124"/>
      <c r="X13" s="124"/>
      <c r="Y13" s="121"/>
      <c r="Z13" s="124"/>
      <c r="AA13" s="121"/>
      <c r="AB13" s="123"/>
      <c r="AC13" s="124"/>
      <c r="AD13" s="124"/>
      <c r="AE13" s="124"/>
      <c r="AF13" s="121"/>
      <c r="AG13" s="124"/>
      <c r="AH13" s="121"/>
      <c r="AI13" s="123"/>
      <c r="AJ13" s="124"/>
      <c r="AK13" s="124"/>
      <c r="AL13" s="124"/>
      <c r="AM13" s="121"/>
      <c r="AN13" s="124"/>
      <c r="AO13" s="121"/>
      <c r="AP13" s="1015">
        <v>0.05</v>
      </c>
      <c r="AQ13" s="1016"/>
      <c r="AR13" s="116" t="s">
        <v>425</v>
      </c>
    </row>
    <row r="14" spans="1:49" ht="14.25" customHeight="1" x14ac:dyDescent="0.3">
      <c r="A14" s="936"/>
      <c r="B14" s="1010" t="s">
        <v>428</v>
      </c>
      <c r="C14" s="689">
        <v>12</v>
      </c>
      <c r="D14" s="105" t="s">
        <v>60</v>
      </c>
      <c r="E14" s="90">
        <v>2022</v>
      </c>
      <c r="F14" s="688" t="s">
        <v>19</v>
      </c>
      <c r="G14" s="113">
        <f>S296</f>
        <v>155.46458448381892</v>
      </c>
      <c r="H14" s="108"/>
      <c r="I14" s="108"/>
      <c r="J14" s="108"/>
      <c r="K14" s="108"/>
      <c r="L14" s="108"/>
      <c r="M14" s="108"/>
      <c r="N14" s="447">
        <f>2.5*10^6*0.008</f>
        <v>20000</v>
      </c>
      <c r="O14" s="108"/>
      <c r="P14" s="108"/>
      <c r="Q14" s="108"/>
      <c r="R14" s="108"/>
      <c r="S14" s="108"/>
      <c r="T14" s="108"/>
      <c r="U14" s="110"/>
      <c r="V14" s="111"/>
      <c r="W14" s="111"/>
      <c r="X14" s="111"/>
      <c r="Y14" s="108"/>
      <c r="Z14" s="111"/>
      <c r="AA14" s="108"/>
      <c r="AB14" s="110"/>
      <c r="AC14" s="111"/>
      <c r="AD14" s="111"/>
      <c r="AE14" s="111"/>
      <c r="AF14" s="108"/>
      <c r="AG14" s="111"/>
      <c r="AH14" s="108"/>
      <c r="AI14" s="110"/>
      <c r="AJ14" s="111"/>
      <c r="AK14" s="111"/>
      <c r="AL14" s="111"/>
      <c r="AM14" s="108"/>
      <c r="AN14" s="111"/>
      <c r="AO14" s="108"/>
      <c r="AP14" s="1013">
        <v>0.05</v>
      </c>
      <c r="AQ14" s="827"/>
      <c r="AR14" s="104" t="s">
        <v>423</v>
      </c>
    </row>
    <row r="15" spans="1:49" ht="14.25" customHeight="1" x14ac:dyDescent="0.3">
      <c r="A15" s="936"/>
      <c r="B15" s="1011"/>
      <c r="C15" s="689">
        <v>12</v>
      </c>
      <c r="D15" s="105" t="s">
        <v>60</v>
      </c>
      <c r="E15" s="105">
        <v>2022</v>
      </c>
      <c r="F15" s="690" t="s">
        <v>19</v>
      </c>
      <c r="G15" s="113">
        <f>T296</f>
        <v>174.12033462187716</v>
      </c>
      <c r="H15" s="111"/>
      <c r="I15" s="108"/>
      <c r="J15" s="108"/>
      <c r="K15" s="108"/>
      <c r="L15" s="108"/>
      <c r="M15" s="108"/>
      <c r="N15" s="113">
        <f>2.8*10^6*0.009</f>
        <v>25199.999999999996</v>
      </c>
      <c r="O15" s="108"/>
      <c r="P15" s="108"/>
      <c r="Q15" s="108"/>
      <c r="R15" s="108"/>
      <c r="S15" s="108"/>
      <c r="T15" s="108"/>
      <c r="U15" s="110"/>
      <c r="V15" s="111"/>
      <c r="W15" s="111"/>
      <c r="X15" s="111"/>
      <c r="Y15" s="108"/>
      <c r="Z15" s="111"/>
      <c r="AA15" s="108"/>
      <c r="AB15" s="110"/>
      <c r="AC15" s="111"/>
      <c r="AD15" s="111"/>
      <c r="AE15" s="111"/>
      <c r="AF15" s="108"/>
      <c r="AG15" s="111"/>
      <c r="AH15" s="108"/>
      <c r="AI15" s="110"/>
      <c r="AJ15" s="111"/>
      <c r="AK15" s="111"/>
      <c r="AL15" s="111"/>
      <c r="AM15" s="108"/>
      <c r="AN15" s="111"/>
      <c r="AO15" s="108"/>
      <c r="AP15" s="1014">
        <v>0.05</v>
      </c>
      <c r="AQ15" s="829"/>
      <c r="AR15" s="116" t="s">
        <v>424</v>
      </c>
    </row>
    <row r="16" spans="1:49" ht="14.25" customHeight="1" x14ac:dyDescent="0.3">
      <c r="A16" s="936"/>
      <c r="B16" s="1012"/>
      <c r="C16" s="691">
        <v>12</v>
      </c>
      <c r="D16" s="120" t="s">
        <v>60</v>
      </c>
      <c r="E16" s="120">
        <v>2022</v>
      </c>
      <c r="F16" s="692" t="s">
        <v>19</v>
      </c>
      <c r="G16" s="587">
        <f>U296</f>
        <v>211.43183489799372</v>
      </c>
      <c r="H16" s="124"/>
      <c r="I16" s="121"/>
      <c r="J16" s="121"/>
      <c r="K16" s="121"/>
      <c r="L16" s="121"/>
      <c r="M16" s="121"/>
      <c r="N16" s="587">
        <f>3.4*10^6*0.01</f>
        <v>34000</v>
      </c>
      <c r="O16" s="121"/>
      <c r="P16" s="121"/>
      <c r="Q16" s="121"/>
      <c r="R16" s="121"/>
      <c r="S16" s="121"/>
      <c r="T16" s="121"/>
      <c r="U16" s="123"/>
      <c r="V16" s="124"/>
      <c r="W16" s="124"/>
      <c r="X16" s="124"/>
      <c r="Y16" s="121"/>
      <c r="Z16" s="124"/>
      <c r="AA16" s="121"/>
      <c r="AB16" s="123"/>
      <c r="AC16" s="124"/>
      <c r="AD16" s="124"/>
      <c r="AE16" s="124"/>
      <c r="AF16" s="121"/>
      <c r="AG16" s="124"/>
      <c r="AH16" s="121"/>
      <c r="AI16" s="123"/>
      <c r="AJ16" s="124"/>
      <c r="AK16" s="124"/>
      <c r="AL16" s="124"/>
      <c r="AM16" s="121"/>
      <c r="AN16" s="124"/>
      <c r="AO16" s="121"/>
      <c r="AP16" s="1015">
        <v>0.05</v>
      </c>
      <c r="AQ16" s="1016"/>
      <c r="AR16" s="116" t="s">
        <v>425</v>
      </c>
    </row>
    <row r="17" spans="1:44" ht="14.25" customHeight="1" x14ac:dyDescent="0.3">
      <c r="A17" s="936"/>
      <c r="B17" s="1010" t="s">
        <v>429</v>
      </c>
      <c r="C17" s="689">
        <v>12</v>
      </c>
      <c r="D17" s="105" t="s">
        <v>60</v>
      </c>
      <c r="E17" s="90">
        <v>2022</v>
      </c>
      <c r="F17" s="688" t="s">
        <v>19</v>
      </c>
      <c r="G17" s="113">
        <f>S298</f>
        <v>267.39908531216849</v>
      </c>
      <c r="H17" s="108"/>
      <c r="I17" s="108"/>
      <c r="J17" s="108"/>
      <c r="K17" s="108"/>
      <c r="L17" s="108"/>
      <c r="M17" s="108"/>
      <c r="N17" s="447">
        <f>4.3*10^6*0.008</f>
        <v>34400</v>
      </c>
      <c r="O17" s="108"/>
      <c r="P17" s="108"/>
      <c r="Q17" s="108"/>
      <c r="R17" s="108"/>
      <c r="S17" s="108"/>
      <c r="T17" s="108"/>
      <c r="U17" s="110"/>
      <c r="V17" s="111"/>
      <c r="W17" s="111"/>
      <c r="X17" s="111"/>
      <c r="Y17" s="108"/>
      <c r="Z17" s="111"/>
      <c r="AA17" s="108"/>
      <c r="AB17" s="110"/>
      <c r="AC17" s="111"/>
      <c r="AD17" s="111"/>
      <c r="AE17" s="111"/>
      <c r="AF17" s="108"/>
      <c r="AG17" s="111"/>
      <c r="AH17" s="108"/>
      <c r="AI17" s="110"/>
      <c r="AJ17" s="111"/>
      <c r="AK17" s="111"/>
      <c r="AL17" s="111"/>
      <c r="AM17" s="108"/>
      <c r="AN17" s="111"/>
      <c r="AO17" s="108"/>
      <c r="AP17" s="1013">
        <v>0.05</v>
      </c>
      <c r="AQ17" s="827"/>
      <c r="AR17" s="104" t="s">
        <v>423</v>
      </c>
    </row>
    <row r="18" spans="1:44" ht="14.25" customHeight="1" x14ac:dyDescent="0.3">
      <c r="A18" s="936"/>
      <c r="B18" s="1011"/>
      <c r="C18" s="689">
        <v>12</v>
      </c>
      <c r="D18" s="105" t="s">
        <v>60</v>
      </c>
      <c r="E18" s="105">
        <v>2022</v>
      </c>
      <c r="F18" s="690" t="s">
        <v>19</v>
      </c>
      <c r="G18" s="113">
        <f>T298</f>
        <v>298.49200220893238</v>
      </c>
      <c r="H18" s="111"/>
      <c r="I18" s="108"/>
      <c r="J18" s="108"/>
      <c r="K18" s="108"/>
      <c r="L18" s="108"/>
      <c r="M18" s="108"/>
      <c r="N18" s="113">
        <f>4.8*10^6*0.009</f>
        <v>43200</v>
      </c>
      <c r="O18" s="108"/>
      <c r="P18" s="108"/>
      <c r="Q18" s="108"/>
      <c r="R18" s="108"/>
      <c r="S18" s="108"/>
      <c r="T18" s="108"/>
      <c r="U18" s="110"/>
      <c r="V18" s="111"/>
      <c r="W18" s="111"/>
      <c r="X18" s="111"/>
      <c r="Y18" s="108"/>
      <c r="Z18" s="111"/>
      <c r="AA18" s="108"/>
      <c r="AB18" s="110"/>
      <c r="AC18" s="111"/>
      <c r="AD18" s="111"/>
      <c r="AE18" s="111"/>
      <c r="AF18" s="108"/>
      <c r="AG18" s="111"/>
      <c r="AH18" s="108"/>
      <c r="AI18" s="110"/>
      <c r="AJ18" s="111"/>
      <c r="AK18" s="111"/>
      <c r="AL18" s="111"/>
      <c r="AM18" s="108"/>
      <c r="AN18" s="111"/>
      <c r="AO18" s="108"/>
      <c r="AP18" s="1014">
        <v>0.05</v>
      </c>
      <c r="AQ18" s="829"/>
      <c r="AR18" s="116" t="s">
        <v>424</v>
      </c>
    </row>
    <row r="19" spans="1:44" ht="14.25" customHeight="1" x14ac:dyDescent="0.3">
      <c r="A19" s="936"/>
      <c r="B19" s="1012"/>
      <c r="C19" s="691">
        <v>12</v>
      </c>
      <c r="D19" s="120" t="s">
        <v>60</v>
      </c>
      <c r="E19" s="120">
        <v>2022</v>
      </c>
      <c r="F19" s="692" t="s">
        <v>19</v>
      </c>
      <c r="G19" s="587">
        <f>U298</f>
        <v>360.67783600245986</v>
      </c>
      <c r="H19" s="124"/>
      <c r="I19" s="121"/>
      <c r="J19" s="121"/>
      <c r="K19" s="121"/>
      <c r="L19" s="121"/>
      <c r="M19" s="121"/>
      <c r="N19" s="587">
        <f>5.8*10^6*0.01</f>
        <v>58000</v>
      </c>
      <c r="O19" s="121"/>
      <c r="P19" s="121"/>
      <c r="Q19" s="121"/>
      <c r="R19" s="121"/>
      <c r="S19" s="121"/>
      <c r="T19" s="121"/>
      <c r="U19" s="123"/>
      <c r="V19" s="124"/>
      <c r="W19" s="124"/>
      <c r="X19" s="124"/>
      <c r="Y19" s="121"/>
      <c r="Z19" s="124"/>
      <c r="AA19" s="121"/>
      <c r="AB19" s="123"/>
      <c r="AC19" s="124"/>
      <c r="AD19" s="124"/>
      <c r="AE19" s="124"/>
      <c r="AF19" s="121"/>
      <c r="AG19" s="124"/>
      <c r="AH19" s="121"/>
      <c r="AI19" s="123"/>
      <c r="AJ19" s="124"/>
      <c r="AK19" s="124"/>
      <c r="AL19" s="124"/>
      <c r="AM19" s="121"/>
      <c r="AN19" s="124"/>
      <c r="AO19" s="121"/>
      <c r="AP19" s="1015">
        <v>0.05</v>
      </c>
      <c r="AQ19" s="1016"/>
      <c r="AR19" s="116" t="s">
        <v>425</v>
      </c>
    </row>
    <row r="20" spans="1:44" ht="14.25" customHeight="1" x14ac:dyDescent="0.3">
      <c r="A20" s="936"/>
      <c r="B20" s="906" t="s">
        <v>430</v>
      </c>
      <c r="C20" s="720">
        <v>12</v>
      </c>
      <c r="D20" s="721" t="s">
        <v>60</v>
      </c>
      <c r="E20" s="721">
        <v>2022</v>
      </c>
      <c r="F20" s="722" t="s">
        <v>19</v>
      </c>
      <c r="G20" s="516">
        <f>S307</f>
        <v>154.92664474512051</v>
      </c>
      <c r="H20" s="517"/>
      <c r="I20" s="517"/>
      <c r="J20" s="517"/>
      <c r="K20" s="517"/>
      <c r="L20" s="517"/>
      <c r="M20" s="517"/>
      <c r="N20" s="516">
        <f>0.2*10^6*0.008</f>
        <v>1600</v>
      </c>
      <c r="O20" s="517"/>
      <c r="P20" s="517"/>
      <c r="Q20" s="517"/>
      <c r="R20" s="517"/>
      <c r="S20" s="517"/>
      <c r="T20" s="517"/>
      <c r="U20" s="520"/>
      <c r="V20" s="344"/>
      <c r="W20" s="344"/>
      <c r="X20" s="344"/>
      <c r="Y20" s="517"/>
      <c r="Z20" s="344"/>
      <c r="AA20" s="517"/>
      <c r="AB20" s="520"/>
      <c r="AC20" s="344"/>
      <c r="AD20" s="344"/>
      <c r="AE20" s="344"/>
      <c r="AF20" s="517"/>
      <c r="AG20" s="344"/>
      <c r="AH20" s="517"/>
      <c r="AI20" s="520"/>
      <c r="AJ20" s="344"/>
      <c r="AK20" s="344"/>
      <c r="AL20" s="344"/>
      <c r="AM20" s="517"/>
      <c r="AN20" s="344"/>
      <c r="AO20" s="517"/>
      <c r="AP20" s="1004">
        <v>0.05</v>
      </c>
      <c r="AQ20" s="1005"/>
      <c r="AR20" s="104" t="s">
        <v>423</v>
      </c>
    </row>
    <row r="21" spans="1:44" ht="14.25" customHeight="1" x14ac:dyDescent="0.3">
      <c r="A21" s="936"/>
      <c r="B21" s="907"/>
      <c r="C21" s="723">
        <v>12</v>
      </c>
      <c r="D21" s="724" t="s">
        <v>60</v>
      </c>
      <c r="E21" s="724">
        <v>2022</v>
      </c>
      <c r="F21" s="725" t="s">
        <v>19</v>
      </c>
      <c r="G21" s="523">
        <f>T307</f>
        <v>232.38996711768081</v>
      </c>
      <c r="H21" s="522"/>
      <c r="I21" s="524"/>
      <c r="J21" s="524"/>
      <c r="K21" s="524"/>
      <c r="L21" s="524"/>
      <c r="M21" s="524"/>
      <c r="N21" s="523">
        <f>0.3*10^6*0.009</f>
        <v>2700</v>
      </c>
      <c r="O21" s="524"/>
      <c r="P21" s="524"/>
      <c r="Q21" s="524"/>
      <c r="R21" s="524"/>
      <c r="S21" s="524"/>
      <c r="T21" s="524"/>
      <c r="U21" s="527"/>
      <c r="V21" s="522"/>
      <c r="W21" s="522"/>
      <c r="X21" s="522"/>
      <c r="Y21" s="524"/>
      <c r="Z21" s="522"/>
      <c r="AA21" s="524"/>
      <c r="AB21" s="527"/>
      <c r="AC21" s="522"/>
      <c r="AD21" s="522"/>
      <c r="AE21" s="522"/>
      <c r="AF21" s="524"/>
      <c r="AG21" s="522"/>
      <c r="AH21" s="524"/>
      <c r="AI21" s="527"/>
      <c r="AJ21" s="522"/>
      <c r="AK21" s="522"/>
      <c r="AL21" s="522"/>
      <c r="AM21" s="524"/>
      <c r="AN21" s="522"/>
      <c r="AO21" s="524"/>
      <c r="AP21" s="1006">
        <v>0.05</v>
      </c>
      <c r="AQ21" s="1007"/>
      <c r="AR21" s="116" t="s">
        <v>424</v>
      </c>
    </row>
    <row r="22" spans="1:44" ht="14.25" customHeight="1" x14ac:dyDescent="0.3">
      <c r="A22" s="936"/>
      <c r="B22" s="908"/>
      <c r="C22" s="726">
        <v>12</v>
      </c>
      <c r="D22" s="727" t="s">
        <v>60</v>
      </c>
      <c r="E22" s="727">
        <v>2022</v>
      </c>
      <c r="F22" s="728" t="s">
        <v>19</v>
      </c>
      <c r="G22" s="533">
        <f>U307</f>
        <v>387.31661186280132</v>
      </c>
      <c r="H22" s="532"/>
      <c r="I22" s="534"/>
      <c r="J22" s="534"/>
      <c r="K22" s="534"/>
      <c r="L22" s="534"/>
      <c r="M22" s="534"/>
      <c r="N22" s="533">
        <f>0.5*10^6*0.01</f>
        <v>5000</v>
      </c>
      <c r="O22" s="534"/>
      <c r="P22" s="534"/>
      <c r="Q22" s="534"/>
      <c r="R22" s="534"/>
      <c r="S22" s="534"/>
      <c r="T22" s="534"/>
      <c r="U22" s="538"/>
      <c r="V22" s="532"/>
      <c r="W22" s="532"/>
      <c r="X22" s="532"/>
      <c r="Y22" s="534"/>
      <c r="Z22" s="532"/>
      <c r="AA22" s="534"/>
      <c r="AB22" s="538"/>
      <c r="AC22" s="532"/>
      <c r="AD22" s="532"/>
      <c r="AE22" s="532"/>
      <c r="AF22" s="534"/>
      <c r="AG22" s="532"/>
      <c r="AH22" s="534"/>
      <c r="AI22" s="538"/>
      <c r="AJ22" s="532"/>
      <c r="AK22" s="532"/>
      <c r="AL22" s="532"/>
      <c r="AM22" s="534"/>
      <c r="AN22" s="532"/>
      <c r="AO22" s="534"/>
      <c r="AP22" s="1008">
        <v>0.05</v>
      </c>
      <c r="AQ22" s="1009"/>
      <c r="AR22" s="116" t="s">
        <v>425</v>
      </c>
    </row>
    <row r="23" spans="1:44" ht="14.25" customHeight="1" x14ac:dyDescent="0.3">
      <c r="A23" s="936"/>
      <c r="B23" s="906" t="s">
        <v>431</v>
      </c>
      <c r="C23" s="720">
        <v>12</v>
      </c>
      <c r="D23" s="721" t="s">
        <v>60</v>
      </c>
      <c r="E23" s="721">
        <v>2022</v>
      </c>
      <c r="F23" s="722" t="s">
        <v>19</v>
      </c>
      <c r="G23" s="516">
        <f>S308</f>
        <v>26.313344547343899</v>
      </c>
      <c r="H23" s="517"/>
      <c r="I23" s="517"/>
      <c r="J23" s="517"/>
      <c r="K23" s="517"/>
      <c r="L23" s="517"/>
      <c r="M23" s="517"/>
      <c r="N23" s="516">
        <f>0.2*10^6*0.008</f>
        <v>1600</v>
      </c>
      <c r="O23" s="517"/>
      <c r="P23" s="517"/>
      <c r="Q23" s="517"/>
      <c r="R23" s="517"/>
      <c r="S23" s="517"/>
      <c r="T23" s="517"/>
      <c r="U23" s="520"/>
      <c r="V23" s="344"/>
      <c r="W23" s="344"/>
      <c r="X23" s="344"/>
      <c r="Y23" s="517"/>
      <c r="Z23" s="344"/>
      <c r="AA23" s="517"/>
      <c r="AB23" s="520"/>
      <c r="AC23" s="344"/>
      <c r="AD23" s="344"/>
      <c r="AE23" s="344"/>
      <c r="AF23" s="517"/>
      <c r="AG23" s="344"/>
      <c r="AH23" s="517"/>
      <c r="AI23" s="520"/>
      <c r="AJ23" s="344"/>
      <c r="AK23" s="344"/>
      <c r="AL23" s="344"/>
      <c r="AM23" s="517"/>
      <c r="AN23" s="344"/>
      <c r="AO23" s="517"/>
      <c r="AP23" s="1004">
        <v>0.05</v>
      </c>
      <c r="AQ23" s="1005"/>
      <c r="AR23" s="104" t="s">
        <v>423</v>
      </c>
    </row>
    <row r="24" spans="1:44" ht="14.25" customHeight="1" x14ac:dyDescent="0.3">
      <c r="A24" s="936"/>
      <c r="B24" s="907"/>
      <c r="C24" s="723">
        <v>12</v>
      </c>
      <c r="D24" s="724" t="s">
        <v>60</v>
      </c>
      <c r="E24" s="724">
        <v>2022</v>
      </c>
      <c r="F24" s="725" t="s">
        <v>19</v>
      </c>
      <c r="G24" s="523">
        <f>T308</f>
        <v>52.626689094687798</v>
      </c>
      <c r="H24" s="522"/>
      <c r="I24" s="524"/>
      <c r="J24" s="524"/>
      <c r="K24" s="524"/>
      <c r="L24" s="524"/>
      <c r="M24" s="524"/>
      <c r="N24" s="523">
        <f>0.4*10^6*0.009</f>
        <v>3599.9999999999995</v>
      </c>
      <c r="O24" s="524"/>
      <c r="P24" s="524"/>
      <c r="Q24" s="524"/>
      <c r="R24" s="524"/>
      <c r="S24" s="524"/>
      <c r="T24" s="524"/>
      <c r="U24" s="527"/>
      <c r="V24" s="522"/>
      <c r="W24" s="522"/>
      <c r="X24" s="522"/>
      <c r="Y24" s="524"/>
      <c r="Z24" s="522"/>
      <c r="AA24" s="524"/>
      <c r="AB24" s="527"/>
      <c r="AC24" s="522"/>
      <c r="AD24" s="522"/>
      <c r="AE24" s="522"/>
      <c r="AF24" s="524"/>
      <c r="AG24" s="522"/>
      <c r="AH24" s="524"/>
      <c r="AI24" s="527"/>
      <c r="AJ24" s="522"/>
      <c r="AK24" s="522"/>
      <c r="AL24" s="522"/>
      <c r="AM24" s="524"/>
      <c r="AN24" s="522"/>
      <c r="AO24" s="524"/>
      <c r="AP24" s="1006">
        <v>0.05</v>
      </c>
      <c r="AQ24" s="1007"/>
      <c r="AR24" s="116" t="s">
        <v>424</v>
      </c>
    </row>
    <row r="25" spans="1:44" ht="14.25" customHeight="1" x14ac:dyDescent="0.3">
      <c r="A25" s="936"/>
      <c r="B25" s="908"/>
      <c r="C25" s="726">
        <v>12</v>
      </c>
      <c r="D25" s="727" t="s">
        <v>60</v>
      </c>
      <c r="E25" s="727">
        <v>2022</v>
      </c>
      <c r="F25" s="728" t="s">
        <v>19</v>
      </c>
      <c r="G25" s="533">
        <f>U308</f>
        <v>65.783361368359749</v>
      </c>
      <c r="H25" s="532"/>
      <c r="I25" s="534"/>
      <c r="J25" s="534"/>
      <c r="K25" s="534"/>
      <c r="L25" s="534"/>
      <c r="M25" s="534"/>
      <c r="N25" s="533">
        <f>0.5*10^6*0.01</f>
        <v>5000</v>
      </c>
      <c r="O25" s="534"/>
      <c r="P25" s="534"/>
      <c r="Q25" s="534"/>
      <c r="R25" s="534"/>
      <c r="S25" s="534"/>
      <c r="T25" s="534"/>
      <c r="U25" s="538"/>
      <c r="V25" s="532"/>
      <c r="W25" s="532"/>
      <c r="X25" s="532"/>
      <c r="Y25" s="534"/>
      <c r="Z25" s="532"/>
      <c r="AA25" s="534"/>
      <c r="AB25" s="538"/>
      <c r="AC25" s="532"/>
      <c r="AD25" s="532"/>
      <c r="AE25" s="532"/>
      <c r="AF25" s="534"/>
      <c r="AG25" s="532"/>
      <c r="AH25" s="534"/>
      <c r="AI25" s="538"/>
      <c r="AJ25" s="532"/>
      <c r="AK25" s="532"/>
      <c r="AL25" s="532"/>
      <c r="AM25" s="534"/>
      <c r="AN25" s="532"/>
      <c r="AO25" s="534"/>
      <c r="AP25" s="1008">
        <v>0.05</v>
      </c>
      <c r="AQ25" s="1009"/>
      <c r="AR25" s="116" t="s">
        <v>425</v>
      </c>
    </row>
    <row r="26" spans="1:44" ht="14.25" customHeight="1" x14ac:dyDescent="0.3">
      <c r="A26" s="936"/>
      <c r="B26" s="906" t="s">
        <v>432</v>
      </c>
      <c r="C26" s="720">
        <v>12</v>
      </c>
      <c r="D26" s="721" t="s">
        <v>60</v>
      </c>
      <c r="E26" s="721">
        <v>2022</v>
      </c>
      <c r="F26" s="722" t="s">
        <v>19</v>
      </c>
      <c r="G26" s="516">
        <f>S310</f>
        <v>39.470016821015847</v>
      </c>
      <c r="H26" s="517"/>
      <c r="I26" s="517"/>
      <c r="J26" s="517"/>
      <c r="K26" s="517"/>
      <c r="L26" s="517"/>
      <c r="M26" s="517"/>
      <c r="N26" s="516">
        <f>0.3*10^6*0.008</f>
        <v>2400</v>
      </c>
      <c r="O26" s="517"/>
      <c r="P26" s="517"/>
      <c r="Q26" s="517"/>
      <c r="R26" s="517"/>
      <c r="S26" s="517"/>
      <c r="T26" s="517"/>
      <c r="U26" s="520"/>
      <c r="V26" s="344"/>
      <c r="W26" s="344"/>
      <c r="X26" s="344"/>
      <c r="Y26" s="517"/>
      <c r="Z26" s="344"/>
      <c r="AA26" s="517"/>
      <c r="AB26" s="520"/>
      <c r="AC26" s="344"/>
      <c r="AD26" s="344"/>
      <c r="AE26" s="344"/>
      <c r="AF26" s="517"/>
      <c r="AG26" s="344"/>
      <c r="AH26" s="517"/>
      <c r="AI26" s="520"/>
      <c r="AJ26" s="344"/>
      <c r="AK26" s="344"/>
      <c r="AL26" s="344"/>
      <c r="AM26" s="517"/>
      <c r="AN26" s="344"/>
      <c r="AO26" s="517"/>
      <c r="AP26" s="1004">
        <v>0.05</v>
      </c>
      <c r="AQ26" s="1005"/>
      <c r="AR26" s="104" t="s">
        <v>423</v>
      </c>
    </row>
    <row r="27" spans="1:44" ht="14.25" customHeight="1" x14ac:dyDescent="0.3">
      <c r="A27" s="936"/>
      <c r="B27" s="907"/>
      <c r="C27" s="723">
        <v>12</v>
      </c>
      <c r="D27" s="724" t="s">
        <v>60</v>
      </c>
      <c r="E27" s="724">
        <v>2022</v>
      </c>
      <c r="F27" s="725" t="s">
        <v>19</v>
      </c>
      <c r="G27" s="523">
        <f>T310</f>
        <v>52.626689094687798</v>
      </c>
      <c r="H27" s="522"/>
      <c r="I27" s="524"/>
      <c r="J27" s="524"/>
      <c r="K27" s="524"/>
      <c r="L27" s="524"/>
      <c r="M27" s="524"/>
      <c r="N27" s="523">
        <f>0.4*10^6*0.009</f>
        <v>3599.9999999999995</v>
      </c>
      <c r="O27" s="524"/>
      <c r="P27" s="524"/>
      <c r="Q27" s="524"/>
      <c r="R27" s="524"/>
      <c r="S27" s="524"/>
      <c r="T27" s="524"/>
      <c r="U27" s="527"/>
      <c r="V27" s="522"/>
      <c r="W27" s="522"/>
      <c r="X27" s="522"/>
      <c r="Y27" s="524"/>
      <c r="Z27" s="522"/>
      <c r="AA27" s="524"/>
      <c r="AB27" s="527"/>
      <c r="AC27" s="522"/>
      <c r="AD27" s="522"/>
      <c r="AE27" s="522"/>
      <c r="AF27" s="524"/>
      <c r="AG27" s="522"/>
      <c r="AH27" s="524"/>
      <c r="AI27" s="527"/>
      <c r="AJ27" s="522"/>
      <c r="AK27" s="522"/>
      <c r="AL27" s="522"/>
      <c r="AM27" s="524"/>
      <c r="AN27" s="522"/>
      <c r="AO27" s="524"/>
      <c r="AP27" s="1006">
        <v>0.05</v>
      </c>
      <c r="AQ27" s="1007"/>
      <c r="AR27" s="116" t="s">
        <v>424</v>
      </c>
    </row>
    <row r="28" spans="1:44" ht="14.25" customHeight="1" x14ac:dyDescent="0.3">
      <c r="A28" s="936"/>
      <c r="B28" s="908"/>
      <c r="C28" s="726">
        <v>12</v>
      </c>
      <c r="D28" s="727" t="s">
        <v>60</v>
      </c>
      <c r="E28" s="727">
        <v>2022</v>
      </c>
      <c r="F28" s="728" t="s">
        <v>19</v>
      </c>
      <c r="G28" s="533">
        <f>U310</f>
        <v>65.783361368359749</v>
      </c>
      <c r="H28" s="532"/>
      <c r="I28" s="534"/>
      <c r="J28" s="534"/>
      <c r="K28" s="534"/>
      <c r="L28" s="534"/>
      <c r="M28" s="534"/>
      <c r="N28" s="533">
        <f>0.5*10^6*0.01</f>
        <v>5000</v>
      </c>
      <c r="O28" s="534"/>
      <c r="P28" s="534"/>
      <c r="Q28" s="534"/>
      <c r="R28" s="534"/>
      <c r="S28" s="534"/>
      <c r="T28" s="534"/>
      <c r="U28" s="538"/>
      <c r="V28" s="532"/>
      <c r="W28" s="532"/>
      <c r="X28" s="532"/>
      <c r="Y28" s="534"/>
      <c r="Z28" s="532"/>
      <c r="AA28" s="534"/>
      <c r="AB28" s="538"/>
      <c r="AC28" s="532"/>
      <c r="AD28" s="532"/>
      <c r="AE28" s="532"/>
      <c r="AF28" s="534"/>
      <c r="AG28" s="532"/>
      <c r="AH28" s="534"/>
      <c r="AI28" s="538"/>
      <c r="AJ28" s="532"/>
      <c r="AK28" s="532"/>
      <c r="AL28" s="532"/>
      <c r="AM28" s="534"/>
      <c r="AN28" s="532"/>
      <c r="AO28" s="534"/>
      <c r="AP28" s="1008">
        <v>0.05</v>
      </c>
      <c r="AQ28" s="1009"/>
      <c r="AR28" s="116" t="s">
        <v>425</v>
      </c>
    </row>
    <row r="29" spans="1:44" ht="14.25" customHeight="1" x14ac:dyDescent="0.3">
      <c r="A29" s="936"/>
      <c r="B29" s="907" t="s">
        <v>433</v>
      </c>
      <c r="C29" s="723">
        <v>12</v>
      </c>
      <c r="D29" s="724" t="s">
        <v>60</v>
      </c>
      <c r="E29" s="721">
        <v>2022</v>
      </c>
      <c r="F29" s="722" t="s">
        <v>19</v>
      </c>
      <c r="G29" s="523">
        <f>S309</f>
        <v>18.655750138058274</v>
      </c>
      <c r="H29" s="524"/>
      <c r="I29" s="524"/>
      <c r="J29" s="524"/>
      <c r="K29" s="524"/>
      <c r="L29" s="524"/>
      <c r="M29" s="524"/>
      <c r="N29" s="516">
        <f>0.3*10^6*0.008</f>
        <v>2400</v>
      </c>
      <c r="O29" s="524"/>
      <c r="P29" s="524"/>
      <c r="Q29" s="524"/>
      <c r="R29" s="524"/>
      <c r="S29" s="524"/>
      <c r="T29" s="524"/>
      <c r="U29" s="527"/>
      <c r="V29" s="522"/>
      <c r="W29" s="522"/>
      <c r="X29" s="522"/>
      <c r="Y29" s="524"/>
      <c r="Z29" s="522"/>
      <c r="AA29" s="524"/>
      <c r="AB29" s="527"/>
      <c r="AC29" s="522"/>
      <c r="AD29" s="522"/>
      <c r="AE29" s="522"/>
      <c r="AF29" s="524"/>
      <c r="AG29" s="522"/>
      <c r="AH29" s="524"/>
      <c r="AI29" s="527"/>
      <c r="AJ29" s="522"/>
      <c r="AK29" s="522"/>
      <c r="AL29" s="522"/>
      <c r="AM29" s="524"/>
      <c r="AN29" s="522"/>
      <c r="AO29" s="524"/>
      <c r="AP29" s="1004">
        <v>0.05</v>
      </c>
      <c r="AQ29" s="1005"/>
      <c r="AR29" s="104" t="s">
        <v>423</v>
      </c>
    </row>
    <row r="30" spans="1:44" ht="14.25" customHeight="1" x14ac:dyDescent="0.3">
      <c r="A30" s="936"/>
      <c r="B30" s="907"/>
      <c r="C30" s="723">
        <v>12</v>
      </c>
      <c r="D30" s="724" t="s">
        <v>60</v>
      </c>
      <c r="E30" s="724">
        <v>2022</v>
      </c>
      <c r="F30" s="725" t="s">
        <v>19</v>
      </c>
      <c r="G30" s="523">
        <f>T309</f>
        <v>31.092916896763782</v>
      </c>
      <c r="H30" s="522"/>
      <c r="I30" s="524"/>
      <c r="J30" s="524"/>
      <c r="K30" s="524"/>
      <c r="L30" s="524"/>
      <c r="M30" s="524"/>
      <c r="N30" s="523">
        <f>0.5*10^6*0.009</f>
        <v>4500</v>
      </c>
      <c r="O30" s="524"/>
      <c r="P30" s="524"/>
      <c r="Q30" s="524"/>
      <c r="R30" s="524"/>
      <c r="S30" s="524"/>
      <c r="T30" s="524"/>
      <c r="U30" s="527"/>
      <c r="V30" s="522"/>
      <c r="W30" s="522"/>
      <c r="X30" s="522"/>
      <c r="Y30" s="524"/>
      <c r="Z30" s="522"/>
      <c r="AA30" s="524"/>
      <c r="AB30" s="527"/>
      <c r="AC30" s="522"/>
      <c r="AD30" s="522"/>
      <c r="AE30" s="522"/>
      <c r="AF30" s="524"/>
      <c r="AG30" s="522"/>
      <c r="AH30" s="524"/>
      <c r="AI30" s="527"/>
      <c r="AJ30" s="522"/>
      <c r="AK30" s="522"/>
      <c r="AL30" s="522"/>
      <c r="AM30" s="524"/>
      <c r="AN30" s="522"/>
      <c r="AO30" s="524"/>
      <c r="AP30" s="1006">
        <v>0.05</v>
      </c>
      <c r="AQ30" s="1007"/>
      <c r="AR30" s="116" t="s">
        <v>424</v>
      </c>
    </row>
    <row r="31" spans="1:44" ht="14.25" customHeight="1" x14ac:dyDescent="0.3">
      <c r="A31" s="936"/>
      <c r="B31" s="908"/>
      <c r="C31" s="726">
        <v>12</v>
      </c>
      <c r="D31" s="727" t="s">
        <v>60</v>
      </c>
      <c r="E31" s="727">
        <v>2022</v>
      </c>
      <c r="F31" s="728" t="s">
        <v>19</v>
      </c>
      <c r="G31" s="533">
        <f>U309</f>
        <v>37.311500276116547</v>
      </c>
      <c r="H31" s="532"/>
      <c r="I31" s="534"/>
      <c r="J31" s="534"/>
      <c r="K31" s="534"/>
      <c r="L31" s="534"/>
      <c r="M31" s="534"/>
      <c r="N31" s="533">
        <f>0.6*10^6*0.01</f>
        <v>6000</v>
      </c>
      <c r="O31" s="534"/>
      <c r="P31" s="534"/>
      <c r="Q31" s="534"/>
      <c r="R31" s="534"/>
      <c r="S31" s="534"/>
      <c r="T31" s="534"/>
      <c r="U31" s="538"/>
      <c r="V31" s="532"/>
      <c r="W31" s="532"/>
      <c r="X31" s="532"/>
      <c r="Y31" s="534"/>
      <c r="Z31" s="532"/>
      <c r="AA31" s="534"/>
      <c r="AB31" s="538"/>
      <c r="AC31" s="532"/>
      <c r="AD31" s="532"/>
      <c r="AE31" s="532"/>
      <c r="AF31" s="534"/>
      <c r="AG31" s="532"/>
      <c r="AH31" s="534"/>
      <c r="AI31" s="538"/>
      <c r="AJ31" s="532"/>
      <c r="AK31" s="532"/>
      <c r="AL31" s="532"/>
      <c r="AM31" s="534"/>
      <c r="AN31" s="532"/>
      <c r="AO31" s="534"/>
      <c r="AP31" s="1008">
        <v>0.05</v>
      </c>
      <c r="AQ31" s="1009"/>
      <c r="AR31" s="116" t="s">
        <v>425</v>
      </c>
    </row>
    <row r="32" spans="1:44" ht="14.25" customHeight="1" x14ac:dyDescent="0.3">
      <c r="A32" s="936"/>
      <c r="B32" s="907" t="s">
        <v>434</v>
      </c>
      <c r="C32" s="723">
        <v>12</v>
      </c>
      <c r="D32" s="724" t="s">
        <v>60</v>
      </c>
      <c r="E32" s="721">
        <v>2022</v>
      </c>
      <c r="F32" s="722" t="s">
        <v>19</v>
      </c>
      <c r="G32" s="523">
        <f>S311</f>
        <v>24.874333517411024</v>
      </c>
      <c r="H32" s="524"/>
      <c r="I32" s="524"/>
      <c r="J32" s="524"/>
      <c r="K32" s="524"/>
      <c r="L32" s="524"/>
      <c r="M32" s="524"/>
      <c r="N32" s="516">
        <f>0.4*10^6*0.008</f>
        <v>3200</v>
      </c>
      <c r="O32" s="524"/>
      <c r="P32" s="524"/>
      <c r="Q32" s="524"/>
      <c r="R32" s="524"/>
      <c r="S32" s="524"/>
      <c r="T32" s="524"/>
      <c r="U32" s="527"/>
      <c r="V32" s="522"/>
      <c r="W32" s="522"/>
      <c r="X32" s="522"/>
      <c r="Y32" s="524"/>
      <c r="Z32" s="522"/>
      <c r="AA32" s="524"/>
      <c r="AB32" s="527"/>
      <c r="AC32" s="522"/>
      <c r="AD32" s="522"/>
      <c r="AE32" s="522"/>
      <c r="AF32" s="524"/>
      <c r="AG32" s="522"/>
      <c r="AH32" s="524"/>
      <c r="AI32" s="527"/>
      <c r="AJ32" s="522"/>
      <c r="AK32" s="522"/>
      <c r="AL32" s="522"/>
      <c r="AM32" s="524"/>
      <c r="AN32" s="522"/>
      <c r="AO32" s="524"/>
      <c r="AP32" s="1004">
        <v>0.05</v>
      </c>
      <c r="AQ32" s="1005"/>
      <c r="AR32" s="104" t="s">
        <v>423</v>
      </c>
    </row>
    <row r="33" spans="1:44" ht="14.25" customHeight="1" x14ac:dyDescent="0.3">
      <c r="A33" s="936"/>
      <c r="B33" s="907"/>
      <c r="C33" s="723">
        <v>12</v>
      </c>
      <c r="D33" s="724" t="s">
        <v>60</v>
      </c>
      <c r="E33" s="724">
        <v>2022</v>
      </c>
      <c r="F33" s="725" t="s">
        <v>19</v>
      </c>
      <c r="G33" s="523">
        <f>T311</f>
        <v>31.092916896763782</v>
      </c>
      <c r="H33" s="522"/>
      <c r="I33" s="524"/>
      <c r="J33" s="524"/>
      <c r="K33" s="524"/>
      <c r="L33" s="524"/>
      <c r="M33" s="524"/>
      <c r="N33" s="523">
        <f>0.5*10^6*0.009</f>
        <v>4500</v>
      </c>
      <c r="O33" s="524"/>
      <c r="P33" s="524"/>
      <c r="Q33" s="524"/>
      <c r="R33" s="524"/>
      <c r="S33" s="524"/>
      <c r="T33" s="524"/>
      <c r="U33" s="527"/>
      <c r="V33" s="522"/>
      <c r="W33" s="522"/>
      <c r="X33" s="522"/>
      <c r="Y33" s="524"/>
      <c r="Z33" s="522"/>
      <c r="AA33" s="524"/>
      <c r="AB33" s="527"/>
      <c r="AC33" s="522"/>
      <c r="AD33" s="522"/>
      <c r="AE33" s="522"/>
      <c r="AF33" s="524"/>
      <c r="AG33" s="522"/>
      <c r="AH33" s="524"/>
      <c r="AI33" s="527"/>
      <c r="AJ33" s="522"/>
      <c r="AK33" s="522"/>
      <c r="AL33" s="522"/>
      <c r="AM33" s="524"/>
      <c r="AN33" s="522"/>
      <c r="AO33" s="524"/>
      <c r="AP33" s="1006">
        <v>0.05</v>
      </c>
      <c r="AQ33" s="1007"/>
      <c r="AR33" s="116" t="s">
        <v>424</v>
      </c>
    </row>
    <row r="34" spans="1:44" ht="14.25" customHeight="1" x14ac:dyDescent="0.3">
      <c r="A34" s="936"/>
      <c r="B34" s="908"/>
      <c r="C34" s="726">
        <v>12</v>
      </c>
      <c r="D34" s="727" t="s">
        <v>60</v>
      </c>
      <c r="E34" s="727">
        <v>2022</v>
      </c>
      <c r="F34" s="728" t="s">
        <v>19</v>
      </c>
      <c r="G34" s="533">
        <f>U311</f>
        <v>37.311500276116547</v>
      </c>
      <c r="H34" s="532"/>
      <c r="I34" s="534"/>
      <c r="J34" s="534"/>
      <c r="K34" s="534"/>
      <c r="L34" s="534"/>
      <c r="M34" s="534"/>
      <c r="N34" s="533">
        <f>0.6*10^6*0.01</f>
        <v>6000</v>
      </c>
      <c r="O34" s="534"/>
      <c r="P34" s="534"/>
      <c r="Q34" s="534"/>
      <c r="R34" s="534"/>
      <c r="S34" s="534"/>
      <c r="T34" s="534"/>
      <c r="U34" s="538"/>
      <c r="V34" s="532"/>
      <c r="W34" s="532"/>
      <c r="X34" s="532"/>
      <c r="Y34" s="534"/>
      <c r="Z34" s="532"/>
      <c r="AA34" s="534"/>
      <c r="AB34" s="538"/>
      <c r="AC34" s="532"/>
      <c r="AD34" s="532"/>
      <c r="AE34" s="532"/>
      <c r="AF34" s="534"/>
      <c r="AG34" s="532"/>
      <c r="AH34" s="534"/>
      <c r="AI34" s="538"/>
      <c r="AJ34" s="532"/>
      <c r="AK34" s="532"/>
      <c r="AL34" s="532"/>
      <c r="AM34" s="534"/>
      <c r="AN34" s="532"/>
      <c r="AO34" s="534"/>
      <c r="AP34" s="1008">
        <v>0.05</v>
      </c>
      <c r="AQ34" s="1009"/>
      <c r="AR34" s="116" t="s">
        <v>425</v>
      </c>
    </row>
    <row r="35" spans="1:44" ht="14.25" customHeight="1" x14ac:dyDescent="0.3">
      <c r="A35" s="936"/>
      <c r="B35" s="963" t="s">
        <v>1</v>
      </c>
      <c r="C35" s="1000" t="s">
        <v>246</v>
      </c>
      <c r="D35" s="1001"/>
      <c r="E35" s="1001"/>
      <c r="F35" s="622"/>
      <c r="G35" s="949" t="s">
        <v>418</v>
      </c>
      <c r="H35" s="950"/>
      <c r="I35" s="950"/>
      <c r="J35" s="950"/>
      <c r="K35" s="950"/>
      <c r="L35" s="950"/>
      <c r="M35" s="951"/>
      <c r="N35" s="914" t="s">
        <v>435</v>
      </c>
      <c r="O35" s="915"/>
      <c r="P35" s="915"/>
      <c r="Q35" s="915"/>
      <c r="R35" s="915"/>
      <c r="S35" s="915"/>
      <c r="T35" s="916"/>
      <c r="U35" s="914" t="s">
        <v>249</v>
      </c>
      <c r="V35" s="915"/>
      <c r="W35" s="915"/>
      <c r="X35" s="915"/>
      <c r="Y35" s="915"/>
      <c r="Z35" s="915"/>
      <c r="AA35" s="916"/>
      <c r="AB35" s="914" t="s">
        <v>250</v>
      </c>
      <c r="AC35" s="915"/>
      <c r="AD35" s="915"/>
      <c r="AE35" s="915"/>
      <c r="AF35" s="915"/>
      <c r="AG35" s="915"/>
      <c r="AH35" s="916"/>
      <c r="AI35" s="914" t="s">
        <v>251</v>
      </c>
      <c r="AJ35" s="915"/>
      <c r="AK35" s="915"/>
      <c r="AL35" s="915"/>
      <c r="AM35" s="915"/>
      <c r="AN35" s="915"/>
      <c r="AO35" s="916"/>
      <c r="AP35" s="1002" t="s">
        <v>252</v>
      </c>
      <c r="AQ35" s="1003"/>
      <c r="AR35" s="962" t="s">
        <v>253</v>
      </c>
    </row>
    <row r="36" spans="1:44" ht="14.25" customHeight="1" x14ac:dyDescent="0.3">
      <c r="A36" s="936"/>
      <c r="B36" s="963"/>
      <c r="C36" s="86" t="s">
        <v>254</v>
      </c>
      <c r="D36" s="87" t="s">
        <v>255</v>
      </c>
      <c r="E36" s="85" t="s">
        <v>256</v>
      </c>
      <c r="F36" s="622" t="s">
        <v>19</v>
      </c>
      <c r="G36" s="86">
        <v>2020</v>
      </c>
      <c r="H36" s="87">
        <v>2025</v>
      </c>
      <c r="I36" s="87">
        <v>2030</v>
      </c>
      <c r="J36" s="87">
        <v>2040</v>
      </c>
      <c r="K36" s="87">
        <v>2045</v>
      </c>
      <c r="L36" s="87">
        <v>2050</v>
      </c>
      <c r="M36" s="87">
        <v>2060</v>
      </c>
      <c r="N36" s="86">
        <v>2020</v>
      </c>
      <c r="O36" s="87">
        <v>2025</v>
      </c>
      <c r="P36" s="87">
        <v>2030</v>
      </c>
      <c r="Q36" s="87">
        <v>2040</v>
      </c>
      <c r="R36" s="87">
        <v>2045</v>
      </c>
      <c r="S36" s="87">
        <v>2050</v>
      </c>
      <c r="T36" s="87">
        <v>2060</v>
      </c>
      <c r="U36" s="86">
        <v>2020</v>
      </c>
      <c r="V36" s="87">
        <v>2025</v>
      </c>
      <c r="W36" s="87">
        <v>2030</v>
      </c>
      <c r="X36" s="87">
        <v>2040</v>
      </c>
      <c r="Y36" s="87">
        <v>2045</v>
      </c>
      <c r="Z36" s="87">
        <v>2050</v>
      </c>
      <c r="AA36" s="87">
        <v>2060</v>
      </c>
      <c r="AB36" s="86">
        <v>2020</v>
      </c>
      <c r="AC36" s="87">
        <v>2025</v>
      </c>
      <c r="AD36" s="87">
        <v>2030</v>
      </c>
      <c r="AE36" s="87">
        <v>2040</v>
      </c>
      <c r="AF36" s="87">
        <v>2045</v>
      </c>
      <c r="AG36" s="87">
        <v>2050</v>
      </c>
      <c r="AH36" s="87">
        <v>2060</v>
      </c>
      <c r="AI36" s="86">
        <v>2020</v>
      </c>
      <c r="AJ36" s="87">
        <v>2025</v>
      </c>
      <c r="AK36" s="87">
        <v>2030</v>
      </c>
      <c r="AL36" s="87">
        <v>2040</v>
      </c>
      <c r="AM36" s="87">
        <v>2045</v>
      </c>
      <c r="AN36" s="87">
        <v>2050</v>
      </c>
      <c r="AO36" s="87">
        <v>2060</v>
      </c>
      <c r="AP36" s="86" t="s">
        <v>257</v>
      </c>
      <c r="AQ36" s="622" t="s">
        <v>258</v>
      </c>
      <c r="AR36" s="962"/>
    </row>
    <row r="37" spans="1:44" ht="14.25" customHeight="1" x14ac:dyDescent="0.3">
      <c r="A37" s="936"/>
      <c r="B37" s="877" t="s">
        <v>83</v>
      </c>
      <c r="C37" s="729">
        <v>2</v>
      </c>
      <c r="D37" s="730" t="s">
        <v>23</v>
      </c>
      <c r="E37" s="730">
        <v>2019</v>
      </c>
      <c r="F37" s="703" t="s">
        <v>19</v>
      </c>
      <c r="G37" s="480">
        <f>(412*10^6/1.1297)/11000*(10^-3/(33.33*10^-3))/30</f>
        <v>33.15773327757266</v>
      </c>
      <c r="H37" s="204"/>
      <c r="I37" s="204"/>
      <c r="J37" s="204"/>
      <c r="K37" s="204"/>
      <c r="L37" s="204"/>
      <c r="M37" s="204"/>
      <c r="N37" s="480">
        <f t="shared" ref="N37:N39" si="0">G37*0.04</f>
        <v>1.3263093311029064</v>
      </c>
      <c r="O37" s="204"/>
      <c r="P37" s="204"/>
      <c r="Q37" s="204"/>
      <c r="R37" s="204"/>
      <c r="S37" s="204"/>
      <c r="T37" s="204"/>
      <c r="U37" s="205"/>
      <c r="V37" s="202"/>
      <c r="W37" s="202"/>
      <c r="X37" s="202"/>
      <c r="Y37" s="204"/>
      <c r="Z37" s="202"/>
      <c r="AA37" s="204"/>
      <c r="AB37" s="205"/>
      <c r="AC37" s="202"/>
      <c r="AD37" s="202"/>
      <c r="AE37" s="202"/>
      <c r="AF37" s="207"/>
      <c r="AG37" s="207"/>
      <c r="AH37" s="207"/>
      <c r="AI37" s="205"/>
      <c r="AJ37" s="202"/>
      <c r="AK37" s="202"/>
      <c r="AL37" s="202"/>
      <c r="AM37" s="204"/>
      <c r="AN37" s="202"/>
      <c r="AO37" s="204"/>
      <c r="AP37" s="205"/>
      <c r="AQ37" s="21"/>
      <c r="AR37" s="116"/>
    </row>
    <row r="38" spans="1:44" ht="14.25" customHeight="1" x14ac:dyDescent="0.3">
      <c r="A38" s="936"/>
      <c r="B38" s="878"/>
      <c r="C38" s="731">
        <v>4</v>
      </c>
      <c r="D38" s="732" t="s">
        <v>31</v>
      </c>
      <c r="E38" s="732">
        <v>2022</v>
      </c>
      <c r="F38" s="704" t="s">
        <v>19</v>
      </c>
      <c r="G38" s="212">
        <f>361223561.58/11000*(10^-3/(33.33*10^-3))/30</f>
        <v>32.841789777159534</v>
      </c>
      <c r="H38" s="209">
        <f>361223561.58/11000*(10^-3/(33.33*10^-3))/30</f>
        <v>32.841789777159534</v>
      </c>
      <c r="I38" s="209">
        <f t="shared" ref="I38:L38" si="1">361223561.58/11000*(10^-3/(33.33*10^-3))/30</f>
        <v>32.841789777159534</v>
      </c>
      <c r="J38" s="209">
        <f t="shared" si="1"/>
        <v>32.841789777159534</v>
      </c>
      <c r="K38" s="209">
        <v>32.840000000000003</v>
      </c>
      <c r="L38" s="209">
        <f t="shared" si="1"/>
        <v>32.841789777159534</v>
      </c>
      <c r="M38" s="107">
        <f>K38+((L38-K38)/(2050-2045))*(2060-2045)</f>
        <v>32.845369331478594</v>
      </c>
      <c r="N38" s="212">
        <f t="shared" si="0"/>
        <v>1.3136715910863814</v>
      </c>
      <c r="O38" s="209">
        <f>H38*0.04</f>
        <v>1.3136715910863814</v>
      </c>
      <c r="P38" s="209">
        <f t="shared" ref="P38:P39" si="2">I38*0.04</f>
        <v>1.3136715910863814</v>
      </c>
      <c r="Q38" s="209">
        <f t="shared" ref="Q38:Q39" si="3">J38*0.04</f>
        <v>1.3136715910863814</v>
      </c>
      <c r="R38" s="107">
        <f t="shared" ref="R38:R39" si="4">Q38+((S38-Q38)/(2050-2040))*(2045-2040)</f>
        <v>1.3136715910863814</v>
      </c>
      <c r="S38" s="209">
        <f t="shared" ref="S38:S39" si="5">L38*0.04</f>
        <v>1.3136715910863814</v>
      </c>
      <c r="T38" s="107">
        <f>R38+((S38-R38)/(2050-2045))*(2060-2045)</f>
        <v>1.3136715910863814</v>
      </c>
      <c r="U38" s="210"/>
      <c r="V38" s="208"/>
      <c r="W38" s="208"/>
      <c r="X38" s="208"/>
      <c r="Y38" s="209"/>
      <c r="Z38" s="208"/>
      <c r="AA38" s="209"/>
      <c r="AB38" s="210">
        <v>20</v>
      </c>
      <c r="AC38" s="208">
        <v>20</v>
      </c>
      <c r="AD38" s="208">
        <v>20</v>
      </c>
      <c r="AE38" s="208">
        <v>20</v>
      </c>
      <c r="AF38" s="378">
        <f t="shared" ref="AF38:AF39" si="6">AE38+((AG38-AE38)/(2050-2040))*(2045-2040)</f>
        <v>20</v>
      </c>
      <c r="AG38" s="213">
        <v>20</v>
      </c>
      <c r="AH38" s="378">
        <f t="shared" ref="AH38:AH39" si="7">AF38+((AG38-AF38)/(2050-2045))*(2060-2045)</f>
        <v>20</v>
      </c>
      <c r="AI38" s="210"/>
      <c r="AJ38" s="208"/>
      <c r="AK38" s="208"/>
      <c r="AL38" s="208"/>
      <c r="AM38" s="209"/>
      <c r="AN38" s="208"/>
      <c r="AO38" s="209"/>
      <c r="AP38" s="210"/>
      <c r="AQ38" s="24"/>
      <c r="AR38" s="116"/>
    </row>
    <row r="39" spans="1:44" ht="14.25" customHeight="1" x14ac:dyDescent="0.3">
      <c r="A39" s="936"/>
      <c r="B39" s="878"/>
      <c r="C39" s="731">
        <v>1</v>
      </c>
      <c r="D39" s="732" t="s">
        <v>18</v>
      </c>
      <c r="E39" s="732">
        <v>2020</v>
      </c>
      <c r="F39" s="704" t="s">
        <v>19</v>
      </c>
      <c r="G39" s="212">
        <f>37455/1.1297*(10^-3/(33.33*10^-3))/30</f>
        <v>33.158135677248353</v>
      </c>
      <c r="H39" s="107">
        <f>G39+((I39-G39)/(2030-2020))*(2025-2020)</f>
        <v>31.500007573564304</v>
      </c>
      <c r="I39" s="209">
        <f>33709/1.1297*(10^-3/(33.33*10^-3))/30</f>
        <v>29.841879469880251</v>
      </c>
      <c r="J39" s="209">
        <f>25282/1.1297*(10^-3/(33.33*10^-3))/30</f>
        <v>22.381630922231821</v>
      </c>
      <c r="K39" s="107">
        <f t="shared" ref="K39:K41" si="8">J39+((L39-J39)/(2050-2040))*(2045-2040)</f>
        <v>18.651506648407608</v>
      </c>
      <c r="L39" s="209">
        <f>16855/1.1297*(10^-3/(33.33*10^-3))/30</f>
        <v>14.921382374583393</v>
      </c>
      <c r="M39" s="107">
        <v>14.92</v>
      </c>
      <c r="N39" s="212">
        <f t="shared" si="0"/>
        <v>1.3263254270899341</v>
      </c>
      <c r="O39" s="107">
        <f>N39+((P39-N39)/(2030-2020))*(2025-2020)</f>
        <v>1.2600003029425721</v>
      </c>
      <c r="P39" s="209">
        <f t="shared" si="2"/>
        <v>1.19367517879521</v>
      </c>
      <c r="Q39" s="209">
        <f t="shared" si="3"/>
        <v>0.89526523688927284</v>
      </c>
      <c r="R39" s="107">
        <f t="shared" si="4"/>
        <v>0.74606026593630426</v>
      </c>
      <c r="S39" s="209">
        <f t="shared" si="5"/>
        <v>0.59685529498333578</v>
      </c>
      <c r="T39" s="107">
        <v>0.6</v>
      </c>
      <c r="U39" s="210"/>
      <c r="V39" s="208"/>
      <c r="W39" s="208"/>
      <c r="X39" s="208"/>
      <c r="Y39" s="209"/>
      <c r="Z39" s="208"/>
      <c r="AA39" s="209"/>
      <c r="AB39" s="210">
        <v>30</v>
      </c>
      <c r="AC39" s="297">
        <f>AB39+((AD39-AB39)/(2030-2020))*(2025-2020)</f>
        <v>30</v>
      </c>
      <c r="AD39" s="208">
        <v>30</v>
      </c>
      <c r="AE39" s="208">
        <v>30</v>
      </c>
      <c r="AF39" s="378">
        <f t="shared" si="6"/>
        <v>30</v>
      </c>
      <c r="AG39" s="213">
        <v>30</v>
      </c>
      <c r="AH39" s="378">
        <f t="shared" si="7"/>
        <v>30</v>
      </c>
      <c r="AI39" s="210"/>
      <c r="AJ39" s="208"/>
      <c r="AK39" s="208"/>
      <c r="AL39" s="208"/>
      <c r="AM39" s="213"/>
      <c r="AN39" s="213"/>
      <c r="AO39" s="213"/>
      <c r="AP39" s="210"/>
      <c r="AQ39" s="24"/>
      <c r="AR39" s="116"/>
    </row>
    <row r="40" spans="1:44" ht="14.25" customHeight="1" x14ac:dyDescent="0.3">
      <c r="A40" s="936"/>
      <c r="B40" s="878"/>
      <c r="C40" s="731">
        <v>11</v>
      </c>
      <c r="D40" s="732" t="s">
        <v>57</v>
      </c>
      <c r="E40" s="732">
        <v>2022</v>
      </c>
      <c r="F40" s="704" t="s">
        <v>19</v>
      </c>
      <c r="G40" s="106">
        <f t="shared" ref="G40:G41" si="9">H40+((I40-H40)/(2030-2025))*(2020-2025)</f>
        <v>154.84764845809008</v>
      </c>
      <c r="H40" s="107">
        <f t="shared" ref="H40:H41" si="10">I40+((J40-I40)/(2040-2030))*(2025-2030)</f>
        <v>123.5348021146919</v>
      </c>
      <c r="I40" s="209">
        <f>109060/1.1827*(10^-3/(33.33*10^-3))/30</f>
        <v>92.221955771293707</v>
      </c>
      <c r="J40" s="209">
        <f>(35000)/1.1827*(10^-3/(33.33*10^-3))/30</f>
        <v>29.596263084497341</v>
      </c>
      <c r="K40" s="107">
        <f t="shared" si="8"/>
        <v>29.596263084497341</v>
      </c>
      <c r="L40" s="209">
        <f>(35000)/1.1827*(10^-3/(33.33*10^-3))/30</f>
        <v>29.596263084497341</v>
      </c>
      <c r="M40" s="107">
        <f t="shared" ref="M40:M41" si="11">K40+((L40-K40)/(2050-2045))*(2060-2045)</f>
        <v>29.596263084497341</v>
      </c>
      <c r="N40" s="106">
        <f t="shared" ref="N40:N41" si="12">G40*0.02</f>
        <v>3.0969529691618014</v>
      </c>
      <c r="O40" s="107">
        <f t="shared" ref="O40:T41" si="13">H40*0.02</f>
        <v>2.470696042293838</v>
      </c>
      <c r="P40" s="107">
        <f t="shared" si="13"/>
        <v>1.8444391154258741</v>
      </c>
      <c r="Q40" s="107">
        <f t="shared" si="13"/>
        <v>0.59192526168994686</v>
      </c>
      <c r="R40" s="107">
        <f t="shared" si="13"/>
        <v>0.59192526168994686</v>
      </c>
      <c r="S40" s="107">
        <f t="shared" si="13"/>
        <v>0.59192526168994686</v>
      </c>
      <c r="T40" s="107">
        <f t="shared" si="13"/>
        <v>0.59192526168994686</v>
      </c>
      <c r="U40" s="210"/>
      <c r="V40" s="208"/>
      <c r="W40" s="208"/>
      <c r="X40" s="208"/>
      <c r="Y40" s="209"/>
      <c r="Z40" s="208"/>
      <c r="AA40" s="209"/>
      <c r="AB40" s="210"/>
      <c r="AC40" s="208"/>
      <c r="AD40" s="208"/>
      <c r="AE40" s="208"/>
      <c r="AF40" s="213"/>
      <c r="AG40" s="213"/>
      <c r="AH40" s="213"/>
      <c r="AI40" s="733">
        <f t="shared" ref="AI40:AI41" si="14">AJ40+((AK40-AJ40)/(2030-2025))*(2020-2025)</f>
        <v>49</v>
      </c>
      <c r="AJ40" s="297">
        <f t="shared" ref="AJ40:AJ41" si="15">AK40+((AL40-AK40)/(2040-2030))*(2025-2030)</f>
        <v>50.5</v>
      </c>
      <c r="AK40" s="208">
        <v>52</v>
      </c>
      <c r="AL40" s="208">
        <v>55</v>
      </c>
      <c r="AM40" s="378">
        <f t="shared" ref="AM40:AM41" si="16">AL40+((AN40-AL40)/(2050-2040))*(2045-2040)</f>
        <v>56</v>
      </c>
      <c r="AN40" s="213">
        <v>57</v>
      </c>
      <c r="AO40" s="378">
        <f t="shared" ref="AO40:AO41" si="17">AM40+((AN40-AM40)/(2050-2045))*(2060-2045)</f>
        <v>59</v>
      </c>
      <c r="AP40" s="210"/>
      <c r="AQ40" s="24"/>
      <c r="AR40" s="116" t="s">
        <v>436</v>
      </c>
    </row>
    <row r="41" spans="1:44" ht="14.25" customHeight="1" x14ac:dyDescent="0.3">
      <c r="A41" s="936"/>
      <c r="B41" s="879"/>
      <c r="C41" s="734">
        <v>11</v>
      </c>
      <c r="D41" s="735" t="s">
        <v>57</v>
      </c>
      <c r="E41" s="735">
        <v>2022</v>
      </c>
      <c r="F41" s="705" t="s">
        <v>19</v>
      </c>
      <c r="G41" s="607">
        <f t="shared" si="9"/>
        <v>221.21092636870011</v>
      </c>
      <c r="H41" s="122">
        <f t="shared" si="10"/>
        <v>176.47828873527413</v>
      </c>
      <c r="I41" s="215">
        <f>155800/1.1827*(10^-3/(33.33*10^-3))/30</f>
        <v>131.74565110184815</v>
      </c>
      <c r="J41" s="215">
        <f>(50000)/1.1827*(10^-3/(33.33*10^-3))/30</f>
        <v>42.2803758349962</v>
      </c>
      <c r="K41" s="122">
        <f t="shared" si="8"/>
        <v>42.2803758349962</v>
      </c>
      <c r="L41" s="215">
        <f>(50000)/1.1827*(10^-3/(33.33*10^-3))/30</f>
        <v>42.2803758349962</v>
      </c>
      <c r="M41" s="122">
        <f t="shared" si="11"/>
        <v>42.2803758349962</v>
      </c>
      <c r="N41" s="106">
        <f t="shared" si="12"/>
        <v>4.424218527374002</v>
      </c>
      <c r="O41" s="107">
        <f t="shared" si="13"/>
        <v>3.5295657747054827</v>
      </c>
      <c r="P41" s="107">
        <f>I41*0.02</f>
        <v>2.634913022036963</v>
      </c>
      <c r="Q41" s="107">
        <f>J41*0.02</f>
        <v>0.84560751669992396</v>
      </c>
      <c r="R41" s="107">
        <f>K41*0.02</f>
        <v>0.84560751669992396</v>
      </c>
      <c r="S41" s="107">
        <f>L41*0.02</f>
        <v>0.84560751669992396</v>
      </c>
      <c r="T41" s="107">
        <f>M41*0.02</f>
        <v>0.84560751669992396</v>
      </c>
      <c r="U41" s="216"/>
      <c r="V41" s="214"/>
      <c r="W41" s="214"/>
      <c r="X41" s="214"/>
      <c r="Y41" s="215"/>
      <c r="Z41" s="214"/>
      <c r="AA41" s="215"/>
      <c r="AB41" s="216"/>
      <c r="AC41" s="214"/>
      <c r="AD41" s="214"/>
      <c r="AE41" s="214"/>
      <c r="AF41" s="660"/>
      <c r="AG41" s="660"/>
      <c r="AH41" s="660"/>
      <c r="AI41" s="736">
        <f t="shared" si="14"/>
        <v>49</v>
      </c>
      <c r="AJ41" s="306">
        <f t="shared" si="15"/>
        <v>50.5</v>
      </c>
      <c r="AK41" s="214">
        <v>52</v>
      </c>
      <c r="AL41" s="214">
        <v>55</v>
      </c>
      <c r="AM41" s="386">
        <f t="shared" si="16"/>
        <v>56</v>
      </c>
      <c r="AN41" s="660">
        <v>57</v>
      </c>
      <c r="AO41" s="386">
        <f t="shared" si="17"/>
        <v>59</v>
      </c>
      <c r="AP41" s="216"/>
      <c r="AQ41" s="27"/>
      <c r="AR41" s="116" t="s">
        <v>437</v>
      </c>
    </row>
    <row r="42" spans="1:44" ht="14.25" customHeight="1" x14ac:dyDescent="0.3">
      <c r="A42" s="936"/>
      <c r="B42" s="217" t="s">
        <v>267</v>
      </c>
      <c r="C42" s="222"/>
      <c r="D42" s="218"/>
      <c r="E42" s="218"/>
      <c r="F42" s="223"/>
      <c r="G42" s="219">
        <f>MIN(G37:G41)</f>
        <v>32.841789777159534</v>
      </c>
      <c r="H42" s="220">
        <f t="shared" ref="H42:AO42" si="18">MIN(H37:H41)</f>
        <v>31.500007573564304</v>
      </c>
      <c r="I42" s="220">
        <f t="shared" si="18"/>
        <v>29.841879469880251</v>
      </c>
      <c r="J42" s="220">
        <f t="shared" si="18"/>
        <v>22.381630922231821</v>
      </c>
      <c r="K42" s="220">
        <f t="shared" si="18"/>
        <v>18.651506648407608</v>
      </c>
      <c r="L42" s="220">
        <f t="shared" si="18"/>
        <v>14.921382374583393</v>
      </c>
      <c r="M42" s="220">
        <f t="shared" si="18"/>
        <v>14.92</v>
      </c>
      <c r="N42" s="219">
        <f t="shared" si="18"/>
        <v>1.3136715910863814</v>
      </c>
      <c r="O42" s="220">
        <f t="shared" si="18"/>
        <v>1.2600003029425721</v>
      </c>
      <c r="P42" s="220">
        <f t="shared" si="18"/>
        <v>1.19367517879521</v>
      </c>
      <c r="Q42" s="220">
        <f t="shared" si="18"/>
        <v>0.59192526168994686</v>
      </c>
      <c r="R42" s="220">
        <f t="shared" si="18"/>
        <v>0.59192526168994686</v>
      </c>
      <c r="S42" s="220">
        <f t="shared" si="18"/>
        <v>0.59192526168994686</v>
      </c>
      <c r="T42" s="220">
        <f t="shared" si="18"/>
        <v>0.59192526168994686</v>
      </c>
      <c r="U42" s="222"/>
      <c r="V42" s="218"/>
      <c r="W42" s="218"/>
      <c r="X42" s="218"/>
      <c r="Y42" s="220"/>
      <c r="Z42" s="218"/>
      <c r="AA42" s="220"/>
      <c r="AB42" s="222">
        <f t="shared" si="18"/>
        <v>20</v>
      </c>
      <c r="AC42" s="218">
        <f t="shared" si="18"/>
        <v>20</v>
      </c>
      <c r="AD42" s="218">
        <f t="shared" si="18"/>
        <v>20</v>
      </c>
      <c r="AE42" s="218">
        <f t="shared" si="18"/>
        <v>20</v>
      </c>
      <c r="AF42" s="490">
        <f t="shared" si="18"/>
        <v>20</v>
      </c>
      <c r="AG42" s="490">
        <f t="shared" si="18"/>
        <v>20</v>
      </c>
      <c r="AH42" s="490">
        <f t="shared" si="18"/>
        <v>20</v>
      </c>
      <c r="AI42" s="222">
        <f t="shared" si="18"/>
        <v>49</v>
      </c>
      <c r="AJ42" s="218">
        <f t="shared" si="18"/>
        <v>50.5</v>
      </c>
      <c r="AK42" s="218">
        <f t="shared" si="18"/>
        <v>52</v>
      </c>
      <c r="AL42" s="218">
        <f t="shared" si="18"/>
        <v>55</v>
      </c>
      <c r="AM42" s="490">
        <f t="shared" si="18"/>
        <v>56</v>
      </c>
      <c r="AN42" s="490">
        <f t="shared" si="18"/>
        <v>57</v>
      </c>
      <c r="AO42" s="490">
        <f t="shared" si="18"/>
        <v>59</v>
      </c>
      <c r="AP42" s="222"/>
      <c r="AQ42" s="223"/>
      <c r="AR42" s="104"/>
    </row>
    <row r="43" spans="1:44" ht="14.25" customHeight="1" x14ac:dyDescent="0.3">
      <c r="A43" s="936"/>
      <c r="B43" s="224" t="s">
        <v>268</v>
      </c>
      <c r="C43" s="229"/>
      <c r="D43" s="225"/>
      <c r="E43" s="225"/>
      <c r="F43" s="230"/>
      <c r="G43" s="226">
        <f>MEDIAN(G37:G41)</f>
        <v>33.158135677248353</v>
      </c>
      <c r="H43" s="227">
        <f t="shared" ref="H43:AO43" si="19">MEDIAN(H37:H41)</f>
        <v>78.188295945925717</v>
      </c>
      <c r="I43" s="227">
        <f t="shared" si="19"/>
        <v>62.53187277422662</v>
      </c>
      <c r="J43" s="227">
        <f t="shared" si="19"/>
        <v>31.219026430828436</v>
      </c>
      <c r="K43" s="227">
        <f t="shared" si="19"/>
        <v>31.21813154224867</v>
      </c>
      <c r="L43" s="227">
        <f t="shared" si="19"/>
        <v>31.219026430828436</v>
      </c>
      <c r="M43" s="227">
        <f t="shared" si="19"/>
        <v>31.220816207987966</v>
      </c>
      <c r="N43" s="226">
        <f t="shared" si="19"/>
        <v>1.3263254270899341</v>
      </c>
      <c r="O43" s="227">
        <f t="shared" si="19"/>
        <v>1.8921838166901097</v>
      </c>
      <c r="P43" s="227">
        <f t="shared" si="19"/>
        <v>1.5790553532561278</v>
      </c>
      <c r="Q43" s="227">
        <f t="shared" si="19"/>
        <v>0.8704363767945984</v>
      </c>
      <c r="R43" s="227">
        <f t="shared" si="19"/>
        <v>0.79583389131811411</v>
      </c>
      <c r="S43" s="227">
        <f t="shared" si="19"/>
        <v>0.72123140584162981</v>
      </c>
      <c r="T43" s="227">
        <f t="shared" si="19"/>
        <v>0.72280375834996202</v>
      </c>
      <c r="U43" s="229"/>
      <c r="V43" s="225"/>
      <c r="W43" s="225"/>
      <c r="X43" s="225"/>
      <c r="Y43" s="227"/>
      <c r="Z43" s="225"/>
      <c r="AA43" s="227"/>
      <c r="AB43" s="229">
        <f t="shared" si="19"/>
        <v>25</v>
      </c>
      <c r="AC43" s="225">
        <f t="shared" si="19"/>
        <v>25</v>
      </c>
      <c r="AD43" s="225">
        <f t="shared" si="19"/>
        <v>25</v>
      </c>
      <c r="AE43" s="225">
        <f t="shared" si="19"/>
        <v>25</v>
      </c>
      <c r="AF43" s="494">
        <f t="shared" si="19"/>
        <v>25</v>
      </c>
      <c r="AG43" s="494">
        <f t="shared" si="19"/>
        <v>25</v>
      </c>
      <c r="AH43" s="494">
        <f t="shared" si="19"/>
        <v>25</v>
      </c>
      <c r="AI43" s="229">
        <f t="shared" si="19"/>
        <v>49</v>
      </c>
      <c r="AJ43" s="225">
        <f t="shared" si="19"/>
        <v>50.5</v>
      </c>
      <c r="AK43" s="225">
        <f t="shared" si="19"/>
        <v>52</v>
      </c>
      <c r="AL43" s="225">
        <f t="shared" si="19"/>
        <v>55</v>
      </c>
      <c r="AM43" s="494">
        <f t="shared" si="19"/>
        <v>56</v>
      </c>
      <c r="AN43" s="494">
        <f t="shared" si="19"/>
        <v>57</v>
      </c>
      <c r="AO43" s="494">
        <f t="shared" si="19"/>
        <v>59</v>
      </c>
      <c r="AP43" s="229"/>
      <c r="AQ43" s="230"/>
      <c r="AR43" s="104"/>
    </row>
    <row r="44" spans="1:44" ht="14.25" customHeight="1" x14ac:dyDescent="0.3">
      <c r="A44" s="936"/>
      <c r="B44" s="231" t="s">
        <v>269</v>
      </c>
      <c r="C44" s="234"/>
      <c r="D44" s="232"/>
      <c r="E44" s="232"/>
      <c r="F44" s="235"/>
      <c r="G44" s="599">
        <f>MAX(G37:G41)</f>
        <v>221.21092636870011</v>
      </c>
      <c r="H44" s="233">
        <f t="shared" ref="H44:AO44" si="20">MAX(H37:H41)</f>
        <v>176.47828873527413</v>
      </c>
      <c r="I44" s="233">
        <f t="shared" si="20"/>
        <v>131.74565110184815</v>
      </c>
      <c r="J44" s="233">
        <f t="shared" si="20"/>
        <v>42.2803758349962</v>
      </c>
      <c r="K44" s="233">
        <f t="shared" si="20"/>
        <v>42.2803758349962</v>
      </c>
      <c r="L44" s="233">
        <f t="shared" si="20"/>
        <v>42.2803758349962</v>
      </c>
      <c r="M44" s="233">
        <f t="shared" si="20"/>
        <v>42.2803758349962</v>
      </c>
      <c r="N44" s="599">
        <f t="shared" si="20"/>
        <v>4.424218527374002</v>
      </c>
      <c r="O44" s="233">
        <f t="shared" si="20"/>
        <v>3.5295657747054827</v>
      </c>
      <c r="P44" s="233">
        <f t="shared" si="20"/>
        <v>2.634913022036963</v>
      </c>
      <c r="Q44" s="233">
        <f t="shared" si="20"/>
        <v>1.3136715910863814</v>
      </c>
      <c r="R44" s="233">
        <f t="shared" si="20"/>
        <v>1.3136715910863814</v>
      </c>
      <c r="S44" s="233">
        <f t="shared" si="20"/>
        <v>1.3136715910863814</v>
      </c>
      <c r="T44" s="233">
        <f t="shared" si="20"/>
        <v>1.3136715910863814</v>
      </c>
      <c r="U44" s="234"/>
      <c r="V44" s="232"/>
      <c r="W44" s="232"/>
      <c r="X44" s="232"/>
      <c r="Y44" s="233"/>
      <c r="Z44" s="232"/>
      <c r="AA44" s="233"/>
      <c r="AB44" s="234">
        <f t="shared" si="20"/>
        <v>30</v>
      </c>
      <c r="AC44" s="232">
        <f t="shared" si="20"/>
        <v>30</v>
      </c>
      <c r="AD44" s="232">
        <f t="shared" si="20"/>
        <v>30</v>
      </c>
      <c r="AE44" s="232">
        <f t="shared" si="20"/>
        <v>30</v>
      </c>
      <c r="AF44" s="498">
        <f t="shared" si="20"/>
        <v>30</v>
      </c>
      <c r="AG44" s="498">
        <f t="shared" si="20"/>
        <v>30</v>
      </c>
      <c r="AH44" s="498">
        <f t="shared" si="20"/>
        <v>30</v>
      </c>
      <c r="AI44" s="234">
        <f t="shared" si="20"/>
        <v>49</v>
      </c>
      <c r="AJ44" s="232">
        <f t="shared" si="20"/>
        <v>50.5</v>
      </c>
      <c r="AK44" s="232">
        <f t="shared" si="20"/>
        <v>52</v>
      </c>
      <c r="AL44" s="232">
        <f t="shared" si="20"/>
        <v>55</v>
      </c>
      <c r="AM44" s="498">
        <f t="shared" si="20"/>
        <v>56</v>
      </c>
      <c r="AN44" s="498">
        <f t="shared" si="20"/>
        <v>57</v>
      </c>
      <c r="AO44" s="498">
        <f t="shared" si="20"/>
        <v>59</v>
      </c>
      <c r="AP44" s="234"/>
      <c r="AQ44" s="235"/>
      <c r="AR44" s="104"/>
    </row>
    <row r="45" spans="1:44" ht="14.25" customHeight="1" x14ac:dyDescent="0.3">
      <c r="A45" s="936"/>
      <c r="B45" s="967" t="s">
        <v>85</v>
      </c>
      <c r="C45" s="737">
        <v>4</v>
      </c>
      <c r="D45" s="623" t="s">
        <v>31</v>
      </c>
      <c r="E45" s="623">
        <v>2022</v>
      </c>
      <c r="F45" s="280" t="s">
        <v>19</v>
      </c>
      <c r="G45" s="508">
        <f t="shared" ref="G45:L45" si="21">(31700578.34/75000)*(1/1000)*(1/(2*10^-3))*(1/30)</f>
        <v>7.0445729644444439</v>
      </c>
      <c r="H45" s="281">
        <f t="shared" si="21"/>
        <v>7.0445729644444439</v>
      </c>
      <c r="I45" s="281">
        <f t="shared" si="21"/>
        <v>7.0445729644444439</v>
      </c>
      <c r="J45" s="281">
        <f t="shared" si="21"/>
        <v>7.0445729644444439</v>
      </c>
      <c r="K45" s="281">
        <f t="shared" si="21"/>
        <v>7.0445729644444439</v>
      </c>
      <c r="L45" s="281">
        <f t="shared" si="21"/>
        <v>7.0445729644444439</v>
      </c>
      <c r="M45" s="93">
        <f t="shared" ref="M45:M47" si="22">K45+((L45-K45)/(2050-2045))*(2060-2045)</f>
        <v>7.0445729644444439</v>
      </c>
      <c r="N45" s="508">
        <f>G45*0.05</f>
        <v>0.35222864822222222</v>
      </c>
      <c r="O45" s="281">
        <f>H45*0.05</f>
        <v>0.35222864822222222</v>
      </c>
      <c r="P45" s="281">
        <f>I45*0.05</f>
        <v>0.35222864822222222</v>
      </c>
      <c r="Q45" s="281">
        <f>J45*0.05</f>
        <v>0.35222864822222222</v>
      </c>
      <c r="R45" s="93">
        <f>Q45+((S45-Q45)/(2050-2040))*(2045-2040)</f>
        <v>0.35222864822222222</v>
      </c>
      <c r="S45" s="281">
        <f>L45*0.05</f>
        <v>0.35222864822222222</v>
      </c>
      <c r="T45" s="93">
        <f>R45+((S45-R45)/(2050-2045))*(2060-2045)</f>
        <v>0.35222864822222222</v>
      </c>
      <c r="U45" s="278"/>
      <c r="V45" s="279"/>
      <c r="W45" s="279"/>
      <c r="X45" s="279"/>
      <c r="Y45" s="281"/>
      <c r="Z45" s="279"/>
      <c r="AA45" s="281"/>
      <c r="AB45" s="278">
        <v>15</v>
      </c>
      <c r="AC45" s="279">
        <v>15</v>
      </c>
      <c r="AD45" s="279">
        <v>15</v>
      </c>
      <c r="AE45" s="279">
        <v>15</v>
      </c>
      <c r="AF45" s="101">
        <f>AE45+((AG45-AE45)/(2050-2040))*(2045-2040)</f>
        <v>15</v>
      </c>
      <c r="AG45" s="625">
        <v>15</v>
      </c>
      <c r="AH45" s="101">
        <f>AF45+((AG45-AF45)/(2050-2045))*(2060-2045)</f>
        <v>15</v>
      </c>
      <c r="AI45" s="278"/>
      <c r="AJ45" s="279"/>
      <c r="AK45" s="279"/>
      <c r="AL45" s="279"/>
      <c r="AM45" s="625"/>
      <c r="AN45" s="625"/>
      <c r="AO45" s="625"/>
      <c r="AP45" s="278"/>
      <c r="AQ45" s="7"/>
      <c r="AR45" s="104"/>
    </row>
    <row r="46" spans="1:44" ht="14.25" customHeight="1" x14ac:dyDescent="0.3">
      <c r="A46" s="936"/>
      <c r="B46" s="955"/>
      <c r="C46" s="738">
        <v>11</v>
      </c>
      <c r="D46" s="626" t="s">
        <v>57</v>
      </c>
      <c r="E46" s="626">
        <v>2022</v>
      </c>
      <c r="F46" s="291" t="s">
        <v>19</v>
      </c>
      <c r="G46" s="106">
        <f t="shared" ref="G46:G47" si="23">H46+((I46-H46)/(2030-2025))*(2020-2025)</f>
        <v>30.410642315605525</v>
      </c>
      <c r="H46" s="107">
        <f t="shared" ref="H46:H47" si="24">I46+((J46-I46)/(2040-2030))*(2025-2030)</f>
        <v>24.92178912657478</v>
      </c>
      <c r="I46" s="282">
        <f>(1379/1.1827)*(1/1000)*(1/(2*10^-3))*(1/30)</f>
        <v>19.432935937544034</v>
      </c>
      <c r="J46" s="282">
        <f>((600)/1.1827)*(1/1000)*(1/(2*10^-3))*(1/30)</f>
        <v>8.4552295594825395</v>
      </c>
      <c r="K46" s="107">
        <f t="shared" ref="K46:K47" si="25">J46+((L46-J46)/(2050-2040))*(2045-2040)</f>
        <v>8.4552295594825395</v>
      </c>
      <c r="L46" s="282">
        <f>((600)/1.1827)*(1/1000)*(1/(2*10^-3))*(1/30)</f>
        <v>8.4552295594825395</v>
      </c>
      <c r="M46" s="107">
        <f t="shared" si="22"/>
        <v>8.4552295594825395</v>
      </c>
      <c r="N46" s="106">
        <f t="shared" ref="N46:N47" si="26">G46*0.02</f>
        <v>0.60821284631211048</v>
      </c>
      <c r="O46" s="107">
        <f t="shared" ref="O46:O47" si="27">H46*0.02</f>
        <v>0.49843578253149562</v>
      </c>
      <c r="P46" s="107">
        <f t="shared" ref="P46:P47" si="28">I46*0.02</f>
        <v>0.38865871875088071</v>
      </c>
      <c r="Q46" s="107">
        <f t="shared" ref="Q46:Q47" si="29">J46*0.02</f>
        <v>0.16910459118965079</v>
      </c>
      <c r="R46" s="107">
        <f t="shared" ref="R46:R47" si="30">K46*0.02</f>
        <v>0.16910459118965079</v>
      </c>
      <c r="S46" s="107">
        <f t="shared" ref="S46:S47" si="31">L46*0.02</f>
        <v>0.16910459118965079</v>
      </c>
      <c r="T46" s="107">
        <f t="shared" ref="T46:T47" si="32">M46*0.02</f>
        <v>0.16910459118965079</v>
      </c>
      <c r="U46" s="289"/>
      <c r="V46" s="290"/>
      <c r="W46" s="290"/>
      <c r="X46" s="290"/>
      <c r="Y46" s="282"/>
      <c r="Z46" s="290"/>
      <c r="AA46" s="282"/>
      <c r="AB46" s="289"/>
      <c r="AC46" s="290"/>
      <c r="AD46" s="290"/>
      <c r="AE46" s="290"/>
      <c r="AF46" s="288"/>
      <c r="AG46" s="288"/>
      <c r="AH46" s="288"/>
      <c r="AI46" s="733">
        <f t="shared" ref="AI46:AI47" si="33">AJ46+((AK46-AJ46)/(2030-2025))*(2020-2025)</f>
        <v>37</v>
      </c>
      <c r="AJ46" s="297">
        <f t="shared" ref="AJ46:AJ47" si="34">AK46+((AL46-AK46)/(2040-2030))*(2025-2030)</f>
        <v>38.5</v>
      </c>
      <c r="AK46" s="290">
        <v>40</v>
      </c>
      <c r="AL46" s="290">
        <v>43</v>
      </c>
      <c r="AM46" s="377">
        <f t="shared" ref="AM46:AM47" si="35">AL46+((AN46-AL46)/(2050-2040))*(2045-2040)</f>
        <v>44.5</v>
      </c>
      <c r="AN46" s="288">
        <v>46</v>
      </c>
      <c r="AO46" s="378">
        <f t="shared" ref="AO46:AO47" si="36">AM46+((AN46-AM46)/(2050-2045))*(2060-2045)</f>
        <v>49</v>
      </c>
      <c r="AP46" s="289"/>
      <c r="AQ46" s="11"/>
      <c r="AR46" s="116" t="s">
        <v>436</v>
      </c>
    </row>
    <row r="47" spans="1:44" ht="14.25" customHeight="1" x14ac:dyDescent="0.3">
      <c r="A47" s="936"/>
      <c r="B47" s="968"/>
      <c r="C47" s="739">
        <v>11</v>
      </c>
      <c r="D47" s="651" t="s">
        <v>57</v>
      </c>
      <c r="E47" s="651">
        <v>2022</v>
      </c>
      <c r="F47" s="301" t="s">
        <v>19</v>
      </c>
      <c r="G47" s="607">
        <f t="shared" si="23"/>
        <v>45.601871424142502</v>
      </c>
      <c r="H47" s="122">
        <f t="shared" si="24"/>
        <v>37.372114652912828</v>
      </c>
      <c r="I47" s="302">
        <f>(2068/1.1827)*(1/1000)*(1/(2*10^-3))*(1/30)</f>
        <v>29.142357881683154</v>
      </c>
      <c r="J47" s="302">
        <f>((900)/1.1827)*(1/1000)*(1/(2*10^-3))*(1/30)</f>
        <v>12.682844339223811</v>
      </c>
      <c r="K47" s="122">
        <f t="shared" si="25"/>
        <v>12.682844339223811</v>
      </c>
      <c r="L47" s="302">
        <f>((900)/1.1827)*(1/1000)*(1/(2*10^-3))*(1/30)</f>
        <v>12.682844339223811</v>
      </c>
      <c r="M47" s="122">
        <f t="shared" si="22"/>
        <v>12.682844339223811</v>
      </c>
      <c r="N47" s="106">
        <f t="shared" si="26"/>
        <v>0.91203742848285008</v>
      </c>
      <c r="O47" s="107">
        <f t="shared" si="27"/>
        <v>0.7474422930582566</v>
      </c>
      <c r="P47" s="107">
        <f t="shared" si="28"/>
        <v>0.58284715763366313</v>
      </c>
      <c r="Q47" s="107">
        <f t="shared" si="29"/>
        <v>0.25365688678447623</v>
      </c>
      <c r="R47" s="107">
        <f t="shared" si="30"/>
        <v>0.25365688678447623</v>
      </c>
      <c r="S47" s="107">
        <f t="shared" si="31"/>
        <v>0.25365688678447623</v>
      </c>
      <c r="T47" s="107">
        <f t="shared" si="32"/>
        <v>0.25365688678447623</v>
      </c>
      <c r="U47" s="299"/>
      <c r="V47" s="300"/>
      <c r="W47" s="300"/>
      <c r="X47" s="300"/>
      <c r="Y47" s="302"/>
      <c r="Z47" s="300"/>
      <c r="AA47" s="302"/>
      <c r="AB47" s="299"/>
      <c r="AC47" s="300"/>
      <c r="AD47" s="300"/>
      <c r="AE47" s="300"/>
      <c r="AF47" s="308"/>
      <c r="AG47" s="308"/>
      <c r="AH47" s="308"/>
      <c r="AI47" s="736">
        <f t="shared" si="33"/>
        <v>37</v>
      </c>
      <c r="AJ47" s="306">
        <f t="shared" si="34"/>
        <v>38.5</v>
      </c>
      <c r="AK47" s="300">
        <v>40</v>
      </c>
      <c r="AL47" s="300">
        <v>43</v>
      </c>
      <c r="AM47" s="712">
        <f t="shared" si="35"/>
        <v>44.5</v>
      </c>
      <c r="AN47" s="308">
        <v>46</v>
      </c>
      <c r="AO47" s="386">
        <f t="shared" si="36"/>
        <v>49</v>
      </c>
      <c r="AP47" s="299"/>
      <c r="AQ47" s="18"/>
      <c r="AR47" s="116" t="s">
        <v>437</v>
      </c>
    </row>
    <row r="48" spans="1:44" ht="14.25" customHeight="1" x14ac:dyDescent="0.3">
      <c r="A48" s="936"/>
      <c r="B48" s="310" t="s">
        <v>267</v>
      </c>
      <c r="C48" s="317"/>
      <c r="D48" s="318"/>
      <c r="E48" s="318"/>
      <c r="F48" s="321"/>
      <c r="G48" s="312">
        <f>MIN(G45:G47)</f>
        <v>7.0445729644444439</v>
      </c>
      <c r="H48" s="313">
        <f t="shared" ref="H48:AO48" si="37">MIN(H45:H47)</f>
        <v>7.0445729644444439</v>
      </c>
      <c r="I48" s="313">
        <f t="shared" si="37"/>
        <v>7.0445729644444439</v>
      </c>
      <c r="J48" s="313">
        <f t="shared" si="37"/>
        <v>7.0445729644444439</v>
      </c>
      <c r="K48" s="313">
        <f t="shared" si="37"/>
        <v>7.0445729644444439</v>
      </c>
      <c r="L48" s="313">
        <f t="shared" si="37"/>
        <v>7.0445729644444439</v>
      </c>
      <c r="M48" s="313">
        <f t="shared" si="37"/>
        <v>7.0445729644444439</v>
      </c>
      <c r="N48" s="312">
        <f t="shared" si="37"/>
        <v>0.35222864822222222</v>
      </c>
      <c r="O48" s="313">
        <f t="shared" si="37"/>
        <v>0.35222864822222222</v>
      </c>
      <c r="P48" s="313">
        <f t="shared" si="37"/>
        <v>0.35222864822222222</v>
      </c>
      <c r="Q48" s="313">
        <f t="shared" si="37"/>
        <v>0.16910459118965079</v>
      </c>
      <c r="R48" s="313">
        <f t="shared" si="37"/>
        <v>0.16910459118965079</v>
      </c>
      <c r="S48" s="313">
        <f t="shared" si="37"/>
        <v>0.16910459118965079</v>
      </c>
      <c r="T48" s="313">
        <f t="shared" si="37"/>
        <v>0.16910459118965079</v>
      </c>
      <c r="U48" s="317"/>
      <c r="V48" s="318"/>
      <c r="W48" s="318"/>
      <c r="X48" s="318"/>
      <c r="Y48" s="313"/>
      <c r="Z48" s="318"/>
      <c r="AA48" s="313"/>
      <c r="AB48" s="317">
        <f t="shared" si="37"/>
        <v>15</v>
      </c>
      <c r="AC48" s="318">
        <f t="shared" si="37"/>
        <v>15</v>
      </c>
      <c r="AD48" s="318">
        <f t="shared" si="37"/>
        <v>15</v>
      </c>
      <c r="AE48" s="318">
        <f t="shared" si="37"/>
        <v>15</v>
      </c>
      <c r="AF48" s="319">
        <f t="shared" si="37"/>
        <v>15</v>
      </c>
      <c r="AG48" s="319">
        <f t="shared" si="37"/>
        <v>15</v>
      </c>
      <c r="AH48" s="319">
        <f t="shared" si="37"/>
        <v>15</v>
      </c>
      <c r="AI48" s="317">
        <f t="shared" si="37"/>
        <v>37</v>
      </c>
      <c r="AJ48" s="318">
        <f t="shared" si="37"/>
        <v>38.5</v>
      </c>
      <c r="AK48" s="318">
        <f t="shared" si="37"/>
        <v>40</v>
      </c>
      <c r="AL48" s="318">
        <f t="shared" si="37"/>
        <v>43</v>
      </c>
      <c r="AM48" s="740">
        <f t="shared" si="37"/>
        <v>44.5</v>
      </c>
      <c r="AN48" s="319">
        <f t="shared" si="37"/>
        <v>46</v>
      </c>
      <c r="AO48" s="319">
        <f t="shared" si="37"/>
        <v>49</v>
      </c>
      <c r="AP48" s="317"/>
      <c r="AQ48" s="321"/>
      <c r="AR48" s="104"/>
    </row>
    <row r="49" spans="1:49" ht="14.25" customHeight="1" x14ac:dyDescent="0.3">
      <c r="A49" s="936"/>
      <c r="B49" s="322" t="s">
        <v>268</v>
      </c>
      <c r="C49" s="328"/>
      <c r="D49" s="311"/>
      <c r="E49" s="311"/>
      <c r="F49" s="331"/>
      <c r="G49" s="323">
        <f>MEDIAN(G45:G47)</f>
        <v>30.410642315605525</v>
      </c>
      <c r="H49" s="324">
        <f t="shared" ref="H49:AO49" si="38">MEDIAN(H45:H47)</f>
        <v>24.92178912657478</v>
      </c>
      <c r="I49" s="324">
        <f t="shared" si="38"/>
        <v>19.432935937544034</v>
      </c>
      <c r="J49" s="324">
        <f t="shared" si="38"/>
        <v>8.4552295594825395</v>
      </c>
      <c r="K49" s="324">
        <f t="shared" si="38"/>
        <v>8.4552295594825395</v>
      </c>
      <c r="L49" s="324">
        <f t="shared" si="38"/>
        <v>8.4552295594825395</v>
      </c>
      <c r="M49" s="324">
        <f t="shared" si="38"/>
        <v>8.4552295594825395</v>
      </c>
      <c r="N49" s="323">
        <f t="shared" si="38"/>
        <v>0.60821284631211048</v>
      </c>
      <c r="O49" s="324">
        <f t="shared" si="38"/>
        <v>0.49843578253149562</v>
      </c>
      <c r="P49" s="324">
        <f t="shared" si="38"/>
        <v>0.38865871875088071</v>
      </c>
      <c r="Q49" s="324">
        <f t="shared" si="38"/>
        <v>0.25365688678447623</v>
      </c>
      <c r="R49" s="324">
        <f t="shared" si="38"/>
        <v>0.25365688678447623</v>
      </c>
      <c r="S49" s="324">
        <f t="shared" si="38"/>
        <v>0.25365688678447623</v>
      </c>
      <c r="T49" s="324">
        <f t="shared" si="38"/>
        <v>0.25365688678447623</v>
      </c>
      <c r="U49" s="328"/>
      <c r="V49" s="311"/>
      <c r="W49" s="311"/>
      <c r="X49" s="311"/>
      <c r="Y49" s="324"/>
      <c r="Z49" s="311"/>
      <c r="AA49" s="324"/>
      <c r="AB49" s="328">
        <f t="shared" si="38"/>
        <v>15</v>
      </c>
      <c r="AC49" s="311">
        <f t="shared" si="38"/>
        <v>15</v>
      </c>
      <c r="AD49" s="311">
        <f t="shared" si="38"/>
        <v>15</v>
      </c>
      <c r="AE49" s="311">
        <f t="shared" si="38"/>
        <v>15</v>
      </c>
      <c r="AF49" s="329">
        <f t="shared" si="38"/>
        <v>15</v>
      </c>
      <c r="AG49" s="329">
        <f t="shared" si="38"/>
        <v>15</v>
      </c>
      <c r="AH49" s="329">
        <f t="shared" si="38"/>
        <v>15</v>
      </c>
      <c r="AI49" s="328">
        <f t="shared" si="38"/>
        <v>37</v>
      </c>
      <c r="AJ49" s="311">
        <f t="shared" si="38"/>
        <v>38.5</v>
      </c>
      <c r="AK49" s="311">
        <f t="shared" si="38"/>
        <v>40</v>
      </c>
      <c r="AL49" s="311">
        <f t="shared" si="38"/>
        <v>43</v>
      </c>
      <c r="AM49" s="741">
        <f t="shared" si="38"/>
        <v>44.5</v>
      </c>
      <c r="AN49" s="329">
        <f t="shared" si="38"/>
        <v>46</v>
      </c>
      <c r="AO49" s="329">
        <f t="shared" si="38"/>
        <v>49</v>
      </c>
      <c r="AP49" s="328"/>
      <c r="AQ49" s="331"/>
      <c r="AR49" s="104"/>
    </row>
    <row r="50" spans="1:49" ht="14.25" customHeight="1" x14ac:dyDescent="0.3">
      <c r="A50" s="936"/>
      <c r="B50" s="332" t="s">
        <v>269</v>
      </c>
      <c r="C50" s="339"/>
      <c r="D50" s="333"/>
      <c r="E50" s="333"/>
      <c r="F50" s="342"/>
      <c r="G50" s="334">
        <f>MAX(G45:G47)</f>
        <v>45.601871424142502</v>
      </c>
      <c r="H50" s="335">
        <f t="shared" ref="H50:AO50" si="39">MAX(H45:H47)</f>
        <v>37.372114652912828</v>
      </c>
      <c r="I50" s="335">
        <f t="shared" si="39"/>
        <v>29.142357881683154</v>
      </c>
      <c r="J50" s="335">
        <f t="shared" si="39"/>
        <v>12.682844339223811</v>
      </c>
      <c r="K50" s="335">
        <f t="shared" si="39"/>
        <v>12.682844339223811</v>
      </c>
      <c r="L50" s="335">
        <f t="shared" si="39"/>
        <v>12.682844339223811</v>
      </c>
      <c r="M50" s="335">
        <f t="shared" si="39"/>
        <v>12.682844339223811</v>
      </c>
      <c r="N50" s="334">
        <f t="shared" si="39"/>
        <v>0.91203742848285008</v>
      </c>
      <c r="O50" s="335">
        <f t="shared" si="39"/>
        <v>0.7474422930582566</v>
      </c>
      <c r="P50" s="335">
        <f t="shared" si="39"/>
        <v>0.58284715763366313</v>
      </c>
      <c r="Q50" s="335">
        <f t="shared" si="39"/>
        <v>0.35222864822222222</v>
      </c>
      <c r="R50" s="335">
        <f t="shared" si="39"/>
        <v>0.35222864822222222</v>
      </c>
      <c r="S50" s="335">
        <f t="shared" si="39"/>
        <v>0.35222864822222222</v>
      </c>
      <c r="T50" s="335">
        <f t="shared" si="39"/>
        <v>0.35222864822222222</v>
      </c>
      <c r="U50" s="339"/>
      <c r="V50" s="333"/>
      <c r="W50" s="333"/>
      <c r="X50" s="333"/>
      <c r="Y50" s="335"/>
      <c r="Z50" s="333"/>
      <c r="AA50" s="335"/>
      <c r="AB50" s="339">
        <f t="shared" si="39"/>
        <v>15</v>
      </c>
      <c r="AC50" s="333">
        <f t="shared" si="39"/>
        <v>15</v>
      </c>
      <c r="AD50" s="333">
        <f t="shared" si="39"/>
        <v>15</v>
      </c>
      <c r="AE50" s="333">
        <f t="shared" si="39"/>
        <v>15</v>
      </c>
      <c r="AF50" s="340">
        <f t="shared" si="39"/>
        <v>15</v>
      </c>
      <c r="AG50" s="340">
        <f t="shared" si="39"/>
        <v>15</v>
      </c>
      <c r="AH50" s="340">
        <f t="shared" si="39"/>
        <v>15</v>
      </c>
      <c r="AI50" s="339">
        <f t="shared" si="39"/>
        <v>37</v>
      </c>
      <c r="AJ50" s="333">
        <f t="shared" si="39"/>
        <v>38.5</v>
      </c>
      <c r="AK50" s="333">
        <f t="shared" si="39"/>
        <v>40</v>
      </c>
      <c r="AL50" s="333">
        <f t="shared" si="39"/>
        <v>43</v>
      </c>
      <c r="AM50" s="742">
        <f t="shared" si="39"/>
        <v>44.5</v>
      </c>
      <c r="AN50" s="340">
        <f t="shared" si="39"/>
        <v>46</v>
      </c>
      <c r="AO50" s="340">
        <f t="shared" si="39"/>
        <v>49</v>
      </c>
      <c r="AP50" s="339"/>
      <c r="AQ50" s="342"/>
      <c r="AR50" s="104"/>
    </row>
    <row r="51" spans="1:49" ht="14.25" customHeight="1" x14ac:dyDescent="0.3">
      <c r="A51" s="936"/>
      <c r="B51" s="919" t="s">
        <v>438</v>
      </c>
      <c r="C51" s="247">
        <v>4</v>
      </c>
      <c r="D51" s="243" t="s">
        <v>31</v>
      </c>
      <c r="E51" s="243">
        <v>2022</v>
      </c>
      <c r="F51" s="710" t="s">
        <v>19</v>
      </c>
      <c r="G51" s="244">
        <f>74461941.34/53000*(10^-3/(5.2*10^-3))/30</f>
        <v>9.0060403168843717</v>
      </c>
      <c r="H51" s="245">
        <f t="shared" ref="H51:L51" si="40">74461941.34/53000*(10^-3/(5.2*10^-3))/30</f>
        <v>9.0060403168843717</v>
      </c>
      <c r="I51" s="245">
        <f t="shared" si="40"/>
        <v>9.0060403168843717</v>
      </c>
      <c r="J51" s="245">
        <f t="shared" si="40"/>
        <v>9.0060403168843717</v>
      </c>
      <c r="K51" s="245">
        <v>9.01</v>
      </c>
      <c r="L51" s="245">
        <f t="shared" si="40"/>
        <v>9.0060403168843717</v>
      </c>
      <c r="M51" s="93">
        <f t="shared" ref="M51:M53" si="41">K51+((L51-K51)/(2050-2045))*(2060-2045)</f>
        <v>8.9981209506531155</v>
      </c>
      <c r="N51" s="244">
        <f>G51*0.04</f>
        <v>0.36024161267537486</v>
      </c>
      <c r="O51" s="245">
        <f>H51*0.04</f>
        <v>0.36024161267537486</v>
      </c>
      <c r="P51" s="245">
        <f>I51*0.04</f>
        <v>0.36024161267537486</v>
      </c>
      <c r="Q51" s="245">
        <f>J51*0.04</f>
        <v>0.36024161267537486</v>
      </c>
      <c r="R51" s="93">
        <f>Q51+((S51-Q51)/(2050-2040))*(2045-2040)</f>
        <v>0.36024161267537486</v>
      </c>
      <c r="S51" s="245">
        <f>L51*0.04</f>
        <v>0.36024161267537486</v>
      </c>
      <c r="T51" s="93">
        <f>R51+((S51-R51)/(2050-2045))*(2060-2045)</f>
        <v>0.36024161267537486</v>
      </c>
      <c r="U51" s="247"/>
      <c r="V51" s="243"/>
      <c r="W51" s="243"/>
      <c r="X51" s="243"/>
      <c r="Y51" s="245"/>
      <c r="Z51" s="243"/>
      <c r="AA51" s="245"/>
      <c r="AB51" s="247">
        <v>20</v>
      </c>
      <c r="AC51" s="243">
        <v>20</v>
      </c>
      <c r="AD51" s="243">
        <v>20</v>
      </c>
      <c r="AE51" s="243">
        <v>20</v>
      </c>
      <c r="AF51" s="101">
        <f>AE51+((AG51-AE51)/(2050-2040))*(2045-2040)</f>
        <v>20</v>
      </c>
      <c r="AG51" s="669">
        <v>20</v>
      </c>
      <c r="AH51" s="101">
        <f>AF51+((AG51-AF51)/(2050-2045))*(2060-2045)</f>
        <v>20</v>
      </c>
      <c r="AI51" s="247"/>
      <c r="AJ51" s="243"/>
      <c r="AK51" s="243"/>
      <c r="AL51" s="243"/>
      <c r="AM51" s="669"/>
      <c r="AN51" s="669"/>
      <c r="AO51" s="669"/>
      <c r="AP51" s="247"/>
      <c r="AQ51" s="33"/>
      <c r="AR51" s="104"/>
    </row>
    <row r="52" spans="1:49" ht="14.25" customHeight="1" x14ac:dyDescent="0.3">
      <c r="A52" s="936"/>
      <c r="B52" s="970"/>
      <c r="C52" s="743">
        <v>11</v>
      </c>
      <c r="D52" s="744" t="s">
        <v>57</v>
      </c>
      <c r="E52" s="744">
        <v>2022</v>
      </c>
      <c r="F52" s="710" t="s">
        <v>19</v>
      </c>
      <c r="G52" s="106">
        <f t="shared" ref="G52:G53" si="42">H52+((I52-H52)/(2030-2025))*(2020-2025)</f>
        <v>24.639406139363853</v>
      </c>
      <c r="H52" s="107">
        <f t="shared" ref="H52:H53" si="43">I52+((J52-I52)/(2040-2030))*(2025-2030)</f>
        <v>19.699058867909795</v>
      </c>
      <c r="I52" s="245">
        <f>2723/1.1827*(10^-3/(5.2*10^-3))/30</f>
        <v>14.758711596455736</v>
      </c>
      <c r="J52" s="245">
        <f>(900)/1.1827*(10^-3/(5.2*10^-3))/30</f>
        <v>4.8780170535476186</v>
      </c>
      <c r="K52" s="107">
        <f t="shared" ref="K52:K53" si="44">J52+((L52-J52)/(2050-2040))*(2045-2040)</f>
        <v>4.8780170535476186</v>
      </c>
      <c r="L52" s="245">
        <f>(900)/1.1827*(10^-3/(5.2*10^-3))/30</f>
        <v>4.8780170535476186</v>
      </c>
      <c r="M52" s="107">
        <f t="shared" si="41"/>
        <v>4.8780170535476186</v>
      </c>
      <c r="N52" s="106">
        <f t="shared" ref="N52:N53" si="45">G52*0.02</f>
        <v>0.49278812278727707</v>
      </c>
      <c r="O52" s="107">
        <f t="shared" ref="O52:O53" si="46">H52*0.02</f>
        <v>0.39398117735819588</v>
      </c>
      <c r="P52" s="107">
        <f t="shared" ref="P52:P53" si="47">I52*0.02</f>
        <v>0.29517423192911474</v>
      </c>
      <c r="Q52" s="107">
        <f t="shared" ref="Q52:Q53" si="48">J52*0.02</f>
        <v>9.7560341070952378E-2</v>
      </c>
      <c r="R52" s="107">
        <f t="shared" ref="R52:R53" si="49">K52*0.02</f>
        <v>9.7560341070952378E-2</v>
      </c>
      <c r="S52" s="107">
        <f t="shared" ref="S52:S53" si="50">L52*0.02</f>
        <v>9.7560341070952378E-2</v>
      </c>
      <c r="T52" s="107">
        <f t="shared" ref="T52:T53" si="51">M52*0.02</f>
        <v>9.7560341070952378E-2</v>
      </c>
      <c r="U52" s="247"/>
      <c r="V52" s="243"/>
      <c r="W52" s="243"/>
      <c r="X52" s="243"/>
      <c r="Y52" s="245"/>
      <c r="Z52" s="243"/>
      <c r="AA52" s="245"/>
      <c r="AB52" s="247"/>
      <c r="AC52" s="243"/>
      <c r="AD52" s="243"/>
      <c r="AE52" s="243"/>
      <c r="AF52" s="669"/>
      <c r="AG52" s="669"/>
      <c r="AH52" s="669"/>
      <c r="AI52" s="733">
        <f t="shared" ref="AI52:AI53" si="52">AJ52+((AK52-AJ52)/(2030-2025))*(2020-2025)</f>
        <v>44</v>
      </c>
      <c r="AJ52" s="297">
        <f t="shared" ref="AJ52:AJ53" si="53">AK52+((AL52-AK52)/(2040-2030))*(2025-2030)</f>
        <v>45.5</v>
      </c>
      <c r="AK52" s="243">
        <v>47</v>
      </c>
      <c r="AL52" s="243">
        <v>50</v>
      </c>
      <c r="AM52" s="378">
        <f t="shared" ref="AM52:AM53" si="54">AL52+((AN52-AL52)/(2050-2040))*(2045-2040)</f>
        <v>51</v>
      </c>
      <c r="AN52" s="669">
        <v>52</v>
      </c>
      <c r="AO52" s="378">
        <f t="shared" ref="AO52:AO53" si="55">AM52+((AN52-AM52)/(2050-2045))*(2060-2045)</f>
        <v>54</v>
      </c>
      <c r="AP52" s="247"/>
      <c r="AQ52" s="33"/>
      <c r="AR52" s="116" t="s">
        <v>436</v>
      </c>
    </row>
    <row r="53" spans="1:49" ht="14.25" customHeight="1" x14ac:dyDescent="0.3">
      <c r="A53" s="936"/>
      <c r="B53" s="971"/>
      <c r="C53" s="743">
        <v>11</v>
      </c>
      <c r="D53" s="744" t="s">
        <v>57</v>
      </c>
      <c r="E53" s="744">
        <v>2022</v>
      </c>
      <c r="F53" s="710" t="s">
        <v>19</v>
      </c>
      <c r="G53" s="106">
        <f t="shared" si="42"/>
        <v>47.902127465837609</v>
      </c>
      <c r="H53" s="107">
        <f t="shared" si="43"/>
        <v>38.297853889297187</v>
      </c>
      <c r="I53" s="245">
        <f>5294/1.1827*(10^-3/(5.2*10^-3))/30</f>
        <v>28.693580312756765</v>
      </c>
      <c r="J53" s="245">
        <f>(1750)/1.1827*(10^-3/(5.2*10^-3))/30</f>
        <v>9.4850331596759254</v>
      </c>
      <c r="K53" s="122">
        <f t="shared" si="44"/>
        <v>9.4850331596759254</v>
      </c>
      <c r="L53" s="245">
        <f>(1750)/1.1827*(10^-3/(5.2*10^-3))/30</f>
        <v>9.4850331596759254</v>
      </c>
      <c r="M53" s="122">
        <f t="shared" si="41"/>
        <v>9.4850331596759254</v>
      </c>
      <c r="N53" s="106">
        <f t="shared" si="45"/>
        <v>0.95804254931675215</v>
      </c>
      <c r="O53" s="107">
        <f t="shared" si="46"/>
        <v>0.7659570777859438</v>
      </c>
      <c r="P53" s="107">
        <f t="shared" si="47"/>
        <v>0.57387160625513534</v>
      </c>
      <c r="Q53" s="107">
        <f t="shared" si="48"/>
        <v>0.18970066319351853</v>
      </c>
      <c r="R53" s="107">
        <f t="shared" si="49"/>
        <v>0.18970066319351853</v>
      </c>
      <c r="S53" s="107">
        <f t="shared" si="50"/>
        <v>0.18970066319351853</v>
      </c>
      <c r="T53" s="107">
        <f t="shared" si="51"/>
        <v>0.18970066319351853</v>
      </c>
      <c r="U53" s="247"/>
      <c r="V53" s="243"/>
      <c r="W53" s="243"/>
      <c r="X53" s="243"/>
      <c r="Y53" s="245"/>
      <c r="Z53" s="243"/>
      <c r="AA53" s="245"/>
      <c r="AB53" s="247"/>
      <c r="AC53" s="243"/>
      <c r="AD53" s="243"/>
      <c r="AE53" s="243"/>
      <c r="AF53" s="669"/>
      <c r="AG53" s="669"/>
      <c r="AH53" s="669"/>
      <c r="AI53" s="733">
        <f t="shared" si="52"/>
        <v>44</v>
      </c>
      <c r="AJ53" s="297">
        <f t="shared" si="53"/>
        <v>45.5</v>
      </c>
      <c r="AK53" s="243">
        <v>47</v>
      </c>
      <c r="AL53" s="243">
        <v>50</v>
      </c>
      <c r="AM53" s="386">
        <f t="shared" si="54"/>
        <v>51</v>
      </c>
      <c r="AN53" s="669">
        <v>52</v>
      </c>
      <c r="AO53" s="386">
        <f t="shared" si="55"/>
        <v>54</v>
      </c>
      <c r="AP53" s="247"/>
      <c r="AQ53" s="33"/>
      <c r="AR53" s="116" t="s">
        <v>437</v>
      </c>
    </row>
    <row r="54" spans="1:49" ht="14.25" customHeight="1" x14ac:dyDescent="0.3">
      <c r="A54" s="936"/>
      <c r="B54" s="251" t="s">
        <v>267</v>
      </c>
      <c r="C54" s="256"/>
      <c r="D54" s="252"/>
      <c r="E54" s="252"/>
      <c r="F54" s="259"/>
      <c r="G54" s="253">
        <f>MIN(G51:G53)</f>
        <v>9.0060403168843717</v>
      </c>
      <c r="H54" s="254">
        <f t="shared" ref="H54:AO54" si="56">MIN(H51:H53)</f>
        <v>9.0060403168843717</v>
      </c>
      <c r="I54" s="254">
        <f t="shared" si="56"/>
        <v>9.0060403168843717</v>
      </c>
      <c r="J54" s="254">
        <f t="shared" si="56"/>
        <v>4.8780170535476186</v>
      </c>
      <c r="K54" s="254">
        <f t="shared" si="56"/>
        <v>4.8780170535476186</v>
      </c>
      <c r="L54" s="254">
        <f t="shared" si="56"/>
        <v>4.8780170535476186</v>
      </c>
      <c r="M54" s="254">
        <f t="shared" si="56"/>
        <v>4.8780170535476186</v>
      </c>
      <c r="N54" s="253">
        <f t="shared" si="56"/>
        <v>0.36024161267537486</v>
      </c>
      <c r="O54" s="254">
        <f t="shared" si="56"/>
        <v>0.36024161267537486</v>
      </c>
      <c r="P54" s="254">
        <f t="shared" si="56"/>
        <v>0.29517423192911474</v>
      </c>
      <c r="Q54" s="254">
        <f t="shared" si="56"/>
        <v>9.7560341070952378E-2</v>
      </c>
      <c r="R54" s="254">
        <f t="shared" si="56"/>
        <v>9.7560341070952378E-2</v>
      </c>
      <c r="S54" s="254">
        <f t="shared" si="56"/>
        <v>9.7560341070952378E-2</v>
      </c>
      <c r="T54" s="254">
        <f t="shared" si="56"/>
        <v>9.7560341070952378E-2</v>
      </c>
      <c r="U54" s="256"/>
      <c r="V54" s="252"/>
      <c r="W54" s="252"/>
      <c r="X54" s="252"/>
      <c r="Y54" s="254"/>
      <c r="Z54" s="252"/>
      <c r="AA54" s="254"/>
      <c r="AB54" s="256">
        <f t="shared" si="56"/>
        <v>20</v>
      </c>
      <c r="AC54" s="252">
        <f t="shared" si="56"/>
        <v>20</v>
      </c>
      <c r="AD54" s="252">
        <f t="shared" si="56"/>
        <v>20</v>
      </c>
      <c r="AE54" s="252">
        <f t="shared" si="56"/>
        <v>20</v>
      </c>
      <c r="AF54" s="257">
        <f t="shared" si="56"/>
        <v>20</v>
      </c>
      <c r="AG54" s="257">
        <f t="shared" si="56"/>
        <v>20</v>
      </c>
      <c r="AH54" s="257">
        <f t="shared" si="56"/>
        <v>20</v>
      </c>
      <c r="AI54" s="256">
        <f t="shared" si="56"/>
        <v>44</v>
      </c>
      <c r="AJ54" s="252">
        <f t="shared" si="56"/>
        <v>45.5</v>
      </c>
      <c r="AK54" s="252">
        <f t="shared" si="56"/>
        <v>47</v>
      </c>
      <c r="AL54" s="252">
        <f t="shared" si="56"/>
        <v>50</v>
      </c>
      <c r="AM54" s="257">
        <f t="shared" si="56"/>
        <v>51</v>
      </c>
      <c r="AN54" s="257">
        <f t="shared" si="56"/>
        <v>52</v>
      </c>
      <c r="AO54" s="257">
        <f t="shared" si="56"/>
        <v>54</v>
      </c>
      <c r="AP54" s="256"/>
      <c r="AQ54" s="259"/>
      <c r="AR54" s="104"/>
    </row>
    <row r="55" spans="1:49" ht="14.25" customHeight="1" x14ac:dyDescent="0.3">
      <c r="A55" s="936"/>
      <c r="B55" s="260" t="s">
        <v>268</v>
      </c>
      <c r="C55" s="265"/>
      <c r="D55" s="261"/>
      <c r="E55" s="261"/>
      <c r="F55" s="268"/>
      <c r="G55" s="262">
        <f>MEDIAN(G51:G53)</f>
        <v>24.639406139363853</v>
      </c>
      <c r="H55" s="263">
        <f t="shared" ref="H55:AO55" si="57">MEDIAN(H51:H53)</f>
        <v>19.699058867909795</v>
      </c>
      <c r="I55" s="263">
        <f t="shared" si="57"/>
        <v>14.758711596455736</v>
      </c>
      <c r="J55" s="263">
        <f t="shared" si="57"/>
        <v>9.0060403168843717</v>
      </c>
      <c r="K55" s="263">
        <f t="shared" si="57"/>
        <v>9.01</v>
      </c>
      <c r="L55" s="263">
        <f t="shared" si="57"/>
        <v>9.0060403168843717</v>
      </c>
      <c r="M55" s="263">
        <f t="shared" si="57"/>
        <v>8.9981209506531155</v>
      </c>
      <c r="N55" s="262">
        <f t="shared" si="57"/>
        <v>0.49278812278727707</v>
      </c>
      <c r="O55" s="263">
        <f t="shared" si="57"/>
        <v>0.39398117735819588</v>
      </c>
      <c r="P55" s="263">
        <f t="shared" si="57"/>
        <v>0.36024161267537486</v>
      </c>
      <c r="Q55" s="263">
        <f t="shared" si="57"/>
        <v>0.18970066319351853</v>
      </c>
      <c r="R55" s="263">
        <f t="shared" si="57"/>
        <v>0.18970066319351853</v>
      </c>
      <c r="S55" s="263">
        <f t="shared" si="57"/>
        <v>0.18970066319351853</v>
      </c>
      <c r="T55" s="263">
        <f t="shared" si="57"/>
        <v>0.18970066319351853</v>
      </c>
      <c r="U55" s="265"/>
      <c r="V55" s="261"/>
      <c r="W55" s="261"/>
      <c r="X55" s="261"/>
      <c r="Y55" s="263"/>
      <c r="Z55" s="261"/>
      <c r="AA55" s="263"/>
      <c r="AB55" s="265">
        <f t="shared" si="57"/>
        <v>20</v>
      </c>
      <c r="AC55" s="261">
        <f t="shared" si="57"/>
        <v>20</v>
      </c>
      <c r="AD55" s="261">
        <f t="shared" si="57"/>
        <v>20</v>
      </c>
      <c r="AE55" s="261">
        <f t="shared" si="57"/>
        <v>20</v>
      </c>
      <c r="AF55" s="266">
        <f t="shared" si="57"/>
        <v>20</v>
      </c>
      <c r="AG55" s="266">
        <f t="shared" si="57"/>
        <v>20</v>
      </c>
      <c r="AH55" s="266">
        <f t="shared" si="57"/>
        <v>20</v>
      </c>
      <c r="AI55" s="265">
        <f t="shared" si="57"/>
        <v>44</v>
      </c>
      <c r="AJ55" s="261">
        <f t="shared" si="57"/>
        <v>45.5</v>
      </c>
      <c r="AK55" s="261">
        <f t="shared" si="57"/>
        <v>47</v>
      </c>
      <c r="AL55" s="261">
        <f t="shared" si="57"/>
        <v>50</v>
      </c>
      <c r="AM55" s="261">
        <f t="shared" si="57"/>
        <v>51</v>
      </c>
      <c r="AN55" s="261">
        <f t="shared" si="57"/>
        <v>52</v>
      </c>
      <c r="AO55" s="261">
        <f t="shared" si="57"/>
        <v>54</v>
      </c>
      <c r="AP55" s="265"/>
      <c r="AQ55" s="268"/>
      <c r="AR55" s="104"/>
    </row>
    <row r="56" spans="1:49" ht="14.25" customHeight="1" x14ac:dyDescent="0.3">
      <c r="A56" s="956"/>
      <c r="B56" s="269" t="s">
        <v>269</v>
      </c>
      <c r="C56" s="273"/>
      <c r="D56" s="274"/>
      <c r="E56" s="274"/>
      <c r="F56" s="277"/>
      <c r="G56" s="270">
        <f>MAX(G51:G53)</f>
        <v>47.902127465837609</v>
      </c>
      <c r="H56" s="271">
        <f t="shared" ref="H56:AO56" si="58">MAX(H51:H53)</f>
        <v>38.297853889297187</v>
      </c>
      <c r="I56" s="271">
        <f t="shared" si="58"/>
        <v>28.693580312756765</v>
      </c>
      <c r="J56" s="271">
        <f t="shared" si="58"/>
        <v>9.4850331596759254</v>
      </c>
      <c r="K56" s="271">
        <f t="shared" si="58"/>
        <v>9.4850331596759254</v>
      </c>
      <c r="L56" s="271">
        <f t="shared" si="58"/>
        <v>9.4850331596759254</v>
      </c>
      <c r="M56" s="271">
        <f t="shared" si="58"/>
        <v>9.4850331596759254</v>
      </c>
      <c r="N56" s="270">
        <f t="shared" si="58"/>
        <v>0.95804254931675215</v>
      </c>
      <c r="O56" s="271">
        <f t="shared" si="58"/>
        <v>0.7659570777859438</v>
      </c>
      <c r="P56" s="271">
        <f t="shared" si="58"/>
        <v>0.57387160625513534</v>
      </c>
      <c r="Q56" s="271">
        <f t="shared" si="58"/>
        <v>0.36024161267537486</v>
      </c>
      <c r="R56" s="271">
        <f t="shared" si="58"/>
        <v>0.36024161267537486</v>
      </c>
      <c r="S56" s="271">
        <f t="shared" si="58"/>
        <v>0.36024161267537486</v>
      </c>
      <c r="T56" s="271">
        <f t="shared" si="58"/>
        <v>0.36024161267537486</v>
      </c>
      <c r="U56" s="273"/>
      <c r="V56" s="274"/>
      <c r="W56" s="274"/>
      <c r="X56" s="274"/>
      <c r="Y56" s="271"/>
      <c r="Z56" s="274"/>
      <c r="AA56" s="271"/>
      <c r="AB56" s="273">
        <f t="shared" si="58"/>
        <v>20</v>
      </c>
      <c r="AC56" s="274">
        <f t="shared" si="58"/>
        <v>20</v>
      </c>
      <c r="AD56" s="274">
        <f t="shared" si="58"/>
        <v>20</v>
      </c>
      <c r="AE56" s="274">
        <f t="shared" si="58"/>
        <v>20</v>
      </c>
      <c r="AF56" s="275">
        <f t="shared" si="58"/>
        <v>20</v>
      </c>
      <c r="AG56" s="275">
        <f t="shared" si="58"/>
        <v>20</v>
      </c>
      <c r="AH56" s="275">
        <f t="shared" si="58"/>
        <v>20</v>
      </c>
      <c r="AI56" s="273">
        <f t="shared" si="58"/>
        <v>44</v>
      </c>
      <c r="AJ56" s="274">
        <f t="shared" si="58"/>
        <v>45.5</v>
      </c>
      <c r="AK56" s="274">
        <f t="shared" si="58"/>
        <v>47</v>
      </c>
      <c r="AL56" s="274">
        <f t="shared" si="58"/>
        <v>50</v>
      </c>
      <c r="AM56" s="274">
        <f t="shared" si="58"/>
        <v>51</v>
      </c>
      <c r="AN56" s="274">
        <f t="shared" si="58"/>
        <v>52</v>
      </c>
      <c r="AO56" s="274">
        <f t="shared" si="58"/>
        <v>54</v>
      </c>
      <c r="AP56" s="273"/>
      <c r="AQ56" s="277"/>
      <c r="AR56" s="104"/>
    </row>
    <row r="57" spans="1:49" ht="14.25" customHeight="1" x14ac:dyDescent="0.3">
      <c r="A57" s="632"/>
      <c r="B57" s="632"/>
      <c r="C57" s="445"/>
      <c r="D57" s="439"/>
      <c r="E57" s="439"/>
      <c r="F57" s="446"/>
      <c r="G57" s="440"/>
      <c r="H57" s="441"/>
      <c r="I57" s="441"/>
      <c r="J57" s="441"/>
      <c r="K57" s="441"/>
      <c r="L57" s="441"/>
      <c r="M57" s="441"/>
      <c r="N57" s="440"/>
      <c r="O57" s="441"/>
      <c r="P57" s="441"/>
      <c r="Q57" s="441"/>
      <c r="R57" s="441"/>
      <c r="S57" s="441"/>
      <c r="T57" s="441"/>
      <c r="U57" s="445"/>
      <c r="V57" s="439"/>
      <c r="W57" s="439"/>
      <c r="X57" s="439"/>
      <c r="Y57" s="441"/>
      <c r="Z57" s="439"/>
      <c r="AA57" s="441"/>
      <c r="AB57" s="445"/>
      <c r="AC57" s="439"/>
      <c r="AD57" s="439"/>
      <c r="AE57" s="439"/>
      <c r="AF57" s="680"/>
      <c r="AG57" s="680"/>
      <c r="AH57" s="680"/>
      <c r="AI57" s="445"/>
      <c r="AJ57" s="439"/>
      <c r="AK57" s="439"/>
      <c r="AL57" s="439"/>
      <c r="AM57" s="439"/>
      <c r="AN57" s="439"/>
      <c r="AO57" s="439"/>
      <c r="AP57" s="445"/>
      <c r="AQ57" s="446"/>
      <c r="AR57" s="635"/>
      <c r="AS57" s="635"/>
      <c r="AT57" s="635"/>
      <c r="AU57" s="635"/>
    </row>
    <row r="58" spans="1:49" ht="14.25" customHeight="1" x14ac:dyDescent="0.3">
      <c r="A58" s="957" t="s">
        <v>128</v>
      </c>
      <c r="B58" s="947" t="s">
        <v>1</v>
      </c>
      <c r="C58" s="949" t="s">
        <v>246</v>
      </c>
      <c r="D58" s="950"/>
      <c r="E58" s="950"/>
      <c r="F58" s="951"/>
      <c r="G58" s="949" t="s">
        <v>418</v>
      </c>
      <c r="H58" s="950"/>
      <c r="I58" s="950"/>
      <c r="J58" s="950"/>
      <c r="K58" s="950"/>
      <c r="L58" s="950"/>
      <c r="M58" s="951"/>
      <c r="N58" s="914" t="s">
        <v>419</v>
      </c>
      <c r="O58" s="915"/>
      <c r="P58" s="915"/>
      <c r="Q58" s="915"/>
      <c r="R58" s="915"/>
      <c r="S58" s="915"/>
      <c r="T58" s="916"/>
      <c r="U58" s="914" t="s">
        <v>249</v>
      </c>
      <c r="V58" s="915"/>
      <c r="W58" s="915"/>
      <c r="X58" s="915"/>
      <c r="Y58" s="915"/>
      <c r="Z58" s="915"/>
      <c r="AA58" s="916"/>
      <c r="AB58" s="914" t="s">
        <v>250</v>
      </c>
      <c r="AC58" s="915"/>
      <c r="AD58" s="915"/>
      <c r="AE58" s="915"/>
      <c r="AF58" s="915"/>
      <c r="AG58" s="915"/>
      <c r="AH58" s="916"/>
      <c r="AI58" s="914" t="s">
        <v>251</v>
      </c>
      <c r="AJ58" s="915"/>
      <c r="AK58" s="915"/>
      <c r="AL58" s="915"/>
      <c r="AM58" s="915"/>
      <c r="AN58" s="915"/>
      <c r="AO58" s="916"/>
      <c r="AP58" s="914" t="s">
        <v>252</v>
      </c>
      <c r="AQ58" s="916"/>
      <c r="AR58" s="962" t="s">
        <v>253</v>
      </c>
    </row>
    <row r="59" spans="1:49" ht="14.25" customHeight="1" x14ac:dyDescent="0.3">
      <c r="A59" s="917"/>
      <c r="B59" s="963"/>
      <c r="C59" s="86" t="s">
        <v>254</v>
      </c>
      <c r="D59" s="87" t="s">
        <v>255</v>
      </c>
      <c r="E59" s="85" t="s">
        <v>256</v>
      </c>
      <c r="F59" s="622" t="s">
        <v>19</v>
      </c>
      <c r="G59" s="86">
        <v>2020</v>
      </c>
      <c r="H59" s="87">
        <v>2025</v>
      </c>
      <c r="I59" s="87">
        <v>2030</v>
      </c>
      <c r="J59" s="87">
        <v>2040</v>
      </c>
      <c r="K59" s="87">
        <v>2045</v>
      </c>
      <c r="L59" s="87">
        <v>2050</v>
      </c>
      <c r="M59" s="87">
        <v>2060</v>
      </c>
      <c r="N59" s="86">
        <v>2020</v>
      </c>
      <c r="O59" s="87">
        <v>2025</v>
      </c>
      <c r="P59" s="87">
        <v>2030</v>
      </c>
      <c r="Q59" s="87">
        <v>2040</v>
      </c>
      <c r="R59" s="87">
        <v>2045</v>
      </c>
      <c r="S59" s="87">
        <v>2050</v>
      </c>
      <c r="T59" s="87">
        <v>2060</v>
      </c>
      <c r="U59" s="86">
        <v>2020</v>
      </c>
      <c r="V59" s="87">
        <v>2025</v>
      </c>
      <c r="W59" s="87">
        <v>2030</v>
      </c>
      <c r="X59" s="87">
        <v>2040</v>
      </c>
      <c r="Y59" s="87">
        <v>2045</v>
      </c>
      <c r="Z59" s="87">
        <v>2050</v>
      </c>
      <c r="AA59" s="87">
        <v>2060</v>
      </c>
      <c r="AB59" s="86">
        <v>2020</v>
      </c>
      <c r="AC59" s="87">
        <v>2025</v>
      </c>
      <c r="AD59" s="87">
        <v>2030</v>
      </c>
      <c r="AE59" s="87">
        <v>2040</v>
      </c>
      <c r="AF59" s="87">
        <v>2045</v>
      </c>
      <c r="AG59" s="87">
        <v>2050</v>
      </c>
      <c r="AH59" s="87">
        <v>2060</v>
      </c>
      <c r="AI59" s="86">
        <v>2020</v>
      </c>
      <c r="AJ59" s="87">
        <v>2025</v>
      </c>
      <c r="AK59" s="87">
        <v>2030</v>
      </c>
      <c r="AL59" s="87">
        <v>2040</v>
      </c>
      <c r="AM59" s="87">
        <v>2045</v>
      </c>
      <c r="AN59" s="87">
        <v>2050</v>
      </c>
      <c r="AO59" s="87">
        <v>2060</v>
      </c>
      <c r="AP59" s="86" t="s">
        <v>257</v>
      </c>
      <c r="AQ59" s="622" t="s">
        <v>258</v>
      </c>
      <c r="AR59" s="962"/>
    </row>
    <row r="60" spans="1:49" ht="14.25" customHeight="1" x14ac:dyDescent="0.3">
      <c r="A60" s="917"/>
      <c r="B60" s="1010" t="s">
        <v>420</v>
      </c>
      <c r="C60" s="687">
        <v>2</v>
      </c>
      <c r="D60" s="90" t="s">
        <v>23</v>
      </c>
      <c r="E60" s="90">
        <v>2019</v>
      </c>
      <c r="F60" s="688" t="s">
        <v>19</v>
      </c>
      <c r="G60" s="447">
        <f>1.21*10^6*(1/1.1297)*(1/(340*10^6))*(1/(1/8760))*(1/33.33)*10^3</f>
        <v>827.96526402167694</v>
      </c>
      <c r="H60" s="97"/>
      <c r="I60" s="94"/>
      <c r="J60" s="94"/>
      <c r="K60" s="94"/>
      <c r="L60" s="94"/>
      <c r="M60" s="94"/>
      <c r="N60" s="447"/>
      <c r="O60" s="94"/>
      <c r="P60" s="94"/>
      <c r="Q60" s="94"/>
      <c r="R60" s="94"/>
      <c r="S60" s="94"/>
      <c r="T60" s="94"/>
      <c r="U60" s="96"/>
      <c r="V60" s="97"/>
      <c r="W60" s="97"/>
      <c r="X60" s="97"/>
      <c r="Y60" s="94"/>
      <c r="Z60" s="97"/>
      <c r="AA60" s="94"/>
      <c r="AB60" s="96">
        <v>40</v>
      </c>
      <c r="AC60" s="97"/>
      <c r="AD60" s="97"/>
      <c r="AE60" s="97"/>
      <c r="AF60" s="94"/>
      <c r="AG60" s="97"/>
      <c r="AH60" s="94"/>
      <c r="AI60" s="96"/>
      <c r="AJ60" s="97"/>
      <c r="AK60" s="97"/>
      <c r="AL60" s="97"/>
      <c r="AM60" s="94"/>
      <c r="AN60" s="97"/>
      <c r="AO60" s="94"/>
      <c r="AP60" s="826"/>
      <c r="AQ60" s="827"/>
      <c r="AR60" s="104" t="s">
        <v>421</v>
      </c>
    </row>
    <row r="61" spans="1:49" ht="14.25" customHeight="1" x14ac:dyDescent="0.3">
      <c r="A61" s="917"/>
      <c r="B61" s="1012"/>
      <c r="C61" s="691">
        <v>1</v>
      </c>
      <c r="D61" s="120" t="s">
        <v>18</v>
      </c>
      <c r="E61" s="120">
        <v>2020</v>
      </c>
      <c r="F61" s="692" t="s">
        <v>19</v>
      </c>
      <c r="G61" s="587"/>
      <c r="H61" s="124"/>
      <c r="I61" s="121"/>
      <c r="J61" s="121"/>
      <c r="K61" s="121"/>
      <c r="L61" s="121"/>
      <c r="M61" s="121"/>
      <c r="N61" s="587"/>
      <c r="O61" s="121"/>
      <c r="P61" s="121"/>
      <c r="Q61" s="121"/>
      <c r="R61" s="121"/>
      <c r="S61" s="121"/>
      <c r="T61" s="121"/>
      <c r="U61" s="123"/>
      <c r="V61" s="124"/>
      <c r="W61" s="124"/>
      <c r="X61" s="124"/>
      <c r="Y61" s="121"/>
      <c r="Z61" s="124"/>
      <c r="AA61" s="121"/>
      <c r="AB61" s="123">
        <v>40</v>
      </c>
      <c r="AC61" s="124"/>
      <c r="AD61" s="124"/>
      <c r="AE61" s="124"/>
      <c r="AF61" s="121"/>
      <c r="AG61" s="124"/>
      <c r="AH61" s="121"/>
      <c r="AI61" s="123"/>
      <c r="AJ61" s="124"/>
      <c r="AK61" s="124"/>
      <c r="AL61" s="124"/>
      <c r="AM61" s="121"/>
      <c r="AN61" s="124"/>
      <c r="AO61" s="121"/>
      <c r="AP61" s="1017"/>
      <c r="AQ61" s="1016"/>
      <c r="AR61" s="104"/>
      <c r="AV61" s="76"/>
    </row>
    <row r="62" spans="1:49" ht="14.25" customHeight="1" x14ac:dyDescent="0.3">
      <c r="A62" s="917"/>
      <c r="B62" s="1010" t="s">
        <v>422</v>
      </c>
      <c r="C62" s="687">
        <v>12</v>
      </c>
      <c r="D62" s="90" t="s">
        <v>60</v>
      </c>
      <c r="E62" s="90">
        <v>2022</v>
      </c>
      <c r="F62" s="688" t="s">
        <v>19</v>
      </c>
      <c r="G62" s="447">
        <f t="shared" ref="G62:G91" si="59">G5</f>
        <v>1084.4865132158436</v>
      </c>
      <c r="H62" s="94"/>
      <c r="I62" s="94"/>
      <c r="J62" s="94"/>
      <c r="K62" s="94"/>
      <c r="L62" s="94"/>
      <c r="M62" s="94"/>
      <c r="N62" s="447">
        <f>1.4*10^6*0.008*$AW$3</f>
        <v>15105.126173877274</v>
      </c>
      <c r="O62" s="94"/>
      <c r="P62" s="94"/>
      <c r="Q62" s="94"/>
      <c r="R62" s="94"/>
      <c r="S62" s="94"/>
      <c r="T62" s="94"/>
      <c r="U62" s="96"/>
      <c r="V62" s="97"/>
      <c r="W62" s="97"/>
      <c r="X62" s="97"/>
      <c r="Y62" s="94"/>
      <c r="Z62" s="97"/>
      <c r="AA62" s="94"/>
      <c r="AB62" s="96"/>
      <c r="AC62" s="97"/>
      <c r="AD62" s="97"/>
      <c r="AE62" s="97"/>
      <c r="AF62" s="94"/>
      <c r="AG62" s="97"/>
      <c r="AH62" s="94"/>
      <c r="AI62" s="96"/>
      <c r="AJ62" s="97"/>
      <c r="AK62" s="97"/>
      <c r="AL62" s="97"/>
      <c r="AM62" s="94"/>
      <c r="AN62" s="97"/>
      <c r="AO62" s="94"/>
      <c r="AP62" s="1013">
        <v>0.05</v>
      </c>
      <c r="AQ62" s="827"/>
      <c r="AR62" s="104" t="s">
        <v>423</v>
      </c>
      <c r="AV62" t="s">
        <v>130</v>
      </c>
      <c r="AW62" s="76">
        <v>0.58296565349252727</v>
      </c>
    </row>
    <row r="63" spans="1:49" ht="14.25" customHeight="1" x14ac:dyDescent="0.3">
      <c r="A63" s="917"/>
      <c r="B63" s="1011"/>
      <c r="C63" s="689">
        <v>12</v>
      </c>
      <c r="D63" s="105" t="s">
        <v>60</v>
      </c>
      <c r="E63" s="105">
        <v>2022</v>
      </c>
      <c r="F63" s="690" t="s">
        <v>19</v>
      </c>
      <c r="G63" s="113">
        <f t="shared" si="59"/>
        <v>1161.9498355884039</v>
      </c>
      <c r="H63" s="111"/>
      <c r="I63" s="108"/>
      <c r="J63" s="108"/>
      <c r="K63" s="108"/>
      <c r="L63" s="108"/>
      <c r="M63" s="108"/>
      <c r="N63" s="113">
        <f>1.5*10^6*0.009*$AW$3</f>
        <v>18207.071727441355</v>
      </c>
      <c r="O63" s="108"/>
      <c r="P63" s="108"/>
      <c r="Q63" s="108"/>
      <c r="R63" s="108"/>
      <c r="S63" s="108"/>
      <c r="T63" s="108"/>
      <c r="U63" s="110"/>
      <c r="V63" s="111"/>
      <c r="W63" s="111"/>
      <c r="X63" s="111"/>
      <c r="Y63" s="108"/>
      <c r="Z63" s="111"/>
      <c r="AA63" s="108"/>
      <c r="AB63" s="110"/>
      <c r="AC63" s="111"/>
      <c r="AD63" s="111"/>
      <c r="AE63" s="111"/>
      <c r="AF63" s="108"/>
      <c r="AG63" s="111"/>
      <c r="AH63" s="108"/>
      <c r="AI63" s="110"/>
      <c r="AJ63" s="111"/>
      <c r="AK63" s="111"/>
      <c r="AL63" s="111"/>
      <c r="AM63" s="108"/>
      <c r="AN63" s="111"/>
      <c r="AO63" s="108"/>
      <c r="AP63" s="1014">
        <v>0.05</v>
      </c>
      <c r="AQ63" s="829"/>
      <c r="AR63" s="116" t="s">
        <v>424</v>
      </c>
    </row>
    <row r="64" spans="1:49" ht="14.25" customHeight="1" x14ac:dyDescent="0.3">
      <c r="A64" s="917"/>
      <c r="B64" s="1012"/>
      <c r="C64" s="691">
        <v>12</v>
      </c>
      <c r="D64" s="120" t="s">
        <v>60</v>
      </c>
      <c r="E64" s="120">
        <v>2022</v>
      </c>
      <c r="F64" s="692" t="s">
        <v>19</v>
      </c>
      <c r="G64" s="587">
        <f t="shared" si="59"/>
        <v>1394.339802706085</v>
      </c>
      <c r="H64" s="124"/>
      <c r="I64" s="121"/>
      <c r="J64" s="121"/>
      <c r="K64" s="121"/>
      <c r="L64" s="121"/>
      <c r="M64" s="121"/>
      <c r="N64" s="587">
        <f>1.8*10^6*0.01*$AW$3</f>
        <v>24276.095636588478</v>
      </c>
      <c r="O64" s="121"/>
      <c r="P64" s="121"/>
      <c r="Q64" s="121"/>
      <c r="R64" s="121"/>
      <c r="S64" s="121"/>
      <c r="T64" s="121"/>
      <c r="U64" s="123"/>
      <c r="V64" s="124"/>
      <c r="W64" s="124"/>
      <c r="X64" s="124"/>
      <c r="Y64" s="121"/>
      <c r="Z64" s="124"/>
      <c r="AA64" s="121"/>
      <c r="AB64" s="123"/>
      <c r="AC64" s="124"/>
      <c r="AD64" s="124"/>
      <c r="AE64" s="124"/>
      <c r="AF64" s="121"/>
      <c r="AG64" s="124"/>
      <c r="AH64" s="121"/>
      <c r="AI64" s="123"/>
      <c r="AJ64" s="124"/>
      <c r="AK64" s="124"/>
      <c r="AL64" s="124"/>
      <c r="AM64" s="121"/>
      <c r="AN64" s="124"/>
      <c r="AO64" s="121"/>
      <c r="AP64" s="1015">
        <v>0.05</v>
      </c>
      <c r="AQ64" s="1016"/>
      <c r="AR64" s="116" t="s">
        <v>425</v>
      </c>
    </row>
    <row r="65" spans="1:44" ht="14.25" customHeight="1" x14ac:dyDescent="0.3">
      <c r="A65" s="917"/>
      <c r="B65" s="1010" t="s">
        <v>426</v>
      </c>
      <c r="C65" s="687">
        <v>12</v>
      </c>
      <c r="D65" s="90" t="s">
        <v>60</v>
      </c>
      <c r="E65" s="90">
        <v>2022</v>
      </c>
      <c r="F65" s="688" t="s">
        <v>19</v>
      </c>
      <c r="G65" s="447">
        <f t="shared" si="59"/>
        <v>263.133445473439</v>
      </c>
      <c r="H65" s="94"/>
      <c r="I65" s="94"/>
      <c r="J65" s="94"/>
      <c r="K65" s="94"/>
      <c r="L65" s="94"/>
      <c r="M65" s="94"/>
      <c r="N65" s="447">
        <f>2*10^6*0.008*$AW$3</f>
        <v>21578.751676967535</v>
      </c>
      <c r="O65" s="94"/>
      <c r="P65" s="94"/>
      <c r="Q65" s="94"/>
      <c r="R65" s="94"/>
      <c r="S65" s="94"/>
      <c r="T65" s="94"/>
      <c r="U65" s="96"/>
      <c r="V65" s="97"/>
      <c r="W65" s="97"/>
      <c r="X65" s="97"/>
      <c r="Y65" s="94"/>
      <c r="Z65" s="97"/>
      <c r="AA65" s="94"/>
      <c r="AB65" s="96"/>
      <c r="AC65" s="97"/>
      <c r="AD65" s="97"/>
      <c r="AE65" s="97"/>
      <c r="AF65" s="94"/>
      <c r="AG65" s="97"/>
      <c r="AH65" s="94"/>
      <c r="AI65" s="96"/>
      <c r="AJ65" s="97"/>
      <c r="AK65" s="97"/>
      <c r="AL65" s="97"/>
      <c r="AM65" s="94"/>
      <c r="AN65" s="97"/>
      <c r="AO65" s="94"/>
      <c r="AP65" s="1013">
        <v>0.05</v>
      </c>
      <c r="AQ65" s="827"/>
      <c r="AR65" s="104" t="s">
        <v>423</v>
      </c>
    </row>
    <row r="66" spans="1:44" ht="14.25" customHeight="1" x14ac:dyDescent="0.3">
      <c r="A66" s="917"/>
      <c r="B66" s="1011"/>
      <c r="C66" s="689">
        <v>12</v>
      </c>
      <c r="D66" s="105" t="s">
        <v>60</v>
      </c>
      <c r="E66" s="105">
        <v>2022</v>
      </c>
      <c r="F66" s="690" t="s">
        <v>19</v>
      </c>
      <c r="G66" s="113">
        <f t="shared" si="59"/>
        <v>289.44679002078288</v>
      </c>
      <c r="H66" s="111"/>
      <c r="I66" s="108"/>
      <c r="J66" s="108"/>
      <c r="K66" s="108"/>
      <c r="L66" s="108"/>
      <c r="M66" s="108"/>
      <c r="N66" s="113">
        <f>2.2*10^6*0.009*$AW$3</f>
        <v>26703.705200247325</v>
      </c>
      <c r="O66" s="108"/>
      <c r="P66" s="108"/>
      <c r="Q66" s="108"/>
      <c r="R66" s="108"/>
      <c r="S66" s="108"/>
      <c r="T66" s="108"/>
      <c r="U66" s="110"/>
      <c r="V66" s="111"/>
      <c r="W66" s="111"/>
      <c r="X66" s="111"/>
      <c r="Y66" s="108"/>
      <c r="Z66" s="111"/>
      <c r="AA66" s="108"/>
      <c r="AB66" s="110"/>
      <c r="AC66" s="111"/>
      <c r="AD66" s="111"/>
      <c r="AE66" s="111"/>
      <c r="AF66" s="108"/>
      <c r="AG66" s="111"/>
      <c r="AH66" s="108"/>
      <c r="AI66" s="110"/>
      <c r="AJ66" s="111"/>
      <c r="AK66" s="111"/>
      <c r="AL66" s="111"/>
      <c r="AM66" s="108"/>
      <c r="AN66" s="111"/>
      <c r="AO66" s="108"/>
      <c r="AP66" s="1014">
        <v>0.05</v>
      </c>
      <c r="AQ66" s="829"/>
      <c r="AR66" s="116" t="s">
        <v>424</v>
      </c>
    </row>
    <row r="67" spans="1:44" ht="14.25" customHeight="1" x14ac:dyDescent="0.3">
      <c r="A67" s="917"/>
      <c r="B67" s="1012"/>
      <c r="C67" s="691">
        <v>12</v>
      </c>
      <c r="D67" s="120" t="s">
        <v>60</v>
      </c>
      <c r="E67" s="120">
        <v>2022</v>
      </c>
      <c r="F67" s="692" t="s">
        <v>19</v>
      </c>
      <c r="G67" s="587">
        <f t="shared" si="59"/>
        <v>355.23015138914263</v>
      </c>
      <c r="H67" s="124"/>
      <c r="I67" s="121"/>
      <c r="J67" s="121"/>
      <c r="K67" s="121"/>
      <c r="L67" s="121"/>
      <c r="M67" s="121"/>
      <c r="N67" s="587">
        <f>2.7*10^6*0.01*$AW$3</f>
        <v>36414.143454882716</v>
      </c>
      <c r="O67" s="121"/>
      <c r="P67" s="121"/>
      <c r="Q67" s="121"/>
      <c r="R67" s="121"/>
      <c r="S67" s="121"/>
      <c r="T67" s="121"/>
      <c r="U67" s="123"/>
      <c r="V67" s="124"/>
      <c r="W67" s="124"/>
      <c r="X67" s="124"/>
      <c r="Y67" s="121"/>
      <c r="Z67" s="124"/>
      <c r="AA67" s="121"/>
      <c r="AB67" s="123"/>
      <c r="AC67" s="124"/>
      <c r="AD67" s="124"/>
      <c r="AE67" s="124"/>
      <c r="AF67" s="121"/>
      <c r="AG67" s="124"/>
      <c r="AH67" s="121"/>
      <c r="AI67" s="123"/>
      <c r="AJ67" s="124"/>
      <c r="AK67" s="124"/>
      <c r="AL67" s="124"/>
      <c r="AM67" s="121"/>
      <c r="AN67" s="124"/>
      <c r="AO67" s="121"/>
      <c r="AP67" s="1015">
        <v>0.05</v>
      </c>
      <c r="AQ67" s="1016"/>
      <c r="AR67" s="116" t="s">
        <v>425</v>
      </c>
    </row>
    <row r="68" spans="1:44" ht="14.25" customHeight="1" x14ac:dyDescent="0.3">
      <c r="A68" s="917"/>
      <c r="B68" s="1010" t="s">
        <v>427</v>
      </c>
      <c r="C68" s="687">
        <v>12</v>
      </c>
      <c r="D68" s="90" t="s">
        <v>60</v>
      </c>
      <c r="E68" s="90">
        <v>2022</v>
      </c>
      <c r="F68" s="688" t="s">
        <v>19</v>
      </c>
      <c r="G68" s="447">
        <f t="shared" si="59"/>
        <v>447.32685730484621</v>
      </c>
      <c r="H68" s="94"/>
      <c r="I68" s="94"/>
      <c r="J68" s="94"/>
      <c r="K68" s="94"/>
      <c r="L68" s="94"/>
      <c r="M68" s="94"/>
      <c r="N68" s="447">
        <f>3.4*10^6*0.008*$AW$3</f>
        <v>36683.877850844809</v>
      </c>
      <c r="O68" s="94"/>
      <c r="P68" s="94"/>
      <c r="Q68" s="94"/>
      <c r="R68" s="94"/>
      <c r="S68" s="94"/>
      <c r="T68" s="94"/>
      <c r="U68" s="96"/>
      <c r="V68" s="97"/>
      <c r="W68" s="97"/>
      <c r="X68" s="97"/>
      <c r="Y68" s="94"/>
      <c r="Z68" s="97"/>
      <c r="AA68" s="94"/>
      <c r="AB68" s="96"/>
      <c r="AC68" s="97"/>
      <c r="AD68" s="97"/>
      <c r="AE68" s="97"/>
      <c r="AF68" s="94"/>
      <c r="AG68" s="97"/>
      <c r="AH68" s="94"/>
      <c r="AI68" s="96"/>
      <c r="AJ68" s="97"/>
      <c r="AK68" s="97"/>
      <c r="AL68" s="97"/>
      <c r="AM68" s="94"/>
      <c r="AN68" s="97"/>
      <c r="AO68" s="94"/>
      <c r="AP68" s="1013">
        <v>0.05</v>
      </c>
      <c r="AQ68" s="827"/>
      <c r="AR68" s="104" t="s">
        <v>423</v>
      </c>
    </row>
    <row r="69" spans="1:44" ht="14.25" customHeight="1" x14ac:dyDescent="0.3">
      <c r="A69" s="917"/>
      <c r="B69" s="1011"/>
      <c r="C69" s="689">
        <v>12</v>
      </c>
      <c r="D69" s="105" t="s">
        <v>60</v>
      </c>
      <c r="E69" s="105">
        <v>2022</v>
      </c>
      <c r="F69" s="690" t="s">
        <v>19</v>
      </c>
      <c r="G69" s="113">
        <f t="shared" si="59"/>
        <v>486.79687412586208</v>
      </c>
      <c r="H69" s="111"/>
      <c r="I69" s="108"/>
      <c r="J69" s="108"/>
      <c r="K69" s="108"/>
      <c r="L69" s="108"/>
      <c r="M69" s="108"/>
      <c r="N69" s="113">
        <f>3.7*10^6*0.009*$AW$3</f>
        <v>44910.776927688683</v>
      </c>
      <c r="O69" s="108"/>
      <c r="P69" s="108"/>
      <c r="Q69" s="108"/>
      <c r="R69" s="108"/>
      <c r="S69" s="108"/>
      <c r="T69" s="108"/>
      <c r="U69" s="110"/>
      <c r="V69" s="111"/>
      <c r="W69" s="111"/>
      <c r="X69" s="111"/>
      <c r="Y69" s="108"/>
      <c r="Z69" s="111"/>
      <c r="AA69" s="108"/>
      <c r="AB69" s="110"/>
      <c r="AC69" s="111"/>
      <c r="AD69" s="111"/>
      <c r="AE69" s="111"/>
      <c r="AF69" s="108"/>
      <c r="AG69" s="111"/>
      <c r="AH69" s="108"/>
      <c r="AI69" s="110"/>
      <c r="AJ69" s="111"/>
      <c r="AK69" s="111"/>
      <c r="AL69" s="111"/>
      <c r="AM69" s="108"/>
      <c r="AN69" s="111"/>
      <c r="AO69" s="108"/>
      <c r="AP69" s="1014">
        <v>0.05</v>
      </c>
      <c r="AQ69" s="829"/>
      <c r="AR69" s="116" t="s">
        <v>424</v>
      </c>
    </row>
    <row r="70" spans="1:44" ht="14.25" customHeight="1" x14ac:dyDescent="0.3">
      <c r="A70" s="917"/>
      <c r="B70" s="1012"/>
      <c r="C70" s="691">
        <v>12</v>
      </c>
      <c r="D70" s="120" t="s">
        <v>60</v>
      </c>
      <c r="E70" s="120">
        <v>2022</v>
      </c>
      <c r="F70" s="692" t="s">
        <v>19</v>
      </c>
      <c r="G70" s="587">
        <f t="shared" si="59"/>
        <v>605.2069245889096</v>
      </c>
      <c r="H70" s="124"/>
      <c r="I70" s="121"/>
      <c r="J70" s="121"/>
      <c r="K70" s="121"/>
      <c r="L70" s="121"/>
      <c r="M70" s="121"/>
      <c r="N70" s="587">
        <f>4.6*10^6*0.01*$AW$3</f>
        <v>62038.911071281662</v>
      </c>
      <c r="O70" s="121"/>
      <c r="P70" s="121"/>
      <c r="Q70" s="121"/>
      <c r="R70" s="121"/>
      <c r="S70" s="121"/>
      <c r="T70" s="121"/>
      <c r="U70" s="123"/>
      <c r="V70" s="124"/>
      <c r="W70" s="124"/>
      <c r="X70" s="124"/>
      <c r="Y70" s="121"/>
      <c r="Z70" s="124"/>
      <c r="AA70" s="121"/>
      <c r="AB70" s="123"/>
      <c r="AC70" s="124"/>
      <c r="AD70" s="124"/>
      <c r="AE70" s="124"/>
      <c r="AF70" s="121"/>
      <c r="AG70" s="124"/>
      <c r="AH70" s="121"/>
      <c r="AI70" s="123"/>
      <c r="AJ70" s="124"/>
      <c r="AK70" s="124"/>
      <c r="AL70" s="124"/>
      <c r="AM70" s="121"/>
      <c r="AN70" s="124"/>
      <c r="AO70" s="121"/>
      <c r="AP70" s="1015">
        <v>0.05</v>
      </c>
      <c r="AQ70" s="1016"/>
      <c r="AR70" s="116" t="s">
        <v>425</v>
      </c>
    </row>
    <row r="71" spans="1:44" ht="14.25" customHeight="1" x14ac:dyDescent="0.3">
      <c r="A71" s="917"/>
      <c r="B71" s="1010" t="s">
        <v>428</v>
      </c>
      <c r="C71" s="689">
        <v>12</v>
      </c>
      <c r="D71" s="105" t="s">
        <v>60</v>
      </c>
      <c r="E71" s="90">
        <v>2022</v>
      </c>
      <c r="F71" s="688" t="s">
        <v>19</v>
      </c>
      <c r="G71" s="113">
        <f t="shared" si="59"/>
        <v>155.46458448381892</v>
      </c>
      <c r="H71" s="108"/>
      <c r="I71" s="108"/>
      <c r="J71" s="108"/>
      <c r="K71" s="108"/>
      <c r="L71" s="108"/>
      <c r="M71" s="108"/>
      <c r="N71" s="447">
        <f>2.5*10^6*0.008*$AW$3</f>
        <v>26973.43959620942</v>
      </c>
      <c r="O71" s="108"/>
      <c r="P71" s="108"/>
      <c r="Q71" s="108"/>
      <c r="R71" s="108"/>
      <c r="S71" s="108"/>
      <c r="T71" s="108"/>
      <c r="U71" s="110"/>
      <c r="V71" s="111"/>
      <c r="W71" s="111"/>
      <c r="X71" s="111"/>
      <c r="Y71" s="108"/>
      <c r="Z71" s="111"/>
      <c r="AA71" s="108"/>
      <c r="AB71" s="110"/>
      <c r="AC71" s="111"/>
      <c r="AD71" s="111"/>
      <c r="AE71" s="111"/>
      <c r="AF71" s="108"/>
      <c r="AG71" s="111"/>
      <c r="AH71" s="108"/>
      <c r="AI71" s="110"/>
      <c r="AJ71" s="111"/>
      <c r="AK71" s="111"/>
      <c r="AL71" s="111"/>
      <c r="AM71" s="108"/>
      <c r="AN71" s="111"/>
      <c r="AO71" s="108"/>
      <c r="AP71" s="1013">
        <v>0.05</v>
      </c>
      <c r="AQ71" s="827"/>
      <c r="AR71" s="104" t="s">
        <v>423</v>
      </c>
    </row>
    <row r="72" spans="1:44" ht="14.25" customHeight="1" x14ac:dyDescent="0.3">
      <c r="A72" s="917"/>
      <c r="B72" s="1011"/>
      <c r="C72" s="689">
        <v>12</v>
      </c>
      <c r="D72" s="105" t="s">
        <v>60</v>
      </c>
      <c r="E72" s="105">
        <v>2022</v>
      </c>
      <c r="F72" s="690" t="s">
        <v>19</v>
      </c>
      <c r="G72" s="113">
        <f t="shared" si="59"/>
        <v>174.12033462187716</v>
      </c>
      <c r="H72" s="111"/>
      <c r="I72" s="108"/>
      <c r="J72" s="108"/>
      <c r="K72" s="108"/>
      <c r="L72" s="108"/>
      <c r="M72" s="108"/>
      <c r="N72" s="113">
        <f>2.8*10^6*0.009*$AW$3</f>
        <v>33986.533891223866</v>
      </c>
      <c r="O72" s="108"/>
      <c r="P72" s="108"/>
      <c r="Q72" s="108"/>
      <c r="R72" s="108"/>
      <c r="S72" s="108"/>
      <c r="T72" s="108"/>
      <c r="U72" s="110"/>
      <c r="V72" s="111"/>
      <c r="W72" s="111"/>
      <c r="X72" s="111"/>
      <c r="Y72" s="108"/>
      <c r="Z72" s="111"/>
      <c r="AA72" s="108"/>
      <c r="AB72" s="110"/>
      <c r="AC72" s="111"/>
      <c r="AD72" s="111"/>
      <c r="AE72" s="111"/>
      <c r="AF72" s="108"/>
      <c r="AG72" s="111"/>
      <c r="AH72" s="108"/>
      <c r="AI72" s="110"/>
      <c r="AJ72" s="111"/>
      <c r="AK72" s="111"/>
      <c r="AL72" s="111"/>
      <c r="AM72" s="108"/>
      <c r="AN72" s="111"/>
      <c r="AO72" s="108"/>
      <c r="AP72" s="1014">
        <v>0.05</v>
      </c>
      <c r="AQ72" s="829"/>
      <c r="AR72" s="116" t="s">
        <v>424</v>
      </c>
    </row>
    <row r="73" spans="1:44" ht="14.25" customHeight="1" x14ac:dyDescent="0.3">
      <c r="A73" s="917"/>
      <c r="B73" s="1012"/>
      <c r="C73" s="691">
        <v>12</v>
      </c>
      <c r="D73" s="120" t="s">
        <v>60</v>
      </c>
      <c r="E73" s="120">
        <v>2022</v>
      </c>
      <c r="F73" s="692" t="s">
        <v>19</v>
      </c>
      <c r="G73" s="587">
        <f t="shared" si="59"/>
        <v>211.43183489799372</v>
      </c>
      <c r="H73" s="124"/>
      <c r="I73" s="121"/>
      <c r="J73" s="121"/>
      <c r="K73" s="121"/>
      <c r="L73" s="121"/>
      <c r="M73" s="121"/>
      <c r="N73" s="587">
        <f>3.4*10^6*0.01*$AW$3</f>
        <v>45854.847313556013</v>
      </c>
      <c r="O73" s="121"/>
      <c r="P73" s="121"/>
      <c r="Q73" s="121"/>
      <c r="R73" s="121"/>
      <c r="S73" s="121"/>
      <c r="T73" s="121"/>
      <c r="U73" s="123"/>
      <c r="V73" s="124"/>
      <c r="W73" s="124"/>
      <c r="X73" s="124"/>
      <c r="Y73" s="121"/>
      <c r="Z73" s="124"/>
      <c r="AA73" s="121"/>
      <c r="AB73" s="123"/>
      <c r="AC73" s="124"/>
      <c r="AD73" s="124"/>
      <c r="AE73" s="124"/>
      <c r="AF73" s="121"/>
      <c r="AG73" s="124"/>
      <c r="AH73" s="121"/>
      <c r="AI73" s="123"/>
      <c r="AJ73" s="124"/>
      <c r="AK73" s="124"/>
      <c r="AL73" s="124"/>
      <c r="AM73" s="121"/>
      <c r="AN73" s="124"/>
      <c r="AO73" s="121"/>
      <c r="AP73" s="1015">
        <v>0.05</v>
      </c>
      <c r="AQ73" s="1016"/>
      <c r="AR73" s="116" t="s">
        <v>425</v>
      </c>
    </row>
    <row r="74" spans="1:44" ht="14.25" customHeight="1" x14ac:dyDescent="0.3">
      <c r="A74" s="917"/>
      <c r="B74" s="1010" t="s">
        <v>429</v>
      </c>
      <c r="C74" s="689">
        <v>12</v>
      </c>
      <c r="D74" s="105" t="s">
        <v>60</v>
      </c>
      <c r="E74" s="90">
        <v>2022</v>
      </c>
      <c r="F74" s="688" t="s">
        <v>19</v>
      </c>
      <c r="G74" s="113">
        <f t="shared" si="59"/>
        <v>267.39908531216849</v>
      </c>
      <c r="H74" s="108"/>
      <c r="I74" s="108"/>
      <c r="J74" s="108"/>
      <c r="K74" s="108"/>
      <c r="L74" s="108"/>
      <c r="M74" s="108"/>
      <c r="N74" s="447">
        <f>4.3*10^6*0.008*$AW$3</f>
        <v>46394.316105480197</v>
      </c>
      <c r="O74" s="108"/>
      <c r="P74" s="108"/>
      <c r="Q74" s="108"/>
      <c r="R74" s="108"/>
      <c r="S74" s="108"/>
      <c r="T74" s="108"/>
      <c r="U74" s="110"/>
      <c r="V74" s="111"/>
      <c r="W74" s="111"/>
      <c r="X74" s="111"/>
      <c r="Y74" s="108"/>
      <c r="Z74" s="111"/>
      <c r="AA74" s="108"/>
      <c r="AB74" s="110"/>
      <c r="AC74" s="111"/>
      <c r="AD74" s="111"/>
      <c r="AE74" s="111"/>
      <c r="AF74" s="108"/>
      <c r="AG74" s="111"/>
      <c r="AH74" s="108"/>
      <c r="AI74" s="110"/>
      <c r="AJ74" s="111"/>
      <c r="AK74" s="111"/>
      <c r="AL74" s="111"/>
      <c r="AM74" s="108"/>
      <c r="AN74" s="111"/>
      <c r="AO74" s="108"/>
      <c r="AP74" s="1013">
        <v>0.05</v>
      </c>
      <c r="AQ74" s="827"/>
      <c r="AR74" s="104" t="s">
        <v>423</v>
      </c>
    </row>
    <row r="75" spans="1:44" ht="14.25" customHeight="1" x14ac:dyDescent="0.3">
      <c r="A75" s="917"/>
      <c r="B75" s="1011"/>
      <c r="C75" s="689">
        <v>12</v>
      </c>
      <c r="D75" s="105" t="s">
        <v>60</v>
      </c>
      <c r="E75" s="105">
        <v>2022</v>
      </c>
      <c r="F75" s="690" t="s">
        <v>19</v>
      </c>
      <c r="G75" s="113">
        <f t="shared" si="59"/>
        <v>298.49200220893238</v>
      </c>
      <c r="H75" s="111"/>
      <c r="I75" s="108"/>
      <c r="J75" s="108"/>
      <c r="K75" s="108"/>
      <c r="L75" s="108"/>
      <c r="M75" s="108"/>
      <c r="N75" s="113">
        <f>4.8*10^6*0.009*$AW$3</f>
        <v>58262.629527812343</v>
      </c>
      <c r="O75" s="108"/>
      <c r="P75" s="108"/>
      <c r="Q75" s="108"/>
      <c r="R75" s="108"/>
      <c r="S75" s="108"/>
      <c r="T75" s="108"/>
      <c r="U75" s="110"/>
      <c r="V75" s="111"/>
      <c r="W75" s="111"/>
      <c r="X75" s="111"/>
      <c r="Y75" s="108"/>
      <c r="Z75" s="111"/>
      <c r="AA75" s="108"/>
      <c r="AB75" s="110"/>
      <c r="AC75" s="111"/>
      <c r="AD75" s="111"/>
      <c r="AE75" s="111"/>
      <c r="AF75" s="108"/>
      <c r="AG75" s="111"/>
      <c r="AH75" s="108"/>
      <c r="AI75" s="110"/>
      <c r="AJ75" s="111"/>
      <c r="AK75" s="111"/>
      <c r="AL75" s="111"/>
      <c r="AM75" s="108"/>
      <c r="AN75" s="111"/>
      <c r="AO75" s="108"/>
      <c r="AP75" s="1014">
        <v>0.05</v>
      </c>
      <c r="AQ75" s="829"/>
      <c r="AR75" s="116" t="s">
        <v>424</v>
      </c>
    </row>
    <row r="76" spans="1:44" ht="14.25" customHeight="1" x14ac:dyDescent="0.3">
      <c r="A76" s="917"/>
      <c r="B76" s="1012"/>
      <c r="C76" s="691">
        <v>12</v>
      </c>
      <c r="D76" s="120" t="s">
        <v>60</v>
      </c>
      <c r="E76" s="120">
        <v>2022</v>
      </c>
      <c r="F76" s="692" t="s">
        <v>19</v>
      </c>
      <c r="G76" s="587">
        <f t="shared" si="59"/>
        <v>360.67783600245986</v>
      </c>
      <c r="H76" s="124"/>
      <c r="I76" s="121"/>
      <c r="J76" s="121"/>
      <c r="K76" s="121"/>
      <c r="L76" s="121"/>
      <c r="M76" s="121"/>
      <c r="N76" s="587">
        <f>5.8*10^6*0.01*$AW$3</f>
        <v>78222.974829007318</v>
      </c>
      <c r="O76" s="121"/>
      <c r="P76" s="121"/>
      <c r="Q76" s="121"/>
      <c r="R76" s="121"/>
      <c r="S76" s="121"/>
      <c r="T76" s="121"/>
      <c r="U76" s="123"/>
      <c r="V76" s="124"/>
      <c r="W76" s="124"/>
      <c r="X76" s="124"/>
      <c r="Y76" s="121"/>
      <c r="Z76" s="124"/>
      <c r="AA76" s="121"/>
      <c r="AB76" s="123"/>
      <c r="AC76" s="124"/>
      <c r="AD76" s="124"/>
      <c r="AE76" s="124"/>
      <c r="AF76" s="121"/>
      <c r="AG76" s="124"/>
      <c r="AH76" s="121"/>
      <c r="AI76" s="123"/>
      <c r="AJ76" s="124"/>
      <c r="AK76" s="124"/>
      <c r="AL76" s="124"/>
      <c r="AM76" s="121"/>
      <c r="AN76" s="124"/>
      <c r="AO76" s="121"/>
      <c r="AP76" s="1015">
        <v>0.05</v>
      </c>
      <c r="AQ76" s="1016"/>
      <c r="AR76" s="116" t="s">
        <v>425</v>
      </c>
    </row>
    <row r="77" spans="1:44" ht="14.25" customHeight="1" x14ac:dyDescent="0.3">
      <c r="A77" s="917"/>
      <c r="B77" s="906" t="s">
        <v>430</v>
      </c>
      <c r="C77" s="720">
        <v>12</v>
      </c>
      <c r="D77" s="721" t="s">
        <v>60</v>
      </c>
      <c r="E77" s="721">
        <v>2022</v>
      </c>
      <c r="F77" s="722" t="s">
        <v>19</v>
      </c>
      <c r="G77" s="516">
        <f t="shared" si="59"/>
        <v>154.92664474512051</v>
      </c>
      <c r="H77" s="517"/>
      <c r="I77" s="517"/>
      <c r="J77" s="517"/>
      <c r="K77" s="517"/>
      <c r="L77" s="517"/>
      <c r="M77" s="517"/>
      <c r="N77" s="516">
        <f>0.2*10^6*0.008*$AW$3</f>
        <v>2157.8751676967536</v>
      </c>
      <c r="O77" s="517"/>
      <c r="P77" s="517"/>
      <c r="Q77" s="517"/>
      <c r="R77" s="517"/>
      <c r="S77" s="517"/>
      <c r="T77" s="517"/>
      <c r="U77" s="520"/>
      <c r="V77" s="344"/>
      <c r="W77" s="344"/>
      <c r="X77" s="344"/>
      <c r="Y77" s="517"/>
      <c r="Z77" s="344"/>
      <c r="AA77" s="517"/>
      <c r="AB77" s="520"/>
      <c r="AC77" s="344"/>
      <c r="AD77" s="344"/>
      <c r="AE77" s="344"/>
      <c r="AF77" s="517"/>
      <c r="AG77" s="344"/>
      <c r="AH77" s="517"/>
      <c r="AI77" s="520"/>
      <c r="AJ77" s="344"/>
      <c r="AK77" s="344"/>
      <c r="AL77" s="344"/>
      <c r="AM77" s="517"/>
      <c r="AN77" s="344"/>
      <c r="AO77" s="517"/>
      <c r="AP77" s="1004">
        <v>0.05</v>
      </c>
      <c r="AQ77" s="1005"/>
      <c r="AR77" s="104" t="s">
        <v>423</v>
      </c>
    </row>
    <row r="78" spans="1:44" ht="14.25" customHeight="1" x14ac:dyDescent="0.3">
      <c r="A78" s="917"/>
      <c r="B78" s="907"/>
      <c r="C78" s="723">
        <v>12</v>
      </c>
      <c r="D78" s="724" t="s">
        <v>60</v>
      </c>
      <c r="E78" s="724">
        <v>2022</v>
      </c>
      <c r="F78" s="725" t="s">
        <v>19</v>
      </c>
      <c r="G78" s="523">
        <f t="shared" si="59"/>
        <v>232.38996711768081</v>
      </c>
      <c r="H78" s="522"/>
      <c r="I78" s="524"/>
      <c r="J78" s="524"/>
      <c r="K78" s="524"/>
      <c r="L78" s="524"/>
      <c r="M78" s="524"/>
      <c r="N78" s="523">
        <f>0.3*10^6*0.009*$AW$3</f>
        <v>3641.4143454882715</v>
      </c>
      <c r="O78" s="524"/>
      <c r="P78" s="524"/>
      <c r="Q78" s="524"/>
      <c r="R78" s="524"/>
      <c r="S78" s="524"/>
      <c r="T78" s="524"/>
      <c r="U78" s="527"/>
      <c r="V78" s="522"/>
      <c r="W78" s="522"/>
      <c r="X78" s="522"/>
      <c r="Y78" s="524"/>
      <c r="Z78" s="522"/>
      <c r="AA78" s="524"/>
      <c r="AB78" s="527"/>
      <c r="AC78" s="522"/>
      <c r="AD78" s="522"/>
      <c r="AE78" s="522"/>
      <c r="AF78" s="524"/>
      <c r="AG78" s="522"/>
      <c r="AH78" s="524"/>
      <c r="AI78" s="527"/>
      <c r="AJ78" s="522"/>
      <c r="AK78" s="522"/>
      <c r="AL78" s="522"/>
      <c r="AM78" s="524"/>
      <c r="AN78" s="522"/>
      <c r="AO78" s="524"/>
      <c r="AP78" s="1006">
        <v>0.05</v>
      </c>
      <c r="AQ78" s="1007"/>
      <c r="AR78" s="116" t="s">
        <v>424</v>
      </c>
    </row>
    <row r="79" spans="1:44" ht="14.25" customHeight="1" x14ac:dyDescent="0.3">
      <c r="A79" s="917"/>
      <c r="B79" s="908"/>
      <c r="C79" s="726">
        <v>12</v>
      </c>
      <c r="D79" s="727" t="s">
        <v>60</v>
      </c>
      <c r="E79" s="727">
        <v>2022</v>
      </c>
      <c r="F79" s="728" t="s">
        <v>19</v>
      </c>
      <c r="G79" s="533">
        <f t="shared" si="59"/>
        <v>387.31661186280132</v>
      </c>
      <c r="H79" s="532"/>
      <c r="I79" s="534"/>
      <c r="J79" s="534"/>
      <c r="K79" s="534"/>
      <c r="L79" s="534"/>
      <c r="M79" s="534"/>
      <c r="N79" s="533">
        <f>0.5*10^6*0.01*$AW$3</f>
        <v>6743.3598990523551</v>
      </c>
      <c r="O79" s="534"/>
      <c r="P79" s="534"/>
      <c r="Q79" s="534"/>
      <c r="R79" s="534"/>
      <c r="S79" s="534"/>
      <c r="T79" s="534"/>
      <c r="U79" s="538"/>
      <c r="V79" s="532"/>
      <c r="W79" s="532"/>
      <c r="X79" s="532"/>
      <c r="Y79" s="534"/>
      <c r="Z79" s="532"/>
      <c r="AA79" s="534"/>
      <c r="AB79" s="538"/>
      <c r="AC79" s="532"/>
      <c r="AD79" s="532"/>
      <c r="AE79" s="532"/>
      <c r="AF79" s="534"/>
      <c r="AG79" s="532"/>
      <c r="AH79" s="534"/>
      <c r="AI79" s="538"/>
      <c r="AJ79" s="532"/>
      <c r="AK79" s="532"/>
      <c r="AL79" s="532"/>
      <c r="AM79" s="534"/>
      <c r="AN79" s="532"/>
      <c r="AO79" s="534"/>
      <c r="AP79" s="1008">
        <v>0.05</v>
      </c>
      <c r="AQ79" s="1009"/>
      <c r="AR79" s="116" t="s">
        <v>425</v>
      </c>
    </row>
    <row r="80" spans="1:44" ht="14.25" customHeight="1" x14ac:dyDescent="0.3">
      <c r="A80" s="917"/>
      <c r="B80" s="906" t="s">
        <v>431</v>
      </c>
      <c r="C80" s="720">
        <v>12</v>
      </c>
      <c r="D80" s="721" t="s">
        <v>60</v>
      </c>
      <c r="E80" s="721">
        <v>2022</v>
      </c>
      <c r="F80" s="722" t="s">
        <v>19</v>
      </c>
      <c r="G80" s="516">
        <f t="shared" si="59"/>
        <v>26.313344547343899</v>
      </c>
      <c r="H80" s="517"/>
      <c r="I80" s="517"/>
      <c r="J80" s="517"/>
      <c r="K80" s="517"/>
      <c r="L80" s="517"/>
      <c r="M80" s="517"/>
      <c r="N80" s="516">
        <f>0.2*10^6*0.008*$AW$3</f>
        <v>2157.8751676967536</v>
      </c>
      <c r="O80" s="517"/>
      <c r="P80" s="517"/>
      <c r="Q80" s="517"/>
      <c r="R80" s="517"/>
      <c r="S80" s="517"/>
      <c r="T80" s="517"/>
      <c r="U80" s="520"/>
      <c r="V80" s="344"/>
      <c r="W80" s="344"/>
      <c r="X80" s="344"/>
      <c r="Y80" s="517"/>
      <c r="Z80" s="344"/>
      <c r="AA80" s="517"/>
      <c r="AB80" s="520"/>
      <c r="AC80" s="344"/>
      <c r="AD80" s="344"/>
      <c r="AE80" s="344"/>
      <c r="AF80" s="517"/>
      <c r="AG80" s="344"/>
      <c r="AH80" s="517"/>
      <c r="AI80" s="520"/>
      <c r="AJ80" s="344"/>
      <c r="AK80" s="344"/>
      <c r="AL80" s="344"/>
      <c r="AM80" s="517"/>
      <c r="AN80" s="344"/>
      <c r="AO80" s="517"/>
      <c r="AP80" s="1004">
        <v>0.05</v>
      </c>
      <c r="AQ80" s="1005"/>
      <c r="AR80" s="104" t="s">
        <v>423</v>
      </c>
    </row>
    <row r="81" spans="1:44" ht="14.25" customHeight="1" x14ac:dyDescent="0.3">
      <c r="A81" s="917"/>
      <c r="B81" s="907"/>
      <c r="C81" s="723">
        <v>12</v>
      </c>
      <c r="D81" s="724" t="s">
        <v>60</v>
      </c>
      <c r="E81" s="724">
        <v>2022</v>
      </c>
      <c r="F81" s="725" t="s">
        <v>19</v>
      </c>
      <c r="G81" s="523">
        <f t="shared" si="59"/>
        <v>52.626689094687798</v>
      </c>
      <c r="H81" s="522"/>
      <c r="I81" s="524"/>
      <c r="J81" s="524"/>
      <c r="K81" s="524"/>
      <c r="L81" s="524"/>
      <c r="M81" s="524"/>
      <c r="N81" s="523">
        <f>0.4*10^6*0.009*$AW$3</f>
        <v>4855.219127317695</v>
      </c>
      <c r="O81" s="524"/>
      <c r="P81" s="524"/>
      <c r="Q81" s="524"/>
      <c r="R81" s="524"/>
      <c r="S81" s="524"/>
      <c r="T81" s="524"/>
      <c r="U81" s="527"/>
      <c r="V81" s="522"/>
      <c r="W81" s="522"/>
      <c r="X81" s="522"/>
      <c r="Y81" s="524"/>
      <c r="Z81" s="522"/>
      <c r="AA81" s="524"/>
      <c r="AB81" s="527"/>
      <c r="AC81" s="522"/>
      <c r="AD81" s="522"/>
      <c r="AE81" s="522"/>
      <c r="AF81" s="524"/>
      <c r="AG81" s="522"/>
      <c r="AH81" s="524"/>
      <c r="AI81" s="527"/>
      <c r="AJ81" s="522"/>
      <c r="AK81" s="522"/>
      <c r="AL81" s="522"/>
      <c r="AM81" s="524"/>
      <c r="AN81" s="522"/>
      <c r="AO81" s="524"/>
      <c r="AP81" s="1006">
        <v>0.05</v>
      </c>
      <c r="AQ81" s="1007"/>
      <c r="AR81" s="116" t="s">
        <v>424</v>
      </c>
    </row>
    <row r="82" spans="1:44" ht="14.25" customHeight="1" x14ac:dyDescent="0.3">
      <c r="A82" s="917"/>
      <c r="B82" s="908"/>
      <c r="C82" s="726">
        <v>12</v>
      </c>
      <c r="D82" s="727" t="s">
        <v>60</v>
      </c>
      <c r="E82" s="727">
        <v>2022</v>
      </c>
      <c r="F82" s="728" t="s">
        <v>19</v>
      </c>
      <c r="G82" s="533">
        <f t="shared" si="59"/>
        <v>65.783361368359749</v>
      </c>
      <c r="H82" s="532"/>
      <c r="I82" s="534"/>
      <c r="J82" s="534"/>
      <c r="K82" s="534"/>
      <c r="L82" s="534"/>
      <c r="M82" s="534"/>
      <c r="N82" s="533">
        <f>0.5*10^6*0.01*$AW$3</f>
        <v>6743.3598990523551</v>
      </c>
      <c r="O82" s="534"/>
      <c r="P82" s="534"/>
      <c r="Q82" s="534"/>
      <c r="R82" s="534"/>
      <c r="S82" s="534"/>
      <c r="T82" s="534"/>
      <c r="U82" s="538"/>
      <c r="V82" s="532"/>
      <c r="W82" s="532"/>
      <c r="X82" s="532"/>
      <c r="Y82" s="534"/>
      <c r="Z82" s="532"/>
      <c r="AA82" s="534"/>
      <c r="AB82" s="538"/>
      <c r="AC82" s="532"/>
      <c r="AD82" s="532"/>
      <c r="AE82" s="532"/>
      <c r="AF82" s="534"/>
      <c r="AG82" s="532"/>
      <c r="AH82" s="534"/>
      <c r="AI82" s="538"/>
      <c r="AJ82" s="532"/>
      <c r="AK82" s="532"/>
      <c r="AL82" s="532"/>
      <c r="AM82" s="534"/>
      <c r="AN82" s="532"/>
      <c r="AO82" s="534"/>
      <c r="AP82" s="1008">
        <v>0.05</v>
      </c>
      <c r="AQ82" s="1009"/>
      <c r="AR82" s="116" t="s">
        <v>425</v>
      </c>
    </row>
    <row r="83" spans="1:44" ht="14.25" customHeight="1" x14ac:dyDescent="0.3">
      <c r="A83" s="917"/>
      <c r="B83" s="906" t="s">
        <v>432</v>
      </c>
      <c r="C83" s="720">
        <v>12</v>
      </c>
      <c r="D83" s="721" t="s">
        <v>60</v>
      </c>
      <c r="E83" s="721">
        <v>2022</v>
      </c>
      <c r="F83" s="722" t="s">
        <v>19</v>
      </c>
      <c r="G83" s="516">
        <f t="shared" si="59"/>
        <v>39.470016821015847</v>
      </c>
      <c r="H83" s="517"/>
      <c r="I83" s="517"/>
      <c r="J83" s="517"/>
      <c r="K83" s="517"/>
      <c r="L83" s="517"/>
      <c r="M83" s="517"/>
      <c r="N83" s="516">
        <f>0.3*10^6*0.008*$AW$3</f>
        <v>3236.8127515451301</v>
      </c>
      <c r="O83" s="517"/>
      <c r="P83" s="517"/>
      <c r="Q83" s="517"/>
      <c r="R83" s="517"/>
      <c r="S83" s="517"/>
      <c r="T83" s="517"/>
      <c r="U83" s="520"/>
      <c r="V83" s="344"/>
      <c r="W83" s="344"/>
      <c r="X83" s="344"/>
      <c r="Y83" s="517"/>
      <c r="Z83" s="344"/>
      <c r="AA83" s="517"/>
      <c r="AB83" s="520"/>
      <c r="AC83" s="344"/>
      <c r="AD83" s="344"/>
      <c r="AE83" s="344"/>
      <c r="AF83" s="517"/>
      <c r="AG83" s="344"/>
      <c r="AH83" s="517"/>
      <c r="AI83" s="520"/>
      <c r="AJ83" s="344"/>
      <c r="AK83" s="344"/>
      <c r="AL83" s="344"/>
      <c r="AM83" s="517"/>
      <c r="AN83" s="344"/>
      <c r="AO83" s="517"/>
      <c r="AP83" s="1004">
        <v>0.05</v>
      </c>
      <c r="AQ83" s="1005"/>
      <c r="AR83" s="104" t="s">
        <v>423</v>
      </c>
    </row>
    <row r="84" spans="1:44" ht="14.25" customHeight="1" x14ac:dyDescent="0.3">
      <c r="A84" s="917"/>
      <c r="B84" s="907"/>
      <c r="C84" s="723">
        <v>12</v>
      </c>
      <c r="D84" s="724" t="s">
        <v>60</v>
      </c>
      <c r="E84" s="724">
        <v>2022</v>
      </c>
      <c r="F84" s="725" t="s">
        <v>19</v>
      </c>
      <c r="G84" s="523">
        <f t="shared" si="59"/>
        <v>52.626689094687798</v>
      </c>
      <c r="H84" s="522"/>
      <c r="I84" s="524"/>
      <c r="J84" s="524"/>
      <c r="K84" s="524"/>
      <c r="L84" s="524"/>
      <c r="M84" s="524"/>
      <c r="N84" s="523">
        <f>0.4*10^6*0.009*$AW$3</f>
        <v>4855.219127317695</v>
      </c>
      <c r="O84" s="524"/>
      <c r="P84" s="524"/>
      <c r="Q84" s="524"/>
      <c r="R84" s="524"/>
      <c r="S84" s="524"/>
      <c r="T84" s="524"/>
      <c r="U84" s="527"/>
      <c r="V84" s="522"/>
      <c r="W84" s="522"/>
      <c r="X84" s="522"/>
      <c r="Y84" s="524"/>
      <c r="Z84" s="522"/>
      <c r="AA84" s="524"/>
      <c r="AB84" s="527"/>
      <c r="AC84" s="522"/>
      <c r="AD84" s="522"/>
      <c r="AE84" s="522"/>
      <c r="AF84" s="524"/>
      <c r="AG84" s="522"/>
      <c r="AH84" s="524"/>
      <c r="AI84" s="527"/>
      <c r="AJ84" s="522"/>
      <c r="AK84" s="522"/>
      <c r="AL84" s="522"/>
      <c r="AM84" s="524"/>
      <c r="AN84" s="522"/>
      <c r="AO84" s="524"/>
      <c r="AP84" s="1006">
        <v>0.05</v>
      </c>
      <c r="AQ84" s="1007"/>
      <c r="AR84" s="116" t="s">
        <v>424</v>
      </c>
    </row>
    <row r="85" spans="1:44" ht="14.25" customHeight="1" x14ac:dyDescent="0.3">
      <c r="A85" s="917"/>
      <c r="B85" s="908"/>
      <c r="C85" s="726">
        <v>12</v>
      </c>
      <c r="D85" s="727" t="s">
        <v>60</v>
      </c>
      <c r="E85" s="727">
        <v>2022</v>
      </c>
      <c r="F85" s="728" t="s">
        <v>19</v>
      </c>
      <c r="G85" s="533">
        <f t="shared" si="59"/>
        <v>65.783361368359749</v>
      </c>
      <c r="H85" s="532"/>
      <c r="I85" s="534"/>
      <c r="J85" s="534"/>
      <c r="K85" s="534"/>
      <c r="L85" s="534"/>
      <c r="M85" s="534"/>
      <c r="N85" s="533">
        <f>0.5*10^6*0.01*$AW$3</f>
        <v>6743.3598990523551</v>
      </c>
      <c r="O85" s="534"/>
      <c r="P85" s="534"/>
      <c r="Q85" s="534"/>
      <c r="R85" s="534"/>
      <c r="S85" s="534"/>
      <c r="T85" s="534"/>
      <c r="U85" s="538"/>
      <c r="V85" s="532"/>
      <c r="W85" s="532"/>
      <c r="X85" s="532"/>
      <c r="Y85" s="534"/>
      <c r="Z85" s="532"/>
      <c r="AA85" s="534"/>
      <c r="AB85" s="538"/>
      <c r="AC85" s="532"/>
      <c r="AD85" s="532"/>
      <c r="AE85" s="532"/>
      <c r="AF85" s="534"/>
      <c r="AG85" s="532"/>
      <c r="AH85" s="534"/>
      <c r="AI85" s="538"/>
      <c r="AJ85" s="532"/>
      <c r="AK85" s="532"/>
      <c r="AL85" s="532"/>
      <c r="AM85" s="534"/>
      <c r="AN85" s="532"/>
      <c r="AO85" s="534"/>
      <c r="AP85" s="1008">
        <v>0.05</v>
      </c>
      <c r="AQ85" s="1009"/>
      <c r="AR85" s="116" t="s">
        <v>425</v>
      </c>
    </row>
    <row r="86" spans="1:44" ht="14.25" customHeight="1" x14ac:dyDescent="0.3">
      <c r="A86" s="917"/>
      <c r="B86" s="907" t="s">
        <v>433</v>
      </c>
      <c r="C86" s="723">
        <v>12</v>
      </c>
      <c r="D86" s="724" t="s">
        <v>60</v>
      </c>
      <c r="E86" s="721">
        <v>2022</v>
      </c>
      <c r="F86" s="722" t="s">
        <v>19</v>
      </c>
      <c r="G86" s="523">
        <f t="shared" si="59"/>
        <v>18.655750138058274</v>
      </c>
      <c r="H86" s="524"/>
      <c r="I86" s="524"/>
      <c r="J86" s="524"/>
      <c r="K86" s="524"/>
      <c r="L86" s="524"/>
      <c r="M86" s="524"/>
      <c r="N86" s="516">
        <f>0.3*10^6*0.009*$AW$3</f>
        <v>3641.4143454882715</v>
      </c>
      <c r="O86" s="524"/>
      <c r="P86" s="524"/>
      <c r="Q86" s="524"/>
      <c r="R86" s="524"/>
      <c r="S86" s="524"/>
      <c r="T86" s="524"/>
      <c r="U86" s="527"/>
      <c r="V86" s="522"/>
      <c r="W86" s="522"/>
      <c r="X86" s="522"/>
      <c r="Y86" s="524"/>
      <c r="Z86" s="522"/>
      <c r="AA86" s="524"/>
      <c r="AB86" s="527"/>
      <c r="AC86" s="522"/>
      <c r="AD86" s="522"/>
      <c r="AE86" s="522"/>
      <c r="AF86" s="524"/>
      <c r="AG86" s="522"/>
      <c r="AH86" s="524"/>
      <c r="AI86" s="527"/>
      <c r="AJ86" s="522"/>
      <c r="AK86" s="522"/>
      <c r="AL86" s="522"/>
      <c r="AM86" s="524"/>
      <c r="AN86" s="522"/>
      <c r="AO86" s="524"/>
      <c r="AP86" s="1004">
        <v>0.05</v>
      </c>
      <c r="AQ86" s="1005"/>
      <c r="AR86" s="104" t="s">
        <v>423</v>
      </c>
    </row>
    <row r="87" spans="1:44" ht="14.25" customHeight="1" x14ac:dyDescent="0.3">
      <c r="A87" s="917"/>
      <c r="B87" s="907"/>
      <c r="C87" s="723">
        <v>12</v>
      </c>
      <c r="D87" s="724" t="s">
        <v>60</v>
      </c>
      <c r="E87" s="724">
        <v>2022</v>
      </c>
      <c r="F87" s="725" t="s">
        <v>19</v>
      </c>
      <c r="G87" s="523">
        <f t="shared" si="59"/>
        <v>31.092916896763782</v>
      </c>
      <c r="H87" s="522"/>
      <c r="I87" s="524"/>
      <c r="J87" s="524"/>
      <c r="K87" s="524"/>
      <c r="L87" s="524"/>
      <c r="M87" s="524"/>
      <c r="N87" s="523">
        <f>0.5*10^6*0.009*$AW$3</f>
        <v>6069.0239091471194</v>
      </c>
      <c r="O87" s="524"/>
      <c r="P87" s="524"/>
      <c r="Q87" s="524"/>
      <c r="R87" s="524"/>
      <c r="S87" s="524"/>
      <c r="T87" s="524"/>
      <c r="U87" s="527"/>
      <c r="V87" s="522"/>
      <c r="W87" s="522"/>
      <c r="X87" s="522"/>
      <c r="Y87" s="524"/>
      <c r="Z87" s="522"/>
      <c r="AA87" s="524"/>
      <c r="AB87" s="527"/>
      <c r="AC87" s="522"/>
      <c r="AD87" s="522"/>
      <c r="AE87" s="522"/>
      <c r="AF87" s="524"/>
      <c r="AG87" s="522"/>
      <c r="AH87" s="524"/>
      <c r="AI87" s="527"/>
      <c r="AJ87" s="522"/>
      <c r="AK87" s="522"/>
      <c r="AL87" s="522"/>
      <c r="AM87" s="524"/>
      <c r="AN87" s="522"/>
      <c r="AO87" s="524"/>
      <c r="AP87" s="1006">
        <v>0.05</v>
      </c>
      <c r="AQ87" s="1007"/>
      <c r="AR87" s="116" t="s">
        <v>424</v>
      </c>
    </row>
    <row r="88" spans="1:44" ht="14.25" customHeight="1" x14ac:dyDescent="0.3">
      <c r="A88" s="917"/>
      <c r="B88" s="908"/>
      <c r="C88" s="726">
        <v>12</v>
      </c>
      <c r="D88" s="727" t="s">
        <v>60</v>
      </c>
      <c r="E88" s="727">
        <v>2022</v>
      </c>
      <c r="F88" s="728" t="s">
        <v>19</v>
      </c>
      <c r="G88" s="533">
        <f t="shared" si="59"/>
        <v>37.311500276116547</v>
      </c>
      <c r="H88" s="532"/>
      <c r="I88" s="534"/>
      <c r="J88" s="534"/>
      <c r="K88" s="534"/>
      <c r="L88" s="534"/>
      <c r="M88" s="534"/>
      <c r="N88" s="533">
        <f>0.6*10^6*0.01*$AW$3</f>
        <v>8092.0318788628256</v>
      </c>
      <c r="O88" s="534"/>
      <c r="P88" s="534"/>
      <c r="Q88" s="534"/>
      <c r="R88" s="534"/>
      <c r="S88" s="534"/>
      <c r="T88" s="534"/>
      <c r="U88" s="538"/>
      <c r="V88" s="532"/>
      <c r="W88" s="532"/>
      <c r="X88" s="532"/>
      <c r="Y88" s="534"/>
      <c r="Z88" s="532"/>
      <c r="AA88" s="534"/>
      <c r="AB88" s="538"/>
      <c r="AC88" s="532"/>
      <c r="AD88" s="532"/>
      <c r="AE88" s="532"/>
      <c r="AF88" s="534"/>
      <c r="AG88" s="532"/>
      <c r="AH88" s="534"/>
      <c r="AI88" s="538"/>
      <c r="AJ88" s="532"/>
      <c r="AK88" s="532"/>
      <c r="AL88" s="532"/>
      <c r="AM88" s="534"/>
      <c r="AN88" s="532"/>
      <c r="AO88" s="534"/>
      <c r="AP88" s="1008">
        <v>0.05</v>
      </c>
      <c r="AQ88" s="1009"/>
      <c r="AR88" s="116" t="s">
        <v>425</v>
      </c>
    </row>
    <row r="89" spans="1:44" ht="14.25" customHeight="1" x14ac:dyDescent="0.3">
      <c r="A89" s="917"/>
      <c r="B89" s="907" t="s">
        <v>434</v>
      </c>
      <c r="C89" s="723">
        <v>12</v>
      </c>
      <c r="D89" s="724" t="s">
        <v>60</v>
      </c>
      <c r="E89" s="721">
        <v>2022</v>
      </c>
      <c r="F89" s="722" t="s">
        <v>19</v>
      </c>
      <c r="G89" s="523">
        <f t="shared" si="59"/>
        <v>24.874333517411024</v>
      </c>
      <c r="H89" s="524"/>
      <c r="I89" s="524"/>
      <c r="J89" s="524"/>
      <c r="K89" s="524"/>
      <c r="L89" s="524"/>
      <c r="M89" s="524"/>
      <c r="N89" s="516">
        <f>0.4*10^6*0.008*$AW$3</f>
        <v>4315.7503353935072</v>
      </c>
      <c r="O89" s="524"/>
      <c r="P89" s="524"/>
      <c r="Q89" s="524"/>
      <c r="R89" s="524"/>
      <c r="S89" s="524"/>
      <c r="T89" s="524"/>
      <c r="U89" s="527"/>
      <c r="V89" s="522"/>
      <c r="W89" s="522"/>
      <c r="X89" s="522"/>
      <c r="Y89" s="524"/>
      <c r="Z89" s="522"/>
      <c r="AA89" s="524"/>
      <c r="AB89" s="527"/>
      <c r="AC89" s="522"/>
      <c r="AD89" s="522"/>
      <c r="AE89" s="522"/>
      <c r="AF89" s="524"/>
      <c r="AG89" s="522"/>
      <c r="AH89" s="524"/>
      <c r="AI89" s="527"/>
      <c r="AJ89" s="522"/>
      <c r="AK89" s="522"/>
      <c r="AL89" s="522"/>
      <c r="AM89" s="524"/>
      <c r="AN89" s="522"/>
      <c r="AO89" s="524"/>
      <c r="AP89" s="1004">
        <v>0.05</v>
      </c>
      <c r="AQ89" s="1005"/>
      <c r="AR89" s="104" t="s">
        <v>423</v>
      </c>
    </row>
    <row r="90" spans="1:44" ht="14.25" customHeight="1" x14ac:dyDescent="0.3">
      <c r="A90" s="917"/>
      <c r="B90" s="907"/>
      <c r="C90" s="723">
        <v>12</v>
      </c>
      <c r="D90" s="724" t="s">
        <v>60</v>
      </c>
      <c r="E90" s="724">
        <v>2022</v>
      </c>
      <c r="F90" s="725" t="s">
        <v>19</v>
      </c>
      <c r="G90" s="523">
        <f t="shared" si="59"/>
        <v>31.092916896763782</v>
      </c>
      <c r="H90" s="522"/>
      <c r="I90" s="524"/>
      <c r="J90" s="524"/>
      <c r="K90" s="524"/>
      <c r="L90" s="524"/>
      <c r="M90" s="524"/>
      <c r="N90" s="523">
        <f>0.5*10^6*0.009*$AW$3</f>
        <v>6069.0239091471194</v>
      </c>
      <c r="O90" s="524"/>
      <c r="P90" s="524"/>
      <c r="Q90" s="524"/>
      <c r="R90" s="524"/>
      <c r="S90" s="524"/>
      <c r="T90" s="524"/>
      <c r="U90" s="527"/>
      <c r="V90" s="522"/>
      <c r="W90" s="522"/>
      <c r="X90" s="522"/>
      <c r="Y90" s="524"/>
      <c r="Z90" s="522"/>
      <c r="AA90" s="524"/>
      <c r="AB90" s="527"/>
      <c r="AC90" s="522"/>
      <c r="AD90" s="522"/>
      <c r="AE90" s="522"/>
      <c r="AF90" s="524"/>
      <c r="AG90" s="522"/>
      <c r="AH90" s="524"/>
      <c r="AI90" s="527"/>
      <c r="AJ90" s="522"/>
      <c r="AK90" s="522"/>
      <c r="AL90" s="522"/>
      <c r="AM90" s="524"/>
      <c r="AN90" s="522"/>
      <c r="AO90" s="524"/>
      <c r="AP90" s="1006">
        <v>0.05</v>
      </c>
      <c r="AQ90" s="1007"/>
      <c r="AR90" s="116" t="s">
        <v>424</v>
      </c>
    </row>
    <row r="91" spans="1:44" ht="14.25" customHeight="1" x14ac:dyDescent="0.3">
      <c r="A91" s="917"/>
      <c r="B91" s="908"/>
      <c r="C91" s="726">
        <v>12</v>
      </c>
      <c r="D91" s="727" t="s">
        <v>60</v>
      </c>
      <c r="E91" s="727">
        <v>2022</v>
      </c>
      <c r="F91" s="728" t="s">
        <v>19</v>
      </c>
      <c r="G91" s="533">
        <f t="shared" si="59"/>
        <v>37.311500276116547</v>
      </c>
      <c r="H91" s="532"/>
      <c r="I91" s="534"/>
      <c r="J91" s="534"/>
      <c r="K91" s="534"/>
      <c r="L91" s="534"/>
      <c r="M91" s="534"/>
      <c r="N91" s="533">
        <f>0.6*10^6*0.01*$AW$3</f>
        <v>8092.0318788628256</v>
      </c>
      <c r="O91" s="534"/>
      <c r="P91" s="534"/>
      <c r="Q91" s="534"/>
      <c r="R91" s="534"/>
      <c r="S91" s="534"/>
      <c r="T91" s="534"/>
      <c r="U91" s="538"/>
      <c r="V91" s="532"/>
      <c r="W91" s="532"/>
      <c r="X91" s="532"/>
      <c r="Y91" s="534"/>
      <c r="Z91" s="532"/>
      <c r="AA91" s="534"/>
      <c r="AB91" s="538"/>
      <c r="AC91" s="532"/>
      <c r="AD91" s="532"/>
      <c r="AE91" s="532"/>
      <c r="AF91" s="534"/>
      <c r="AG91" s="532"/>
      <c r="AH91" s="534"/>
      <c r="AI91" s="538"/>
      <c r="AJ91" s="532"/>
      <c r="AK91" s="532"/>
      <c r="AL91" s="532"/>
      <c r="AM91" s="534"/>
      <c r="AN91" s="532"/>
      <c r="AO91" s="534"/>
      <c r="AP91" s="1008">
        <v>0.05</v>
      </c>
      <c r="AQ91" s="1009"/>
      <c r="AR91" s="116" t="s">
        <v>425</v>
      </c>
    </row>
    <row r="92" spans="1:44" ht="14.25" customHeight="1" x14ac:dyDescent="0.3">
      <c r="A92" s="917"/>
      <c r="B92" s="963" t="s">
        <v>1</v>
      </c>
      <c r="C92" s="1000" t="s">
        <v>246</v>
      </c>
      <c r="D92" s="1001"/>
      <c r="E92" s="1001"/>
      <c r="F92" s="622"/>
      <c r="G92" s="949" t="s">
        <v>418</v>
      </c>
      <c r="H92" s="950"/>
      <c r="I92" s="950"/>
      <c r="J92" s="950"/>
      <c r="K92" s="950"/>
      <c r="L92" s="950"/>
      <c r="M92" s="951"/>
      <c r="N92" s="914" t="s">
        <v>435</v>
      </c>
      <c r="O92" s="915"/>
      <c r="P92" s="915"/>
      <c r="Q92" s="915"/>
      <c r="R92" s="915"/>
      <c r="S92" s="915"/>
      <c r="T92" s="916"/>
      <c r="U92" s="914" t="s">
        <v>249</v>
      </c>
      <c r="V92" s="915"/>
      <c r="W92" s="915"/>
      <c r="X92" s="915"/>
      <c r="Y92" s="915"/>
      <c r="Z92" s="915"/>
      <c r="AA92" s="916"/>
      <c r="AB92" s="914" t="s">
        <v>250</v>
      </c>
      <c r="AC92" s="915"/>
      <c r="AD92" s="915"/>
      <c r="AE92" s="915"/>
      <c r="AF92" s="915"/>
      <c r="AG92" s="915"/>
      <c r="AH92" s="916"/>
      <c r="AI92" s="914" t="s">
        <v>251</v>
      </c>
      <c r="AJ92" s="915"/>
      <c r="AK92" s="915"/>
      <c r="AL92" s="915"/>
      <c r="AM92" s="915"/>
      <c r="AN92" s="915"/>
      <c r="AO92" s="916"/>
      <c r="AP92" s="1002" t="s">
        <v>252</v>
      </c>
      <c r="AQ92" s="1003"/>
      <c r="AR92" s="962" t="s">
        <v>253</v>
      </c>
    </row>
    <row r="93" spans="1:44" ht="14.25" customHeight="1" x14ac:dyDescent="0.3">
      <c r="A93" s="917"/>
      <c r="B93" s="963"/>
      <c r="C93" s="86" t="s">
        <v>254</v>
      </c>
      <c r="D93" s="87" t="s">
        <v>255</v>
      </c>
      <c r="E93" s="85" t="s">
        <v>256</v>
      </c>
      <c r="F93" s="622" t="s">
        <v>19</v>
      </c>
      <c r="G93" s="86">
        <v>2020</v>
      </c>
      <c r="H93" s="87">
        <v>2025</v>
      </c>
      <c r="I93" s="87">
        <v>2030</v>
      </c>
      <c r="J93" s="87">
        <v>2040</v>
      </c>
      <c r="K93" s="87">
        <v>2045</v>
      </c>
      <c r="L93" s="87">
        <v>2050</v>
      </c>
      <c r="M93" s="87">
        <v>2060</v>
      </c>
      <c r="N93" s="86">
        <v>2020</v>
      </c>
      <c r="O93" s="87">
        <v>2025</v>
      </c>
      <c r="P93" s="87">
        <v>2030</v>
      </c>
      <c r="Q93" s="87">
        <v>2040</v>
      </c>
      <c r="R93" s="87">
        <v>2045</v>
      </c>
      <c r="S93" s="87">
        <v>2050</v>
      </c>
      <c r="T93" s="87">
        <v>2060</v>
      </c>
      <c r="U93" s="86">
        <v>2020</v>
      </c>
      <c r="V93" s="87">
        <v>2025</v>
      </c>
      <c r="W93" s="87">
        <v>2030</v>
      </c>
      <c r="X93" s="87">
        <v>2040</v>
      </c>
      <c r="Y93" s="87">
        <v>2045</v>
      </c>
      <c r="Z93" s="87">
        <v>2050</v>
      </c>
      <c r="AA93" s="87">
        <v>2060</v>
      </c>
      <c r="AB93" s="86">
        <v>2020</v>
      </c>
      <c r="AC93" s="87">
        <v>2025</v>
      </c>
      <c r="AD93" s="87">
        <v>2030</v>
      </c>
      <c r="AE93" s="87">
        <v>2040</v>
      </c>
      <c r="AF93" s="87">
        <v>2045</v>
      </c>
      <c r="AG93" s="87">
        <v>2050</v>
      </c>
      <c r="AH93" s="87">
        <v>2060</v>
      </c>
      <c r="AI93" s="86">
        <v>2020</v>
      </c>
      <c r="AJ93" s="87">
        <v>2025</v>
      </c>
      <c r="AK93" s="87">
        <v>2030</v>
      </c>
      <c r="AL93" s="87">
        <v>2040</v>
      </c>
      <c r="AM93" s="87">
        <v>2045</v>
      </c>
      <c r="AN93" s="87">
        <v>2050</v>
      </c>
      <c r="AO93" s="87">
        <v>2060</v>
      </c>
      <c r="AP93" s="86" t="s">
        <v>257</v>
      </c>
      <c r="AQ93" s="622" t="s">
        <v>258</v>
      </c>
      <c r="AR93" s="962"/>
    </row>
    <row r="94" spans="1:44" ht="14.25" customHeight="1" x14ac:dyDescent="0.3">
      <c r="A94" s="917"/>
      <c r="B94" s="877" t="s">
        <v>83</v>
      </c>
      <c r="C94" s="729">
        <v>2</v>
      </c>
      <c r="D94" s="730" t="s">
        <v>23</v>
      </c>
      <c r="E94" s="730">
        <v>2019</v>
      </c>
      <c r="F94" s="703" t="s">
        <v>19</v>
      </c>
      <c r="G94" s="480">
        <f>(412*10^6/1.1297)/11000*(10^-3/(33.33*10^-3))/30</f>
        <v>33.15773327757266</v>
      </c>
      <c r="H94" s="204"/>
      <c r="I94" s="204"/>
      <c r="J94" s="204"/>
      <c r="K94" s="204"/>
      <c r="L94" s="204"/>
      <c r="M94" s="204"/>
      <c r="N94" s="480">
        <f t="shared" ref="N94:N96" si="60">G94*0.04*$AW$3</f>
        <v>1.7887562314196581</v>
      </c>
      <c r="O94" s="204"/>
      <c r="P94" s="204"/>
      <c r="Q94" s="204"/>
      <c r="R94" s="204"/>
      <c r="S94" s="204"/>
      <c r="T94" s="204"/>
      <c r="U94" s="205"/>
      <c r="V94" s="202"/>
      <c r="W94" s="202"/>
      <c r="X94" s="202"/>
      <c r="Y94" s="204"/>
      <c r="Z94" s="202"/>
      <c r="AA94" s="204"/>
      <c r="AB94" s="205"/>
      <c r="AC94" s="202"/>
      <c r="AD94" s="202"/>
      <c r="AE94" s="202"/>
      <c r="AF94" s="207"/>
      <c r="AG94" s="207"/>
      <c r="AH94" s="207"/>
      <c r="AI94" s="205"/>
      <c r="AJ94" s="202"/>
      <c r="AK94" s="202"/>
      <c r="AL94" s="202"/>
      <c r="AM94" s="204"/>
      <c r="AN94" s="202"/>
      <c r="AO94" s="204"/>
      <c r="AP94" s="205"/>
      <c r="AQ94" s="21"/>
      <c r="AR94" s="116"/>
    </row>
    <row r="95" spans="1:44" ht="14.25" customHeight="1" x14ac:dyDescent="0.3">
      <c r="A95" s="917"/>
      <c r="B95" s="878"/>
      <c r="C95" s="731">
        <v>4</v>
      </c>
      <c r="D95" s="732" t="s">
        <v>31</v>
      </c>
      <c r="E95" s="732">
        <v>2022</v>
      </c>
      <c r="F95" s="704" t="s">
        <v>19</v>
      </c>
      <c r="G95" s="212">
        <f>361223561.58/11000*(10^-3/(33.33*10^-3))/30</f>
        <v>32.841789777159534</v>
      </c>
      <c r="H95" s="209">
        <f>361223561.58/11000*(10^-3/(33.33*10^-3))/30</f>
        <v>32.841789777159534</v>
      </c>
      <c r="I95" s="209">
        <f t="shared" ref="I95:L95" si="61">361223561.58/11000*(10^-3/(33.33*10^-3))/30</f>
        <v>32.841789777159534</v>
      </c>
      <c r="J95" s="209">
        <f t="shared" si="61"/>
        <v>32.841789777159534</v>
      </c>
      <c r="K95" s="209">
        <v>32.840000000000003</v>
      </c>
      <c r="L95" s="209">
        <f t="shared" si="61"/>
        <v>32.841789777159534</v>
      </c>
      <c r="M95" s="107">
        <f>K95+((L95-K95)/(2050-2045))*(2060-2045)</f>
        <v>32.845369331478594</v>
      </c>
      <c r="N95" s="212">
        <f t="shared" si="60"/>
        <v>1.7717120655712415</v>
      </c>
      <c r="O95" s="209">
        <f>H95*0.04*$AW$3</f>
        <v>1.7717120655712415</v>
      </c>
      <c r="P95" s="209">
        <f t="shared" ref="P95:P96" si="62">I95*0.04*$AW$3</f>
        <v>1.7717120655712415</v>
      </c>
      <c r="Q95" s="209">
        <f t="shared" ref="Q95:Q96" si="63">J95*0.04*$AW$3</f>
        <v>1.7717120655712415</v>
      </c>
      <c r="R95" s="107">
        <f t="shared" ref="R95:R96" si="64">Q95+((S95-Q95)/(2050-2040))*(2045-2040)</f>
        <v>1.7717120655712415</v>
      </c>
      <c r="S95" s="209">
        <f t="shared" ref="S95:S96" si="65">L95*0.04*$AW$3</f>
        <v>1.7717120655712415</v>
      </c>
      <c r="T95" s="107">
        <f>R95+((S95-R95)/(2050-2045))*(2060-2045)</f>
        <v>1.7717120655712415</v>
      </c>
      <c r="U95" s="210"/>
      <c r="V95" s="208"/>
      <c r="W95" s="208"/>
      <c r="X95" s="208"/>
      <c r="Y95" s="209"/>
      <c r="Z95" s="208"/>
      <c r="AA95" s="209"/>
      <c r="AB95" s="210">
        <v>20</v>
      </c>
      <c r="AC95" s="208">
        <v>20</v>
      </c>
      <c r="AD95" s="208">
        <v>20</v>
      </c>
      <c r="AE95" s="208">
        <v>20</v>
      </c>
      <c r="AF95" s="378">
        <f t="shared" ref="AF95:AF96" si="66">AE95+((AG95-AE95)/(2050-2040))*(2045-2040)</f>
        <v>20</v>
      </c>
      <c r="AG95" s="213">
        <v>20</v>
      </c>
      <c r="AH95" s="378">
        <f t="shared" ref="AH95:AH96" si="67">AF95+((AG95-AF95)/(2050-2045))*(2060-2045)</f>
        <v>20</v>
      </c>
      <c r="AI95" s="210"/>
      <c r="AJ95" s="208"/>
      <c r="AK95" s="208"/>
      <c r="AL95" s="208"/>
      <c r="AM95" s="209"/>
      <c r="AN95" s="208"/>
      <c r="AO95" s="209"/>
      <c r="AP95" s="210"/>
      <c r="AQ95" s="24"/>
      <c r="AR95" s="116"/>
    </row>
    <row r="96" spans="1:44" ht="14.25" customHeight="1" x14ac:dyDescent="0.3">
      <c r="A96" s="917"/>
      <c r="B96" s="878"/>
      <c r="C96" s="731">
        <v>1</v>
      </c>
      <c r="D96" s="732" t="s">
        <v>18</v>
      </c>
      <c r="E96" s="732">
        <v>2020</v>
      </c>
      <c r="F96" s="704" t="s">
        <v>19</v>
      </c>
      <c r="G96" s="212">
        <f>37455/1.1297*(10^-3/(33.33*10^-3))/30</f>
        <v>33.158135677248353</v>
      </c>
      <c r="H96" s="107">
        <f>G96+((I96-G96)/(2030-2020))*(2025-2020)</f>
        <v>31.500007573564304</v>
      </c>
      <c r="I96" s="209">
        <f>33709/1.1297*(10^-3/(33.33*10^-3))/30</f>
        <v>29.841879469880251</v>
      </c>
      <c r="J96" s="209">
        <f>25282/1.1297*(10^-3/(33.33*10^-3))/30</f>
        <v>22.381630922231821</v>
      </c>
      <c r="K96" s="107">
        <f t="shared" ref="K96:K98" si="68">J96+((L96-J96)/(2050-2040))*(2045-2040)</f>
        <v>18.651506648407608</v>
      </c>
      <c r="L96" s="209">
        <f>16855/1.1297*(10^-3/(33.33*10^-3))/30</f>
        <v>14.921382374583393</v>
      </c>
      <c r="M96" s="107">
        <v>14.92</v>
      </c>
      <c r="N96" s="212">
        <f t="shared" si="60"/>
        <v>1.7887779396263497</v>
      </c>
      <c r="O96" s="107">
        <f>N96+((P96-N96)/(2030-2020))*(2025-2020)</f>
        <v>1.6993271031313517</v>
      </c>
      <c r="P96" s="209">
        <f t="shared" si="62"/>
        <v>1.6098762666363537</v>
      </c>
      <c r="Q96" s="209">
        <f t="shared" si="63"/>
        <v>1.2074191394909459</v>
      </c>
      <c r="R96" s="107">
        <f t="shared" si="64"/>
        <v>1.0061905759182421</v>
      </c>
      <c r="S96" s="209">
        <f t="shared" si="65"/>
        <v>0.8049620123455381</v>
      </c>
      <c r="T96" s="107">
        <v>0.8</v>
      </c>
      <c r="U96" s="210"/>
      <c r="V96" s="208"/>
      <c r="W96" s="208"/>
      <c r="X96" s="208"/>
      <c r="Y96" s="209"/>
      <c r="Z96" s="208"/>
      <c r="AA96" s="209"/>
      <c r="AB96" s="210">
        <v>30</v>
      </c>
      <c r="AC96" s="297">
        <f>AB96+((AD96-AB96)/(2030-2020))*(2025-2020)</f>
        <v>30</v>
      </c>
      <c r="AD96" s="208">
        <v>30</v>
      </c>
      <c r="AE96" s="208">
        <v>30</v>
      </c>
      <c r="AF96" s="378">
        <f t="shared" si="66"/>
        <v>30</v>
      </c>
      <c r="AG96" s="213">
        <v>30</v>
      </c>
      <c r="AH96" s="378">
        <f t="shared" si="67"/>
        <v>30</v>
      </c>
      <c r="AI96" s="210"/>
      <c r="AJ96" s="208"/>
      <c r="AK96" s="208"/>
      <c r="AL96" s="208"/>
      <c r="AM96" s="213"/>
      <c r="AN96" s="213"/>
      <c r="AO96" s="213"/>
      <c r="AP96" s="210"/>
      <c r="AQ96" s="24"/>
      <c r="AR96" s="116"/>
    </row>
    <row r="97" spans="1:44" ht="14.25" customHeight="1" x14ac:dyDescent="0.3">
      <c r="A97" s="917"/>
      <c r="B97" s="878"/>
      <c r="C97" s="731">
        <v>11</v>
      </c>
      <c r="D97" s="732" t="s">
        <v>57</v>
      </c>
      <c r="E97" s="732">
        <v>2022</v>
      </c>
      <c r="F97" s="704" t="s">
        <v>19</v>
      </c>
      <c r="G97" s="106">
        <f t="shared" ref="G97:G98" si="69">H97+((I97-H97)/(2030-2025))*(2020-2025)</f>
        <v>154.84764845809008</v>
      </c>
      <c r="H97" s="107">
        <f t="shared" ref="H97:H98" si="70">I97+((J97-I97)/(2040-2030))*(2025-2030)</f>
        <v>123.5348021146919</v>
      </c>
      <c r="I97" s="209">
        <f>109060/1.1827*(10^-3/(33.33*10^-3))/30</f>
        <v>92.221955771293707</v>
      </c>
      <c r="J97" s="209">
        <f>(35000)/1.1827*(10^-3/(33.33*10^-3))/30</f>
        <v>29.596263084497341</v>
      </c>
      <c r="K97" s="107">
        <f t="shared" si="68"/>
        <v>29.596263084497341</v>
      </c>
      <c r="L97" s="209">
        <f>(35000)/1.1827*(10^-3/(33.33*10^-3))/30</f>
        <v>29.596263084497341</v>
      </c>
      <c r="M97" s="107">
        <f t="shared" ref="M97:M98" si="71">K97+((L97-K97)/(2050-2045))*(2060-2045)</f>
        <v>29.596263084497341</v>
      </c>
      <c r="N97" s="106">
        <f t="shared" ref="N97:N98" si="72">G97*0.02*$AW$3</f>
        <v>4.1767736922993635</v>
      </c>
      <c r="O97" s="107">
        <f t="shared" ref="O97:T98" si="73">H97*0.02*$AW$3</f>
        <v>3.3321585228703254</v>
      </c>
      <c r="P97" s="107">
        <f t="shared" si="73"/>
        <v>2.4875433534412874</v>
      </c>
      <c r="Q97" s="107">
        <f t="shared" si="73"/>
        <v>0.79831301458321169</v>
      </c>
      <c r="R97" s="107">
        <f t="shared" si="73"/>
        <v>0.79831301458321169</v>
      </c>
      <c r="S97" s="107">
        <f t="shared" si="73"/>
        <v>0.79831301458321169</v>
      </c>
      <c r="T97" s="107">
        <f t="shared" si="73"/>
        <v>0.79831301458321169</v>
      </c>
      <c r="U97" s="210"/>
      <c r="V97" s="208"/>
      <c r="W97" s="208"/>
      <c r="X97" s="208"/>
      <c r="Y97" s="209"/>
      <c r="Z97" s="208"/>
      <c r="AA97" s="209"/>
      <c r="AB97" s="210"/>
      <c r="AC97" s="208"/>
      <c r="AD97" s="208"/>
      <c r="AE97" s="208"/>
      <c r="AF97" s="213"/>
      <c r="AG97" s="213"/>
      <c r="AH97" s="213"/>
      <c r="AI97" s="733">
        <f t="shared" ref="AI97:AI98" si="74">AJ97+((AK97-AJ97)/(2030-2025))*(2020-2025)</f>
        <v>49</v>
      </c>
      <c r="AJ97" s="297">
        <f t="shared" ref="AJ97:AJ98" si="75">AK97+((AL97-AK97)/(2040-2030))*(2025-2030)</f>
        <v>50.5</v>
      </c>
      <c r="AK97" s="208">
        <v>52</v>
      </c>
      <c r="AL97" s="208">
        <v>55</v>
      </c>
      <c r="AM97" s="378">
        <f t="shared" ref="AM97:AM98" si="76">AL97+((AN97-AL97)/(2050-2040))*(2045-2040)</f>
        <v>56</v>
      </c>
      <c r="AN97" s="213">
        <v>57</v>
      </c>
      <c r="AO97" s="378">
        <f t="shared" ref="AO97:AO98" si="77">AM97+((AN97-AM97)/(2050-2045))*(2060-2045)</f>
        <v>59</v>
      </c>
      <c r="AP97" s="210"/>
      <c r="AQ97" s="24"/>
      <c r="AR97" s="116" t="s">
        <v>436</v>
      </c>
    </row>
    <row r="98" spans="1:44" ht="14.25" customHeight="1" x14ac:dyDescent="0.3">
      <c r="A98" s="917"/>
      <c r="B98" s="879"/>
      <c r="C98" s="734">
        <v>11</v>
      </c>
      <c r="D98" s="735" t="s">
        <v>57</v>
      </c>
      <c r="E98" s="735">
        <v>2022</v>
      </c>
      <c r="F98" s="705" t="s">
        <v>19</v>
      </c>
      <c r="G98" s="607">
        <f t="shared" si="69"/>
        <v>221.21092636870011</v>
      </c>
      <c r="H98" s="122">
        <f t="shared" si="70"/>
        <v>176.47828873527413</v>
      </c>
      <c r="I98" s="215">
        <f>155800/1.1827*(10^-3/(33.33*10^-3))/30</f>
        <v>131.74565110184815</v>
      </c>
      <c r="J98" s="215">
        <f>(50000)/1.1827*(10^-3/(33.33*10^-3))/30</f>
        <v>42.2803758349962</v>
      </c>
      <c r="K98" s="122">
        <f t="shared" si="68"/>
        <v>42.2803758349962</v>
      </c>
      <c r="L98" s="215">
        <f>(50000)/1.1827*(10^-3/(33.33*10^-3))/30</f>
        <v>42.2803758349962</v>
      </c>
      <c r="M98" s="122">
        <f t="shared" si="71"/>
        <v>42.2803758349962</v>
      </c>
      <c r="N98" s="106">
        <f t="shared" si="72"/>
        <v>5.9668195604276617</v>
      </c>
      <c r="O98" s="107">
        <f t="shared" si="73"/>
        <v>4.760226461243322</v>
      </c>
      <c r="P98" s="107">
        <f t="shared" si="73"/>
        <v>3.5536333620589819</v>
      </c>
      <c r="Q98" s="107">
        <f t="shared" si="73"/>
        <v>1.1404471636903024</v>
      </c>
      <c r="R98" s="107">
        <f t="shared" si="73"/>
        <v>1.1404471636903024</v>
      </c>
      <c r="S98" s="107">
        <f t="shared" si="73"/>
        <v>1.1404471636903024</v>
      </c>
      <c r="T98" s="107">
        <f t="shared" si="73"/>
        <v>1.1404471636903024</v>
      </c>
      <c r="U98" s="216"/>
      <c r="V98" s="214"/>
      <c r="W98" s="214"/>
      <c r="X98" s="214"/>
      <c r="Y98" s="215"/>
      <c r="Z98" s="214"/>
      <c r="AA98" s="215"/>
      <c r="AB98" s="216"/>
      <c r="AC98" s="214"/>
      <c r="AD98" s="214"/>
      <c r="AE98" s="214"/>
      <c r="AF98" s="660"/>
      <c r="AG98" s="660"/>
      <c r="AH98" s="660"/>
      <c r="AI98" s="736">
        <f t="shared" si="74"/>
        <v>49</v>
      </c>
      <c r="AJ98" s="306">
        <f t="shared" si="75"/>
        <v>50.5</v>
      </c>
      <c r="AK98" s="214">
        <v>52</v>
      </c>
      <c r="AL98" s="214">
        <v>55</v>
      </c>
      <c r="AM98" s="386">
        <f t="shared" si="76"/>
        <v>56</v>
      </c>
      <c r="AN98" s="660">
        <v>57</v>
      </c>
      <c r="AO98" s="386">
        <f t="shared" si="77"/>
        <v>59</v>
      </c>
      <c r="AP98" s="216"/>
      <c r="AQ98" s="27"/>
      <c r="AR98" s="116" t="s">
        <v>437</v>
      </c>
    </row>
    <row r="99" spans="1:44" ht="14.25" customHeight="1" x14ac:dyDescent="0.3">
      <c r="A99" s="917"/>
      <c r="B99" s="217" t="s">
        <v>267</v>
      </c>
      <c r="C99" s="222"/>
      <c r="D99" s="218"/>
      <c r="E99" s="218"/>
      <c r="F99" s="223"/>
      <c r="G99" s="219">
        <f>MIN(G94:G98)</f>
        <v>32.841789777159534</v>
      </c>
      <c r="H99" s="220">
        <f t="shared" ref="H99:T99" si="78">MIN(H94:H98)</f>
        <v>31.500007573564304</v>
      </c>
      <c r="I99" s="220">
        <f t="shared" si="78"/>
        <v>29.841879469880251</v>
      </c>
      <c r="J99" s="220">
        <f t="shared" si="78"/>
        <v>22.381630922231821</v>
      </c>
      <c r="K99" s="220">
        <f t="shared" si="78"/>
        <v>18.651506648407608</v>
      </c>
      <c r="L99" s="220">
        <f t="shared" si="78"/>
        <v>14.921382374583393</v>
      </c>
      <c r="M99" s="220">
        <f t="shared" si="78"/>
        <v>14.92</v>
      </c>
      <c r="N99" s="219">
        <f t="shared" si="78"/>
        <v>1.7717120655712415</v>
      </c>
      <c r="O99" s="220">
        <f t="shared" si="78"/>
        <v>1.6993271031313517</v>
      </c>
      <c r="P99" s="220">
        <f t="shared" si="78"/>
        <v>1.6098762666363537</v>
      </c>
      <c r="Q99" s="220">
        <f t="shared" si="78"/>
        <v>0.79831301458321169</v>
      </c>
      <c r="R99" s="220">
        <f t="shared" si="78"/>
        <v>0.79831301458321169</v>
      </c>
      <c r="S99" s="220">
        <f t="shared" si="78"/>
        <v>0.79831301458321169</v>
      </c>
      <c r="T99" s="220">
        <f t="shared" si="78"/>
        <v>0.79831301458321169</v>
      </c>
      <c r="U99" s="222"/>
      <c r="V99" s="218"/>
      <c r="W99" s="218"/>
      <c r="X99" s="218"/>
      <c r="Y99" s="220"/>
      <c r="Z99" s="218"/>
      <c r="AA99" s="220"/>
      <c r="AB99" s="222">
        <f t="shared" ref="AB99:AO99" si="79">MIN(AB94:AB98)</f>
        <v>20</v>
      </c>
      <c r="AC99" s="218">
        <f t="shared" si="79"/>
        <v>20</v>
      </c>
      <c r="AD99" s="218">
        <f t="shared" si="79"/>
        <v>20</v>
      </c>
      <c r="AE99" s="218">
        <f t="shared" si="79"/>
        <v>20</v>
      </c>
      <c r="AF99" s="490">
        <f t="shared" si="79"/>
        <v>20</v>
      </c>
      <c r="AG99" s="490">
        <f t="shared" si="79"/>
        <v>20</v>
      </c>
      <c r="AH99" s="490">
        <f t="shared" si="79"/>
        <v>20</v>
      </c>
      <c r="AI99" s="222">
        <f t="shared" si="79"/>
        <v>49</v>
      </c>
      <c r="AJ99" s="218">
        <f t="shared" si="79"/>
        <v>50.5</v>
      </c>
      <c r="AK99" s="218">
        <f t="shared" si="79"/>
        <v>52</v>
      </c>
      <c r="AL99" s="218">
        <f t="shared" si="79"/>
        <v>55</v>
      </c>
      <c r="AM99" s="490">
        <f t="shared" si="79"/>
        <v>56</v>
      </c>
      <c r="AN99" s="490">
        <f t="shared" si="79"/>
        <v>57</v>
      </c>
      <c r="AO99" s="490">
        <f t="shared" si="79"/>
        <v>59</v>
      </c>
      <c r="AP99" s="222"/>
      <c r="AQ99" s="223"/>
      <c r="AR99" s="104"/>
    </row>
    <row r="100" spans="1:44" ht="14.25" customHeight="1" x14ac:dyDescent="0.3">
      <c r="A100" s="917"/>
      <c r="B100" s="224" t="s">
        <v>268</v>
      </c>
      <c r="C100" s="229"/>
      <c r="D100" s="225"/>
      <c r="E100" s="225"/>
      <c r="F100" s="230"/>
      <c r="G100" s="226">
        <f>MEDIAN(G94:G98)</f>
        <v>33.158135677248353</v>
      </c>
      <c r="H100" s="227">
        <f t="shared" ref="H100:T100" si="80">MEDIAN(H94:H98)</f>
        <v>78.188295945925717</v>
      </c>
      <c r="I100" s="227">
        <f t="shared" si="80"/>
        <v>62.53187277422662</v>
      </c>
      <c r="J100" s="227">
        <f t="shared" si="80"/>
        <v>31.219026430828436</v>
      </c>
      <c r="K100" s="227">
        <f t="shared" si="80"/>
        <v>31.21813154224867</v>
      </c>
      <c r="L100" s="227">
        <f t="shared" si="80"/>
        <v>31.219026430828436</v>
      </c>
      <c r="M100" s="227">
        <f t="shared" si="80"/>
        <v>31.220816207987966</v>
      </c>
      <c r="N100" s="226">
        <f t="shared" si="80"/>
        <v>1.7887779396263497</v>
      </c>
      <c r="O100" s="227">
        <f t="shared" si="80"/>
        <v>2.5519352942207836</v>
      </c>
      <c r="P100" s="227">
        <f t="shared" si="80"/>
        <v>2.1296277095062646</v>
      </c>
      <c r="Q100" s="227">
        <f t="shared" si="80"/>
        <v>1.1739331515906242</v>
      </c>
      <c r="R100" s="227">
        <f t="shared" si="80"/>
        <v>1.0733188698042722</v>
      </c>
      <c r="S100" s="227">
        <f t="shared" si="80"/>
        <v>0.97270458801792026</v>
      </c>
      <c r="T100" s="227">
        <f t="shared" si="80"/>
        <v>0.97022358184515123</v>
      </c>
      <c r="U100" s="229"/>
      <c r="V100" s="225"/>
      <c r="W100" s="225"/>
      <c r="X100" s="225"/>
      <c r="Y100" s="227"/>
      <c r="Z100" s="225"/>
      <c r="AA100" s="227"/>
      <c r="AB100" s="229">
        <f t="shared" ref="AB100:AO100" si="81">MEDIAN(AB94:AB98)</f>
        <v>25</v>
      </c>
      <c r="AC100" s="225">
        <f t="shared" si="81"/>
        <v>25</v>
      </c>
      <c r="AD100" s="225">
        <f t="shared" si="81"/>
        <v>25</v>
      </c>
      <c r="AE100" s="225">
        <f t="shared" si="81"/>
        <v>25</v>
      </c>
      <c r="AF100" s="494">
        <f t="shared" si="81"/>
        <v>25</v>
      </c>
      <c r="AG100" s="494">
        <f t="shared" si="81"/>
        <v>25</v>
      </c>
      <c r="AH100" s="494">
        <f t="shared" si="81"/>
        <v>25</v>
      </c>
      <c r="AI100" s="229">
        <f t="shared" si="81"/>
        <v>49</v>
      </c>
      <c r="AJ100" s="225">
        <f t="shared" si="81"/>
        <v>50.5</v>
      </c>
      <c r="AK100" s="225">
        <f t="shared" si="81"/>
        <v>52</v>
      </c>
      <c r="AL100" s="225">
        <f t="shared" si="81"/>
        <v>55</v>
      </c>
      <c r="AM100" s="494">
        <f t="shared" si="81"/>
        <v>56</v>
      </c>
      <c r="AN100" s="494">
        <f t="shared" si="81"/>
        <v>57</v>
      </c>
      <c r="AO100" s="494">
        <f t="shared" si="81"/>
        <v>59</v>
      </c>
      <c r="AP100" s="229"/>
      <c r="AQ100" s="230"/>
      <c r="AR100" s="104"/>
    </row>
    <row r="101" spans="1:44" ht="14.25" customHeight="1" x14ac:dyDescent="0.3">
      <c r="A101" s="917"/>
      <c r="B101" s="231" t="s">
        <v>269</v>
      </c>
      <c r="C101" s="234"/>
      <c r="D101" s="232"/>
      <c r="E101" s="232"/>
      <c r="F101" s="235"/>
      <c r="G101" s="599">
        <f>MAX(G94:G98)</f>
        <v>221.21092636870011</v>
      </c>
      <c r="H101" s="233">
        <f t="shared" ref="H101:T101" si="82">MAX(H94:H98)</f>
        <v>176.47828873527413</v>
      </c>
      <c r="I101" s="233">
        <f t="shared" si="82"/>
        <v>131.74565110184815</v>
      </c>
      <c r="J101" s="233">
        <f t="shared" si="82"/>
        <v>42.2803758349962</v>
      </c>
      <c r="K101" s="233">
        <f t="shared" si="82"/>
        <v>42.2803758349962</v>
      </c>
      <c r="L101" s="233">
        <f t="shared" si="82"/>
        <v>42.2803758349962</v>
      </c>
      <c r="M101" s="233">
        <f t="shared" si="82"/>
        <v>42.2803758349962</v>
      </c>
      <c r="N101" s="599">
        <f t="shared" si="82"/>
        <v>5.9668195604276617</v>
      </c>
      <c r="O101" s="233">
        <f t="shared" si="82"/>
        <v>4.760226461243322</v>
      </c>
      <c r="P101" s="233">
        <f t="shared" si="82"/>
        <v>3.5536333620589819</v>
      </c>
      <c r="Q101" s="233">
        <f t="shared" si="82"/>
        <v>1.7717120655712415</v>
      </c>
      <c r="R101" s="233">
        <f t="shared" si="82"/>
        <v>1.7717120655712415</v>
      </c>
      <c r="S101" s="233">
        <f t="shared" si="82"/>
        <v>1.7717120655712415</v>
      </c>
      <c r="T101" s="233">
        <f t="shared" si="82"/>
        <v>1.7717120655712415</v>
      </c>
      <c r="U101" s="234"/>
      <c r="V101" s="232"/>
      <c r="W101" s="232"/>
      <c r="X101" s="232"/>
      <c r="Y101" s="233"/>
      <c r="Z101" s="232"/>
      <c r="AA101" s="233"/>
      <c r="AB101" s="234">
        <f t="shared" ref="AB101:AO101" si="83">MAX(AB94:AB98)</f>
        <v>30</v>
      </c>
      <c r="AC101" s="232">
        <f t="shared" si="83"/>
        <v>30</v>
      </c>
      <c r="AD101" s="232">
        <f t="shared" si="83"/>
        <v>30</v>
      </c>
      <c r="AE101" s="232">
        <f t="shared" si="83"/>
        <v>30</v>
      </c>
      <c r="AF101" s="498">
        <f t="shared" si="83"/>
        <v>30</v>
      </c>
      <c r="AG101" s="498">
        <f t="shared" si="83"/>
        <v>30</v>
      </c>
      <c r="AH101" s="498">
        <f t="shared" si="83"/>
        <v>30</v>
      </c>
      <c r="AI101" s="234">
        <f t="shared" si="83"/>
        <v>49</v>
      </c>
      <c r="AJ101" s="232">
        <f t="shared" si="83"/>
        <v>50.5</v>
      </c>
      <c r="AK101" s="232">
        <f t="shared" si="83"/>
        <v>52</v>
      </c>
      <c r="AL101" s="232">
        <f t="shared" si="83"/>
        <v>55</v>
      </c>
      <c r="AM101" s="498">
        <f t="shared" si="83"/>
        <v>56</v>
      </c>
      <c r="AN101" s="498">
        <f t="shared" si="83"/>
        <v>57</v>
      </c>
      <c r="AO101" s="498">
        <f t="shared" si="83"/>
        <v>59</v>
      </c>
      <c r="AP101" s="234"/>
      <c r="AQ101" s="235"/>
      <c r="AR101" s="104"/>
    </row>
    <row r="102" spans="1:44" ht="14.25" customHeight="1" x14ac:dyDescent="0.3">
      <c r="A102" s="917"/>
      <c r="B102" s="967" t="s">
        <v>85</v>
      </c>
      <c r="C102" s="737">
        <v>4</v>
      </c>
      <c r="D102" s="623" t="s">
        <v>31</v>
      </c>
      <c r="E102" s="623">
        <v>2022</v>
      </c>
      <c r="F102" s="280" t="s">
        <v>19</v>
      </c>
      <c r="G102" s="508">
        <f t="shared" ref="G102:L102" si="84">(31700578.34/75000)*(1/1000)*(1/(2*10^-3))*(1/30)</f>
        <v>7.0445729644444439</v>
      </c>
      <c r="H102" s="281">
        <f t="shared" si="84"/>
        <v>7.0445729644444439</v>
      </c>
      <c r="I102" s="281">
        <f t="shared" si="84"/>
        <v>7.0445729644444439</v>
      </c>
      <c r="J102" s="281">
        <f t="shared" si="84"/>
        <v>7.0445729644444439</v>
      </c>
      <c r="K102" s="281">
        <f t="shared" si="84"/>
        <v>7.0445729644444439</v>
      </c>
      <c r="L102" s="281">
        <f t="shared" si="84"/>
        <v>7.0445729644444439</v>
      </c>
      <c r="M102" s="93">
        <f t="shared" ref="M102:M104" si="85">K102+((L102-K102)/(2050-2045))*(2060-2045)</f>
        <v>7.0445729644444439</v>
      </c>
      <c r="N102" s="508">
        <f>G102*0.05*$AW$3</f>
        <v>0.47504090834383034</v>
      </c>
      <c r="O102" s="281">
        <f>H102*0.05*$AW$3</f>
        <v>0.47504090834383034</v>
      </c>
      <c r="P102" s="281">
        <f>I102*0.05*$AW$3</f>
        <v>0.47504090834383034</v>
      </c>
      <c r="Q102" s="281">
        <f>J102*0.05*$AW$3</f>
        <v>0.47504090834383034</v>
      </c>
      <c r="R102" s="93">
        <f>Q102+((S102-Q102)/(2050-2040))*(2045-2040)</f>
        <v>0.47504090834383034</v>
      </c>
      <c r="S102" s="281">
        <f>L102*0.05*$AW$3</f>
        <v>0.47504090834383034</v>
      </c>
      <c r="T102" s="93">
        <f>R102+((S102-R102)/(2050-2045))*(2060-2045)</f>
        <v>0.47504090834383034</v>
      </c>
      <c r="U102" s="278"/>
      <c r="V102" s="279"/>
      <c r="W102" s="279"/>
      <c r="X102" s="279"/>
      <c r="Y102" s="281"/>
      <c r="Z102" s="279"/>
      <c r="AA102" s="281"/>
      <c r="AB102" s="278">
        <v>15</v>
      </c>
      <c r="AC102" s="279">
        <v>15</v>
      </c>
      <c r="AD102" s="279">
        <v>15</v>
      </c>
      <c r="AE102" s="279">
        <v>15</v>
      </c>
      <c r="AF102" s="101">
        <f>AE102+((AG102-AE102)/(2050-2040))*(2045-2040)</f>
        <v>15</v>
      </c>
      <c r="AG102" s="625">
        <v>15</v>
      </c>
      <c r="AH102" s="101">
        <f>AF102+((AG102-AF102)/(2050-2045))*(2060-2045)</f>
        <v>15</v>
      </c>
      <c r="AI102" s="278"/>
      <c r="AJ102" s="279"/>
      <c r="AK102" s="279"/>
      <c r="AL102" s="279"/>
      <c r="AM102" s="625"/>
      <c r="AN102" s="625"/>
      <c r="AO102" s="625"/>
      <c r="AP102" s="278"/>
      <c r="AQ102" s="7"/>
      <c r="AR102" s="104"/>
    </row>
    <row r="103" spans="1:44" ht="14.25" customHeight="1" x14ac:dyDescent="0.3">
      <c r="A103" s="917"/>
      <c r="B103" s="955"/>
      <c r="C103" s="738">
        <v>11</v>
      </c>
      <c r="D103" s="626" t="s">
        <v>57</v>
      </c>
      <c r="E103" s="626">
        <v>2022</v>
      </c>
      <c r="F103" s="291" t="s">
        <v>19</v>
      </c>
      <c r="G103" s="106">
        <f t="shared" ref="G103:G104" si="86">H103+((I103-H103)/(2030-2025))*(2020-2025)</f>
        <v>30.410642315605525</v>
      </c>
      <c r="H103" s="107">
        <f t="shared" ref="H103:H104" si="87">I103+((J103-I103)/(2040-2030))*(2025-2030)</f>
        <v>24.92178912657478</v>
      </c>
      <c r="I103" s="282">
        <f>(1379/1.1827)*(1/1000)*(1/(2*10^-3))*(1/30)</f>
        <v>19.432935937544034</v>
      </c>
      <c r="J103" s="282">
        <f>((600)/1.1827)*(1/1000)*(1/(2*10^-3))*(1/30)</f>
        <v>8.4552295594825395</v>
      </c>
      <c r="K103" s="107">
        <f t="shared" ref="K103:K104" si="88">J103+((L103-J103)/(2050-2040))*(2045-2040)</f>
        <v>8.4552295594825395</v>
      </c>
      <c r="L103" s="282">
        <f>((600)/1.1827)*(1/1000)*(1/(2*10^-3))*(1/30)</f>
        <v>8.4552295594825395</v>
      </c>
      <c r="M103" s="107">
        <f t="shared" si="85"/>
        <v>8.4552295594825395</v>
      </c>
      <c r="N103" s="106">
        <f t="shared" ref="N103:N104" si="89">G103*0.02*$AW$3</f>
        <v>0.82027962358191575</v>
      </c>
      <c r="O103" s="107">
        <f t="shared" ref="O103:T104" si="90">H103*0.02*$AW$3</f>
        <v>0.67222637363513349</v>
      </c>
      <c r="P103" s="107">
        <f t="shared" si="90"/>
        <v>0.52417312368835123</v>
      </c>
      <c r="Q103" s="107">
        <f t="shared" si="90"/>
        <v>0.22806662379478665</v>
      </c>
      <c r="R103" s="107">
        <f t="shared" si="90"/>
        <v>0.22806662379478665</v>
      </c>
      <c r="S103" s="107">
        <f t="shared" si="90"/>
        <v>0.22806662379478665</v>
      </c>
      <c r="T103" s="107">
        <f t="shared" si="90"/>
        <v>0.22806662379478665</v>
      </c>
      <c r="U103" s="289"/>
      <c r="V103" s="290"/>
      <c r="W103" s="290"/>
      <c r="X103" s="290"/>
      <c r="Y103" s="282"/>
      <c r="Z103" s="290"/>
      <c r="AA103" s="282"/>
      <c r="AB103" s="289"/>
      <c r="AC103" s="290"/>
      <c r="AD103" s="290"/>
      <c r="AE103" s="290"/>
      <c r="AF103" s="288"/>
      <c r="AG103" s="288"/>
      <c r="AH103" s="288"/>
      <c r="AI103" s="733">
        <f t="shared" ref="AI103:AI104" si="91">AJ103+((AK103-AJ103)/(2030-2025))*(2020-2025)</f>
        <v>37</v>
      </c>
      <c r="AJ103" s="297">
        <f t="shared" ref="AJ103:AJ104" si="92">AK103+((AL103-AK103)/(2040-2030))*(2025-2030)</f>
        <v>38.5</v>
      </c>
      <c r="AK103" s="290">
        <v>40</v>
      </c>
      <c r="AL103" s="290">
        <v>43</v>
      </c>
      <c r="AM103" s="377">
        <f t="shared" ref="AM103:AM104" si="93">AL103+((AN103-AL103)/(2050-2040))*(2045-2040)</f>
        <v>44.5</v>
      </c>
      <c r="AN103" s="288">
        <v>46</v>
      </c>
      <c r="AO103" s="378">
        <f t="shared" ref="AO103:AO104" si="94">AM103+((AN103-AM103)/(2050-2045))*(2060-2045)</f>
        <v>49</v>
      </c>
      <c r="AP103" s="289"/>
      <c r="AQ103" s="11"/>
      <c r="AR103" s="116" t="s">
        <v>436</v>
      </c>
    </row>
    <row r="104" spans="1:44" ht="14.25" customHeight="1" x14ac:dyDescent="0.3">
      <c r="A104" s="917"/>
      <c r="B104" s="968"/>
      <c r="C104" s="739">
        <v>11</v>
      </c>
      <c r="D104" s="651" t="s">
        <v>57</v>
      </c>
      <c r="E104" s="651">
        <v>2022</v>
      </c>
      <c r="F104" s="301" t="s">
        <v>19</v>
      </c>
      <c r="G104" s="607">
        <f t="shared" si="86"/>
        <v>45.601871424142502</v>
      </c>
      <c r="H104" s="122">
        <f t="shared" si="87"/>
        <v>37.372114652912828</v>
      </c>
      <c r="I104" s="302">
        <f>(2068/1.1827)*(1/1000)*(1/(2*10^-3))*(1/30)</f>
        <v>29.142357881683154</v>
      </c>
      <c r="J104" s="302">
        <f>((900)/1.1827)*(1/1000)*(1/(2*10^-3))*(1/30)</f>
        <v>12.682844339223811</v>
      </c>
      <c r="K104" s="122">
        <f t="shared" si="88"/>
        <v>12.682844339223811</v>
      </c>
      <c r="L104" s="302">
        <f>((900)/1.1827)*(1/1000)*(1/(2*10^-3))*(1/30)</f>
        <v>12.682844339223811</v>
      </c>
      <c r="M104" s="122">
        <f t="shared" si="85"/>
        <v>12.682844339223811</v>
      </c>
      <c r="N104" s="106">
        <f t="shared" si="89"/>
        <v>1.2300393243332162</v>
      </c>
      <c r="O104" s="107">
        <f t="shared" si="90"/>
        <v>1.0080544771729572</v>
      </c>
      <c r="P104" s="107">
        <f t="shared" si="90"/>
        <v>0.78606963001269814</v>
      </c>
      <c r="Q104" s="107">
        <f t="shared" si="90"/>
        <v>0.34209993569218006</v>
      </c>
      <c r="R104" s="107">
        <f t="shared" si="90"/>
        <v>0.34209993569218006</v>
      </c>
      <c r="S104" s="107">
        <f t="shared" si="90"/>
        <v>0.34209993569218006</v>
      </c>
      <c r="T104" s="107">
        <f t="shared" si="90"/>
        <v>0.34209993569218006</v>
      </c>
      <c r="U104" s="299"/>
      <c r="V104" s="300"/>
      <c r="W104" s="300"/>
      <c r="X104" s="300"/>
      <c r="Y104" s="302"/>
      <c r="Z104" s="300"/>
      <c r="AA104" s="302"/>
      <c r="AB104" s="299"/>
      <c r="AC104" s="300"/>
      <c r="AD104" s="300"/>
      <c r="AE104" s="300"/>
      <c r="AF104" s="308"/>
      <c r="AG104" s="308"/>
      <c r="AH104" s="308"/>
      <c r="AI104" s="736">
        <f t="shared" si="91"/>
        <v>37</v>
      </c>
      <c r="AJ104" s="306">
        <f t="shared" si="92"/>
        <v>38.5</v>
      </c>
      <c r="AK104" s="300">
        <v>40</v>
      </c>
      <c r="AL104" s="300">
        <v>43</v>
      </c>
      <c r="AM104" s="712">
        <f t="shared" si="93"/>
        <v>44.5</v>
      </c>
      <c r="AN104" s="308">
        <v>46</v>
      </c>
      <c r="AO104" s="386">
        <f t="shared" si="94"/>
        <v>49</v>
      </c>
      <c r="AP104" s="299"/>
      <c r="AQ104" s="18"/>
      <c r="AR104" s="116" t="s">
        <v>437</v>
      </c>
    </row>
    <row r="105" spans="1:44" ht="14.25" customHeight="1" x14ac:dyDescent="0.3">
      <c r="A105" s="917"/>
      <c r="B105" s="310" t="s">
        <v>267</v>
      </c>
      <c r="C105" s="317"/>
      <c r="D105" s="318"/>
      <c r="E105" s="318"/>
      <c r="F105" s="321"/>
      <c r="G105" s="312">
        <f>MIN(G102:G104)</f>
        <v>7.0445729644444439</v>
      </c>
      <c r="H105" s="313">
        <f t="shared" ref="H105:T105" si="95">MIN(H102:H104)</f>
        <v>7.0445729644444439</v>
      </c>
      <c r="I105" s="313">
        <f t="shared" si="95"/>
        <v>7.0445729644444439</v>
      </c>
      <c r="J105" s="313">
        <f t="shared" si="95"/>
        <v>7.0445729644444439</v>
      </c>
      <c r="K105" s="313">
        <f t="shared" si="95"/>
        <v>7.0445729644444439</v>
      </c>
      <c r="L105" s="313">
        <f t="shared" si="95"/>
        <v>7.0445729644444439</v>
      </c>
      <c r="M105" s="313">
        <f t="shared" si="95"/>
        <v>7.0445729644444439</v>
      </c>
      <c r="N105" s="312">
        <f t="shared" si="95"/>
        <v>0.47504090834383034</v>
      </c>
      <c r="O105" s="313">
        <f t="shared" si="95"/>
        <v>0.47504090834383034</v>
      </c>
      <c r="P105" s="313">
        <f t="shared" si="95"/>
        <v>0.47504090834383034</v>
      </c>
      <c r="Q105" s="313">
        <f t="shared" si="95"/>
        <v>0.22806662379478665</v>
      </c>
      <c r="R105" s="313">
        <f t="shared" si="95"/>
        <v>0.22806662379478665</v>
      </c>
      <c r="S105" s="313">
        <f t="shared" si="95"/>
        <v>0.22806662379478665</v>
      </c>
      <c r="T105" s="313">
        <f t="shared" si="95"/>
        <v>0.22806662379478665</v>
      </c>
      <c r="U105" s="317"/>
      <c r="V105" s="318"/>
      <c r="W105" s="318"/>
      <c r="X105" s="318"/>
      <c r="Y105" s="313"/>
      <c r="Z105" s="318"/>
      <c r="AA105" s="313"/>
      <c r="AB105" s="317">
        <f t="shared" ref="AB105:AO105" si="96">MIN(AB102:AB104)</f>
        <v>15</v>
      </c>
      <c r="AC105" s="318">
        <f t="shared" si="96"/>
        <v>15</v>
      </c>
      <c r="AD105" s="318">
        <f t="shared" si="96"/>
        <v>15</v>
      </c>
      <c r="AE105" s="318">
        <f t="shared" si="96"/>
        <v>15</v>
      </c>
      <c r="AF105" s="319">
        <f t="shared" si="96"/>
        <v>15</v>
      </c>
      <c r="AG105" s="319">
        <f t="shared" si="96"/>
        <v>15</v>
      </c>
      <c r="AH105" s="319">
        <f t="shared" si="96"/>
        <v>15</v>
      </c>
      <c r="AI105" s="317">
        <f t="shared" si="96"/>
        <v>37</v>
      </c>
      <c r="AJ105" s="318">
        <f t="shared" si="96"/>
        <v>38.5</v>
      </c>
      <c r="AK105" s="318">
        <f t="shared" si="96"/>
        <v>40</v>
      </c>
      <c r="AL105" s="318">
        <f t="shared" si="96"/>
        <v>43</v>
      </c>
      <c r="AM105" s="740">
        <f t="shared" si="96"/>
        <v>44.5</v>
      </c>
      <c r="AN105" s="319">
        <f t="shared" si="96"/>
        <v>46</v>
      </c>
      <c r="AO105" s="319">
        <f t="shared" si="96"/>
        <v>49</v>
      </c>
      <c r="AP105" s="317"/>
      <c r="AQ105" s="321"/>
      <c r="AR105" s="104"/>
    </row>
    <row r="106" spans="1:44" ht="14.25" customHeight="1" x14ac:dyDescent="0.3">
      <c r="A106" s="917"/>
      <c r="B106" s="322" t="s">
        <v>268</v>
      </c>
      <c r="C106" s="328"/>
      <c r="D106" s="311"/>
      <c r="E106" s="311"/>
      <c r="F106" s="331"/>
      <c r="G106" s="323">
        <f>MEDIAN(G102:G104)</f>
        <v>30.410642315605525</v>
      </c>
      <c r="H106" s="324">
        <f t="shared" ref="H106:T106" si="97">MEDIAN(H102:H104)</f>
        <v>24.92178912657478</v>
      </c>
      <c r="I106" s="324">
        <f t="shared" si="97"/>
        <v>19.432935937544034</v>
      </c>
      <c r="J106" s="324">
        <f t="shared" si="97"/>
        <v>8.4552295594825395</v>
      </c>
      <c r="K106" s="324">
        <f t="shared" si="97"/>
        <v>8.4552295594825395</v>
      </c>
      <c r="L106" s="324">
        <f t="shared" si="97"/>
        <v>8.4552295594825395</v>
      </c>
      <c r="M106" s="324">
        <f t="shared" si="97"/>
        <v>8.4552295594825395</v>
      </c>
      <c r="N106" s="323">
        <f t="shared" si="97"/>
        <v>0.82027962358191575</v>
      </c>
      <c r="O106" s="324">
        <f t="shared" si="97"/>
        <v>0.67222637363513349</v>
      </c>
      <c r="P106" s="324">
        <f t="shared" si="97"/>
        <v>0.52417312368835123</v>
      </c>
      <c r="Q106" s="324">
        <f t="shared" si="97"/>
        <v>0.34209993569218006</v>
      </c>
      <c r="R106" s="324">
        <f t="shared" si="97"/>
        <v>0.34209993569218006</v>
      </c>
      <c r="S106" s="324">
        <f t="shared" si="97"/>
        <v>0.34209993569218006</v>
      </c>
      <c r="T106" s="324">
        <f t="shared" si="97"/>
        <v>0.34209993569218006</v>
      </c>
      <c r="U106" s="328"/>
      <c r="V106" s="311"/>
      <c r="W106" s="311"/>
      <c r="X106" s="311"/>
      <c r="Y106" s="324"/>
      <c r="Z106" s="311"/>
      <c r="AA106" s="324"/>
      <c r="AB106" s="328">
        <f t="shared" ref="AB106:AO106" si="98">MEDIAN(AB102:AB104)</f>
        <v>15</v>
      </c>
      <c r="AC106" s="311">
        <f t="shared" si="98"/>
        <v>15</v>
      </c>
      <c r="AD106" s="311">
        <f t="shared" si="98"/>
        <v>15</v>
      </c>
      <c r="AE106" s="311">
        <f t="shared" si="98"/>
        <v>15</v>
      </c>
      <c r="AF106" s="329">
        <f t="shared" si="98"/>
        <v>15</v>
      </c>
      <c r="AG106" s="329">
        <f t="shared" si="98"/>
        <v>15</v>
      </c>
      <c r="AH106" s="329">
        <f t="shared" si="98"/>
        <v>15</v>
      </c>
      <c r="AI106" s="328">
        <f t="shared" si="98"/>
        <v>37</v>
      </c>
      <c r="AJ106" s="311">
        <f t="shared" si="98"/>
        <v>38.5</v>
      </c>
      <c r="AK106" s="311">
        <f t="shared" si="98"/>
        <v>40</v>
      </c>
      <c r="AL106" s="311">
        <f t="shared" si="98"/>
        <v>43</v>
      </c>
      <c r="AM106" s="741">
        <f t="shared" si="98"/>
        <v>44.5</v>
      </c>
      <c r="AN106" s="329">
        <f t="shared" si="98"/>
        <v>46</v>
      </c>
      <c r="AO106" s="329">
        <f t="shared" si="98"/>
        <v>49</v>
      </c>
      <c r="AP106" s="328"/>
      <c r="AQ106" s="331"/>
      <c r="AR106" s="104"/>
    </row>
    <row r="107" spans="1:44" ht="14.25" customHeight="1" x14ac:dyDescent="0.3">
      <c r="A107" s="917"/>
      <c r="B107" s="332" t="s">
        <v>269</v>
      </c>
      <c r="C107" s="339"/>
      <c r="D107" s="333"/>
      <c r="E107" s="333"/>
      <c r="F107" s="342"/>
      <c r="G107" s="334">
        <f>MAX(G102:G104)</f>
        <v>45.601871424142502</v>
      </c>
      <c r="H107" s="335">
        <f t="shared" ref="H107:T107" si="99">MAX(H102:H104)</f>
        <v>37.372114652912828</v>
      </c>
      <c r="I107" s="335">
        <f t="shared" si="99"/>
        <v>29.142357881683154</v>
      </c>
      <c r="J107" s="335">
        <f t="shared" si="99"/>
        <v>12.682844339223811</v>
      </c>
      <c r="K107" s="335">
        <f t="shared" si="99"/>
        <v>12.682844339223811</v>
      </c>
      <c r="L107" s="335">
        <f t="shared" si="99"/>
        <v>12.682844339223811</v>
      </c>
      <c r="M107" s="335">
        <f t="shared" si="99"/>
        <v>12.682844339223811</v>
      </c>
      <c r="N107" s="334">
        <f t="shared" si="99"/>
        <v>1.2300393243332162</v>
      </c>
      <c r="O107" s="335">
        <f t="shared" si="99"/>
        <v>1.0080544771729572</v>
      </c>
      <c r="P107" s="335">
        <f t="shared" si="99"/>
        <v>0.78606963001269814</v>
      </c>
      <c r="Q107" s="335">
        <f t="shared" si="99"/>
        <v>0.47504090834383034</v>
      </c>
      <c r="R107" s="335">
        <f t="shared" si="99"/>
        <v>0.47504090834383034</v>
      </c>
      <c r="S107" s="335">
        <f t="shared" si="99"/>
        <v>0.47504090834383034</v>
      </c>
      <c r="T107" s="335">
        <f t="shared" si="99"/>
        <v>0.47504090834383034</v>
      </c>
      <c r="U107" s="339"/>
      <c r="V107" s="333"/>
      <c r="W107" s="333"/>
      <c r="X107" s="333"/>
      <c r="Y107" s="335"/>
      <c r="Z107" s="333"/>
      <c r="AA107" s="335"/>
      <c r="AB107" s="339">
        <f t="shared" ref="AB107:AO107" si="100">MAX(AB102:AB104)</f>
        <v>15</v>
      </c>
      <c r="AC107" s="333">
        <f t="shared" si="100"/>
        <v>15</v>
      </c>
      <c r="AD107" s="333">
        <f t="shared" si="100"/>
        <v>15</v>
      </c>
      <c r="AE107" s="333">
        <f t="shared" si="100"/>
        <v>15</v>
      </c>
      <c r="AF107" s="340">
        <f t="shared" si="100"/>
        <v>15</v>
      </c>
      <c r="AG107" s="340">
        <f t="shared" si="100"/>
        <v>15</v>
      </c>
      <c r="AH107" s="340">
        <f t="shared" si="100"/>
        <v>15</v>
      </c>
      <c r="AI107" s="339">
        <f t="shared" si="100"/>
        <v>37</v>
      </c>
      <c r="AJ107" s="333">
        <f t="shared" si="100"/>
        <v>38.5</v>
      </c>
      <c r="AK107" s="333">
        <f t="shared" si="100"/>
        <v>40</v>
      </c>
      <c r="AL107" s="333">
        <f t="shared" si="100"/>
        <v>43</v>
      </c>
      <c r="AM107" s="742">
        <f t="shared" si="100"/>
        <v>44.5</v>
      </c>
      <c r="AN107" s="340">
        <f t="shared" si="100"/>
        <v>46</v>
      </c>
      <c r="AO107" s="340">
        <f t="shared" si="100"/>
        <v>49</v>
      </c>
      <c r="AP107" s="339"/>
      <c r="AQ107" s="342"/>
      <c r="AR107" s="104"/>
    </row>
    <row r="108" spans="1:44" ht="14.25" customHeight="1" x14ac:dyDescent="0.3">
      <c r="A108" s="917"/>
      <c r="B108" s="919" t="s">
        <v>438</v>
      </c>
      <c r="C108" s="247">
        <v>4</v>
      </c>
      <c r="D108" s="243" t="s">
        <v>31</v>
      </c>
      <c r="E108" s="243">
        <v>2022</v>
      </c>
      <c r="F108" s="710" t="s">
        <v>19</v>
      </c>
      <c r="G108" s="244">
        <f>74461941.34/53000*(10^-3/(5.2*10^-3))/30</f>
        <v>9.0060403168843717</v>
      </c>
      <c r="H108" s="245">
        <f t="shared" ref="H108:L108" si="101">74461941.34/53000*(10^-3/(5.2*10^-3))/30</f>
        <v>9.0060403168843717</v>
      </c>
      <c r="I108" s="245">
        <f t="shared" si="101"/>
        <v>9.0060403168843717</v>
      </c>
      <c r="J108" s="245">
        <f t="shared" si="101"/>
        <v>9.0060403168843717</v>
      </c>
      <c r="K108" s="245">
        <v>9.01</v>
      </c>
      <c r="L108" s="245">
        <f t="shared" si="101"/>
        <v>9.0060403168843717</v>
      </c>
      <c r="M108" s="93">
        <f t="shared" ref="M108:M110" si="102">K108+((L108-K108)/(2050-2045))*(2060-2045)</f>
        <v>8.9981209506531155</v>
      </c>
      <c r="N108" s="244">
        <f>G108*0.04*$AW$3</f>
        <v>0.48584776897701465</v>
      </c>
      <c r="O108" s="245">
        <f t="shared" ref="O108:Q108" si="103">H108*0.04*$AW$3</f>
        <v>0.48584776897701465</v>
      </c>
      <c r="P108" s="245">
        <f t="shared" si="103"/>
        <v>0.48584776897701465</v>
      </c>
      <c r="Q108" s="245">
        <f t="shared" si="103"/>
        <v>0.48584776897701465</v>
      </c>
      <c r="R108" s="93">
        <f>Q108+((S108-Q108)/(2050-2040))*(2045-2040)</f>
        <v>0.48584776897701465</v>
      </c>
      <c r="S108" s="245">
        <f>L108*0.04*$AW$3</f>
        <v>0.48584776897701465</v>
      </c>
      <c r="T108" s="93">
        <f>R108+((S108-R108)/(2050-2045))*(2060-2045)</f>
        <v>0.48584776897701465</v>
      </c>
      <c r="U108" s="247"/>
      <c r="V108" s="243"/>
      <c r="W108" s="243"/>
      <c r="X108" s="243"/>
      <c r="Y108" s="245"/>
      <c r="Z108" s="243"/>
      <c r="AA108" s="245"/>
      <c r="AB108" s="247">
        <v>20</v>
      </c>
      <c r="AC108" s="243">
        <v>20</v>
      </c>
      <c r="AD108" s="243">
        <v>20</v>
      </c>
      <c r="AE108" s="243">
        <v>20</v>
      </c>
      <c r="AF108" s="101">
        <f>AE108+((AG108-AE108)/(2050-2040))*(2045-2040)</f>
        <v>20</v>
      </c>
      <c r="AG108" s="669">
        <v>20</v>
      </c>
      <c r="AH108" s="101">
        <f>AF108+((AG108-AF108)/(2050-2045))*(2060-2045)</f>
        <v>20</v>
      </c>
      <c r="AI108" s="247"/>
      <c r="AJ108" s="243"/>
      <c r="AK108" s="243"/>
      <c r="AL108" s="243"/>
      <c r="AM108" s="669"/>
      <c r="AN108" s="669"/>
      <c r="AO108" s="669"/>
      <c r="AP108" s="247"/>
      <c r="AQ108" s="33"/>
      <c r="AR108" s="104"/>
    </row>
    <row r="109" spans="1:44" ht="14.25" customHeight="1" x14ac:dyDescent="0.3">
      <c r="A109" s="917"/>
      <c r="B109" s="970"/>
      <c r="C109" s="743">
        <v>11</v>
      </c>
      <c r="D109" s="744" t="s">
        <v>57</v>
      </c>
      <c r="E109" s="744">
        <v>2022</v>
      </c>
      <c r="F109" s="710" t="s">
        <v>19</v>
      </c>
      <c r="G109" s="106">
        <f t="shared" ref="G109:G110" si="104">H109+((I109-H109)/(2030-2025))*(2020-2025)</f>
        <v>24.639406139363853</v>
      </c>
      <c r="H109" s="107">
        <f t="shared" ref="H109:H110" si="105">I109+((J109-I109)/(2040-2030))*(2025-2030)</f>
        <v>19.699058867909795</v>
      </c>
      <c r="I109" s="245">
        <f>2723/1.1827*(10^-3/(5.2*10^-3))/30</f>
        <v>14.758711596455736</v>
      </c>
      <c r="J109" s="245">
        <f>(900)/1.1827*(10^-3/(5.2*10^-3))/30</f>
        <v>4.8780170535476186</v>
      </c>
      <c r="K109" s="107">
        <f t="shared" ref="K109:K110" si="106">J109+((L109-J109)/(2050-2040))*(2045-2040)</f>
        <v>4.8780170535476186</v>
      </c>
      <c r="L109" s="245">
        <f>(900)/1.1827*(10^-3/(5.2*10^-3))/30</f>
        <v>4.8780170535476186</v>
      </c>
      <c r="M109" s="107">
        <f t="shared" si="102"/>
        <v>4.8780170535476186</v>
      </c>
      <c r="N109" s="106">
        <f t="shared" ref="N109:N110" si="107">G109*0.02*$AW$3</f>
        <v>0.66460953318660243</v>
      </c>
      <c r="O109" s="107">
        <f t="shared" ref="O109:T110" si="108">H109*0.02*$AW$3</f>
        <v>0.53135137447573833</v>
      </c>
      <c r="P109" s="107">
        <f t="shared" si="108"/>
        <v>0.39809321576487428</v>
      </c>
      <c r="Q109" s="107">
        <f t="shared" si="108"/>
        <v>0.13157689834314615</v>
      </c>
      <c r="R109" s="107">
        <f t="shared" si="108"/>
        <v>0.13157689834314615</v>
      </c>
      <c r="S109" s="107">
        <f t="shared" si="108"/>
        <v>0.13157689834314615</v>
      </c>
      <c r="T109" s="107">
        <f t="shared" si="108"/>
        <v>0.13157689834314615</v>
      </c>
      <c r="U109" s="247"/>
      <c r="V109" s="243"/>
      <c r="W109" s="243"/>
      <c r="X109" s="243"/>
      <c r="Y109" s="245"/>
      <c r="Z109" s="243"/>
      <c r="AA109" s="245"/>
      <c r="AB109" s="247"/>
      <c r="AC109" s="243"/>
      <c r="AD109" s="243"/>
      <c r="AE109" s="243"/>
      <c r="AF109" s="669"/>
      <c r="AG109" s="669"/>
      <c r="AH109" s="669"/>
      <c r="AI109" s="733">
        <f t="shared" ref="AI109:AI110" si="109">AJ109+((AK109-AJ109)/(2030-2025))*(2020-2025)</f>
        <v>44</v>
      </c>
      <c r="AJ109" s="297">
        <f t="shared" ref="AJ109:AJ110" si="110">AK109+((AL109-AK109)/(2040-2030))*(2025-2030)</f>
        <v>45.5</v>
      </c>
      <c r="AK109" s="243">
        <v>47</v>
      </c>
      <c r="AL109" s="243">
        <v>50</v>
      </c>
      <c r="AM109" s="378">
        <f t="shared" ref="AM109:AM110" si="111">AL109+((AN109-AL109)/(2050-2040))*(2045-2040)</f>
        <v>51</v>
      </c>
      <c r="AN109" s="669">
        <v>52</v>
      </c>
      <c r="AO109" s="378">
        <f t="shared" ref="AO109:AO110" si="112">AM109+((AN109-AM109)/(2050-2045))*(2060-2045)</f>
        <v>54</v>
      </c>
      <c r="AP109" s="247"/>
      <c r="AQ109" s="33"/>
      <c r="AR109" s="116" t="s">
        <v>436</v>
      </c>
    </row>
    <row r="110" spans="1:44" ht="14.25" customHeight="1" x14ac:dyDescent="0.3">
      <c r="A110" s="917"/>
      <c r="B110" s="971"/>
      <c r="C110" s="743">
        <v>11</v>
      </c>
      <c r="D110" s="744" t="s">
        <v>57</v>
      </c>
      <c r="E110" s="744">
        <v>2022</v>
      </c>
      <c r="F110" s="710" t="s">
        <v>19</v>
      </c>
      <c r="G110" s="106">
        <f t="shared" si="104"/>
        <v>47.902127465837609</v>
      </c>
      <c r="H110" s="107">
        <f t="shared" si="105"/>
        <v>38.297853889297187</v>
      </c>
      <c r="I110" s="245">
        <f>5294/1.1827*(10^-3/(5.2*10^-3))/30</f>
        <v>28.693580312756765</v>
      </c>
      <c r="J110" s="245">
        <f>(1750)/1.1827*(10^-3/(5.2*10^-3))/30</f>
        <v>9.4850331596759254</v>
      </c>
      <c r="K110" s="122">
        <f t="shared" si="106"/>
        <v>9.4850331596759254</v>
      </c>
      <c r="L110" s="245">
        <f>(1750)/1.1827*(10^-3/(5.2*10^-3))/30</f>
        <v>9.4850331596759254</v>
      </c>
      <c r="M110" s="122">
        <f t="shared" si="102"/>
        <v>9.4850331596759254</v>
      </c>
      <c r="N110" s="106">
        <f t="shared" si="107"/>
        <v>1.2920851417296948</v>
      </c>
      <c r="O110" s="107">
        <f t="shared" si="108"/>
        <v>1.0330248485474116</v>
      </c>
      <c r="P110" s="107">
        <f t="shared" si="108"/>
        <v>0.77396455536512843</v>
      </c>
      <c r="Q110" s="107">
        <f t="shared" si="108"/>
        <v>0.25584396900056194</v>
      </c>
      <c r="R110" s="107">
        <f t="shared" si="108"/>
        <v>0.25584396900056194</v>
      </c>
      <c r="S110" s="107">
        <f t="shared" si="108"/>
        <v>0.25584396900056194</v>
      </c>
      <c r="T110" s="107">
        <f t="shared" si="108"/>
        <v>0.25584396900056194</v>
      </c>
      <c r="U110" s="247"/>
      <c r="V110" s="243"/>
      <c r="W110" s="243"/>
      <c r="X110" s="243"/>
      <c r="Y110" s="245"/>
      <c r="Z110" s="243"/>
      <c r="AA110" s="245"/>
      <c r="AB110" s="247"/>
      <c r="AC110" s="243"/>
      <c r="AD110" s="243"/>
      <c r="AE110" s="243"/>
      <c r="AF110" s="669"/>
      <c r="AG110" s="669"/>
      <c r="AH110" s="669"/>
      <c r="AI110" s="733">
        <f t="shared" si="109"/>
        <v>44</v>
      </c>
      <c r="AJ110" s="297">
        <f t="shared" si="110"/>
        <v>45.5</v>
      </c>
      <c r="AK110" s="243">
        <v>47</v>
      </c>
      <c r="AL110" s="243">
        <v>50</v>
      </c>
      <c r="AM110" s="386">
        <f t="shared" si="111"/>
        <v>51</v>
      </c>
      <c r="AN110" s="669">
        <v>52</v>
      </c>
      <c r="AO110" s="386">
        <f t="shared" si="112"/>
        <v>54</v>
      </c>
      <c r="AP110" s="247"/>
      <c r="AQ110" s="33"/>
      <c r="AR110" s="116" t="s">
        <v>437</v>
      </c>
    </row>
    <row r="111" spans="1:44" ht="14.25" customHeight="1" x14ac:dyDescent="0.3">
      <c r="A111" s="917"/>
      <c r="B111" s="251" t="s">
        <v>267</v>
      </c>
      <c r="C111" s="256"/>
      <c r="D111" s="252"/>
      <c r="E111" s="252"/>
      <c r="F111" s="259"/>
      <c r="G111" s="253">
        <f>MIN(G108:G110)</f>
        <v>9.0060403168843717</v>
      </c>
      <c r="H111" s="254">
        <f t="shared" ref="H111:T111" si="113">MIN(H108:H110)</f>
        <v>9.0060403168843717</v>
      </c>
      <c r="I111" s="254">
        <f t="shared" si="113"/>
        <v>9.0060403168843717</v>
      </c>
      <c r="J111" s="254">
        <f t="shared" si="113"/>
        <v>4.8780170535476186</v>
      </c>
      <c r="K111" s="254">
        <f t="shared" si="113"/>
        <v>4.8780170535476186</v>
      </c>
      <c r="L111" s="254">
        <f t="shared" si="113"/>
        <v>4.8780170535476186</v>
      </c>
      <c r="M111" s="254">
        <f t="shared" si="113"/>
        <v>4.8780170535476186</v>
      </c>
      <c r="N111" s="253">
        <f t="shared" si="113"/>
        <v>0.48584776897701465</v>
      </c>
      <c r="O111" s="254">
        <f t="shared" si="113"/>
        <v>0.48584776897701465</v>
      </c>
      <c r="P111" s="254">
        <f t="shared" si="113"/>
        <v>0.39809321576487428</v>
      </c>
      <c r="Q111" s="254">
        <f t="shared" si="113"/>
        <v>0.13157689834314615</v>
      </c>
      <c r="R111" s="254">
        <f t="shared" si="113"/>
        <v>0.13157689834314615</v>
      </c>
      <c r="S111" s="254">
        <f t="shared" si="113"/>
        <v>0.13157689834314615</v>
      </c>
      <c r="T111" s="254">
        <f t="shared" si="113"/>
        <v>0.13157689834314615</v>
      </c>
      <c r="U111" s="256"/>
      <c r="V111" s="252"/>
      <c r="W111" s="252"/>
      <c r="X111" s="252"/>
      <c r="Y111" s="254"/>
      <c r="Z111" s="252"/>
      <c r="AA111" s="254"/>
      <c r="AB111" s="256">
        <f t="shared" ref="AB111:AO111" si="114">MIN(AB108:AB110)</f>
        <v>20</v>
      </c>
      <c r="AC111" s="252">
        <f t="shared" si="114"/>
        <v>20</v>
      </c>
      <c r="AD111" s="252">
        <f t="shared" si="114"/>
        <v>20</v>
      </c>
      <c r="AE111" s="252">
        <f t="shared" si="114"/>
        <v>20</v>
      </c>
      <c r="AF111" s="257">
        <f t="shared" si="114"/>
        <v>20</v>
      </c>
      <c r="AG111" s="257">
        <f t="shared" si="114"/>
        <v>20</v>
      </c>
      <c r="AH111" s="257">
        <f t="shared" si="114"/>
        <v>20</v>
      </c>
      <c r="AI111" s="256">
        <f t="shared" si="114"/>
        <v>44</v>
      </c>
      <c r="AJ111" s="252">
        <f t="shared" si="114"/>
        <v>45.5</v>
      </c>
      <c r="AK111" s="252">
        <f t="shared" si="114"/>
        <v>47</v>
      </c>
      <c r="AL111" s="252">
        <f t="shared" si="114"/>
        <v>50</v>
      </c>
      <c r="AM111" s="257">
        <f t="shared" si="114"/>
        <v>51</v>
      </c>
      <c r="AN111" s="257">
        <f t="shared" si="114"/>
        <v>52</v>
      </c>
      <c r="AO111" s="257">
        <f t="shared" si="114"/>
        <v>54</v>
      </c>
      <c r="AP111" s="256"/>
      <c r="AQ111" s="259"/>
      <c r="AR111" s="104"/>
    </row>
    <row r="112" spans="1:44" ht="14.25" customHeight="1" x14ac:dyDescent="0.3">
      <c r="A112" s="917"/>
      <c r="B112" s="260" t="s">
        <v>268</v>
      </c>
      <c r="C112" s="265"/>
      <c r="D112" s="261"/>
      <c r="E112" s="261"/>
      <c r="F112" s="268"/>
      <c r="G112" s="262">
        <f>MEDIAN(G108:G110)</f>
        <v>24.639406139363853</v>
      </c>
      <c r="H112" s="263">
        <f t="shared" ref="H112:T112" si="115">MEDIAN(H108:H110)</f>
        <v>19.699058867909795</v>
      </c>
      <c r="I112" s="263">
        <f t="shared" si="115"/>
        <v>14.758711596455736</v>
      </c>
      <c r="J112" s="263">
        <f t="shared" si="115"/>
        <v>9.0060403168843717</v>
      </c>
      <c r="K112" s="263">
        <f t="shared" si="115"/>
        <v>9.01</v>
      </c>
      <c r="L112" s="263">
        <f t="shared" si="115"/>
        <v>9.0060403168843717</v>
      </c>
      <c r="M112" s="263">
        <f t="shared" si="115"/>
        <v>8.9981209506531155</v>
      </c>
      <c r="N112" s="262">
        <f t="shared" si="115"/>
        <v>0.66460953318660243</v>
      </c>
      <c r="O112" s="263">
        <f t="shared" si="115"/>
        <v>0.53135137447573833</v>
      </c>
      <c r="P112" s="263">
        <f t="shared" si="115"/>
        <v>0.48584776897701465</v>
      </c>
      <c r="Q112" s="263">
        <f t="shared" si="115"/>
        <v>0.25584396900056194</v>
      </c>
      <c r="R112" s="263">
        <f t="shared" si="115"/>
        <v>0.25584396900056194</v>
      </c>
      <c r="S112" s="263">
        <f t="shared" si="115"/>
        <v>0.25584396900056194</v>
      </c>
      <c r="T112" s="263">
        <f t="shared" si="115"/>
        <v>0.25584396900056194</v>
      </c>
      <c r="U112" s="265"/>
      <c r="V112" s="261"/>
      <c r="W112" s="261"/>
      <c r="X112" s="261"/>
      <c r="Y112" s="263"/>
      <c r="Z112" s="261"/>
      <c r="AA112" s="263"/>
      <c r="AB112" s="265">
        <f t="shared" ref="AB112:AO112" si="116">MEDIAN(AB108:AB110)</f>
        <v>20</v>
      </c>
      <c r="AC112" s="261">
        <f t="shared" si="116"/>
        <v>20</v>
      </c>
      <c r="AD112" s="261">
        <f t="shared" si="116"/>
        <v>20</v>
      </c>
      <c r="AE112" s="261">
        <f t="shared" si="116"/>
        <v>20</v>
      </c>
      <c r="AF112" s="266">
        <f t="shared" si="116"/>
        <v>20</v>
      </c>
      <c r="AG112" s="266">
        <f t="shared" si="116"/>
        <v>20</v>
      </c>
      <c r="AH112" s="266">
        <f t="shared" si="116"/>
        <v>20</v>
      </c>
      <c r="AI112" s="265">
        <f t="shared" si="116"/>
        <v>44</v>
      </c>
      <c r="AJ112" s="261">
        <f t="shared" si="116"/>
        <v>45.5</v>
      </c>
      <c r="AK112" s="261">
        <f t="shared" si="116"/>
        <v>47</v>
      </c>
      <c r="AL112" s="261">
        <f t="shared" si="116"/>
        <v>50</v>
      </c>
      <c r="AM112" s="261">
        <f t="shared" si="116"/>
        <v>51</v>
      </c>
      <c r="AN112" s="261">
        <f t="shared" si="116"/>
        <v>52</v>
      </c>
      <c r="AO112" s="261">
        <f t="shared" si="116"/>
        <v>54</v>
      </c>
      <c r="AP112" s="265"/>
      <c r="AQ112" s="268"/>
      <c r="AR112" s="104"/>
    </row>
    <row r="113" spans="1:49" ht="14.25" customHeight="1" x14ac:dyDescent="0.3">
      <c r="A113" s="958"/>
      <c r="B113" s="269" t="s">
        <v>269</v>
      </c>
      <c r="C113" s="273"/>
      <c r="D113" s="274"/>
      <c r="E113" s="274"/>
      <c r="F113" s="277"/>
      <c r="G113" s="270">
        <f>MAX(G108:G110)</f>
        <v>47.902127465837609</v>
      </c>
      <c r="H113" s="271">
        <f t="shared" ref="H113:T113" si="117">MAX(H108:H110)</f>
        <v>38.297853889297187</v>
      </c>
      <c r="I113" s="271">
        <f t="shared" si="117"/>
        <v>28.693580312756765</v>
      </c>
      <c r="J113" s="271">
        <f t="shared" si="117"/>
        <v>9.4850331596759254</v>
      </c>
      <c r="K113" s="271">
        <f t="shared" si="117"/>
        <v>9.4850331596759254</v>
      </c>
      <c r="L113" s="271">
        <f t="shared" si="117"/>
        <v>9.4850331596759254</v>
      </c>
      <c r="M113" s="271">
        <f t="shared" si="117"/>
        <v>9.4850331596759254</v>
      </c>
      <c r="N113" s="270">
        <f t="shared" si="117"/>
        <v>1.2920851417296948</v>
      </c>
      <c r="O113" s="271">
        <f t="shared" si="117"/>
        <v>1.0330248485474116</v>
      </c>
      <c r="P113" s="271">
        <f t="shared" si="117"/>
        <v>0.77396455536512843</v>
      </c>
      <c r="Q113" s="271">
        <f t="shared" si="117"/>
        <v>0.48584776897701465</v>
      </c>
      <c r="R113" s="271">
        <f t="shared" si="117"/>
        <v>0.48584776897701465</v>
      </c>
      <c r="S113" s="271">
        <f t="shared" si="117"/>
        <v>0.48584776897701465</v>
      </c>
      <c r="T113" s="271">
        <f t="shared" si="117"/>
        <v>0.48584776897701465</v>
      </c>
      <c r="U113" s="273"/>
      <c r="V113" s="274"/>
      <c r="W113" s="274"/>
      <c r="X113" s="274"/>
      <c r="Y113" s="271"/>
      <c r="Z113" s="274"/>
      <c r="AA113" s="271"/>
      <c r="AB113" s="273">
        <f t="shared" ref="AB113:AO113" si="118">MAX(AB108:AB110)</f>
        <v>20</v>
      </c>
      <c r="AC113" s="274">
        <f t="shared" si="118"/>
        <v>20</v>
      </c>
      <c r="AD113" s="274">
        <f t="shared" si="118"/>
        <v>20</v>
      </c>
      <c r="AE113" s="274">
        <f t="shared" si="118"/>
        <v>20</v>
      </c>
      <c r="AF113" s="275">
        <f t="shared" si="118"/>
        <v>20</v>
      </c>
      <c r="AG113" s="275">
        <f t="shared" si="118"/>
        <v>20</v>
      </c>
      <c r="AH113" s="275">
        <f t="shared" si="118"/>
        <v>20</v>
      </c>
      <c r="AI113" s="273">
        <f t="shared" si="118"/>
        <v>44</v>
      </c>
      <c r="AJ113" s="274">
        <f t="shared" si="118"/>
        <v>45.5</v>
      </c>
      <c r="AK113" s="274">
        <f t="shared" si="118"/>
        <v>47</v>
      </c>
      <c r="AL113" s="274">
        <f t="shared" si="118"/>
        <v>50</v>
      </c>
      <c r="AM113" s="274">
        <f t="shared" si="118"/>
        <v>51</v>
      </c>
      <c r="AN113" s="274">
        <f t="shared" si="118"/>
        <v>52</v>
      </c>
      <c r="AO113" s="274">
        <f t="shared" si="118"/>
        <v>54</v>
      </c>
      <c r="AP113" s="273"/>
      <c r="AQ113" s="277"/>
      <c r="AR113" s="104"/>
    </row>
    <row r="114" spans="1:49" ht="14.25" customHeight="1" x14ac:dyDescent="0.3">
      <c r="A114" s="632"/>
      <c r="B114" s="632"/>
      <c r="C114" s="445"/>
      <c r="D114" s="439"/>
      <c r="E114" s="439"/>
      <c r="F114" s="446"/>
      <c r="G114" s="440"/>
      <c r="H114" s="441"/>
      <c r="I114" s="441"/>
      <c r="J114" s="441"/>
      <c r="K114" s="441"/>
      <c r="L114" s="441"/>
      <c r="M114" s="441"/>
      <c r="N114" s="440"/>
      <c r="O114" s="441"/>
      <c r="P114" s="441"/>
      <c r="Q114" s="441"/>
      <c r="R114" s="441"/>
      <c r="S114" s="441"/>
      <c r="T114" s="441"/>
      <c r="U114" s="445"/>
      <c r="V114" s="439"/>
      <c r="W114" s="439"/>
      <c r="X114" s="439"/>
      <c r="Y114" s="441"/>
      <c r="Z114" s="439"/>
      <c r="AA114" s="441"/>
      <c r="AB114" s="445"/>
      <c r="AC114" s="439"/>
      <c r="AD114" s="439"/>
      <c r="AE114" s="439"/>
      <c r="AF114" s="680"/>
      <c r="AG114" s="680"/>
      <c r="AH114" s="680"/>
      <c r="AI114" s="445"/>
      <c r="AJ114" s="439"/>
      <c r="AK114" s="439"/>
      <c r="AL114" s="439"/>
      <c r="AM114" s="439"/>
      <c r="AN114" s="439"/>
      <c r="AO114" s="439"/>
      <c r="AP114" s="445"/>
      <c r="AQ114" s="446"/>
      <c r="AR114" s="635"/>
      <c r="AS114" s="635"/>
      <c r="AT114" s="635"/>
      <c r="AU114" s="635"/>
    </row>
    <row r="115" spans="1:49" ht="14.25" customHeight="1" x14ac:dyDescent="0.3">
      <c r="A115" s="959" t="s">
        <v>132</v>
      </c>
      <c r="B115" s="947" t="s">
        <v>1</v>
      </c>
      <c r="C115" s="949" t="s">
        <v>246</v>
      </c>
      <c r="D115" s="950"/>
      <c r="E115" s="950"/>
      <c r="F115" s="951"/>
      <c r="G115" s="949" t="s">
        <v>418</v>
      </c>
      <c r="H115" s="950"/>
      <c r="I115" s="950"/>
      <c r="J115" s="950"/>
      <c r="K115" s="950"/>
      <c r="L115" s="950"/>
      <c r="M115" s="951"/>
      <c r="N115" s="914" t="s">
        <v>419</v>
      </c>
      <c r="O115" s="915"/>
      <c r="P115" s="915"/>
      <c r="Q115" s="915"/>
      <c r="R115" s="915"/>
      <c r="S115" s="915"/>
      <c r="T115" s="916"/>
      <c r="U115" s="914" t="s">
        <v>249</v>
      </c>
      <c r="V115" s="915"/>
      <c r="W115" s="915"/>
      <c r="X115" s="915"/>
      <c r="Y115" s="915"/>
      <c r="Z115" s="915"/>
      <c r="AA115" s="916"/>
      <c r="AB115" s="914" t="s">
        <v>250</v>
      </c>
      <c r="AC115" s="915"/>
      <c r="AD115" s="915"/>
      <c r="AE115" s="915"/>
      <c r="AF115" s="915"/>
      <c r="AG115" s="915"/>
      <c r="AH115" s="916"/>
      <c r="AI115" s="914" t="s">
        <v>251</v>
      </c>
      <c r="AJ115" s="915"/>
      <c r="AK115" s="915"/>
      <c r="AL115" s="915"/>
      <c r="AM115" s="915"/>
      <c r="AN115" s="915"/>
      <c r="AO115" s="916"/>
      <c r="AP115" s="914" t="s">
        <v>252</v>
      </c>
      <c r="AQ115" s="916"/>
      <c r="AR115" s="962" t="s">
        <v>253</v>
      </c>
    </row>
    <row r="116" spans="1:49" ht="14.25" customHeight="1" x14ac:dyDescent="0.3">
      <c r="A116" s="960"/>
      <c r="B116" s="963"/>
      <c r="C116" s="86" t="s">
        <v>254</v>
      </c>
      <c r="D116" s="87" t="s">
        <v>255</v>
      </c>
      <c r="E116" s="85" t="s">
        <v>256</v>
      </c>
      <c r="F116" s="622" t="s">
        <v>19</v>
      </c>
      <c r="G116" s="86">
        <v>2020</v>
      </c>
      <c r="H116" s="87">
        <v>2025</v>
      </c>
      <c r="I116" s="87">
        <v>2030</v>
      </c>
      <c r="J116" s="87">
        <v>2040</v>
      </c>
      <c r="K116" s="87">
        <v>2045</v>
      </c>
      <c r="L116" s="87">
        <v>2050</v>
      </c>
      <c r="M116" s="87">
        <v>2060</v>
      </c>
      <c r="N116" s="86">
        <v>2020</v>
      </c>
      <c r="O116" s="87">
        <v>2025</v>
      </c>
      <c r="P116" s="87">
        <v>2030</v>
      </c>
      <c r="Q116" s="87">
        <v>2040</v>
      </c>
      <c r="R116" s="87">
        <v>2045</v>
      </c>
      <c r="S116" s="87">
        <v>2050</v>
      </c>
      <c r="T116" s="87">
        <v>2060</v>
      </c>
      <c r="U116" s="86">
        <v>2020</v>
      </c>
      <c r="V116" s="87">
        <v>2025</v>
      </c>
      <c r="W116" s="87">
        <v>2030</v>
      </c>
      <c r="X116" s="87">
        <v>2040</v>
      </c>
      <c r="Y116" s="87">
        <v>2045</v>
      </c>
      <c r="Z116" s="87">
        <v>2050</v>
      </c>
      <c r="AA116" s="87">
        <v>2060</v>
      </c>
      <c r="AB116" s="86">
        <v>2020</v>
      </c>
      <c r="AC116" s="87">
        <v>2025</v>
      </c>
      <c r="AD116" s="87">
        <v>2030</v>
      </c>
      <c r="AE116" s="87">
        <v>2040</v>
      </c>
      <c r="AF116" s="87">
        <v>2045</v>
      </c>
      <c r="AG116" s="87">
        <v>2050</v>
      </c>
      <c r="AH116" s="87">
        <v>2060</v>
      </c>
      <c r="AI116" s="86">
        <v>2020</v>
      </c>
      <c r="AJ116" s="87">
        <v>2025</v>
      </c>
      <c r="AK116" s="87">
        <v>2030</v>
      </c>
      <c r="AL116" s="87">
        <v>2040</v>
      </c>
      <c r="AM116" s="87">
        <v>2045</v>
      </c>
      <c r="AN116" s="87">
        <v>2050</v>
      </c>
      <c r="AO116" s="87">
        <v>2060</v>
      </c>
      <c r="AP116" s="86" t="s">
        <v>257</v>
      </c>
      <c r="AQ116" s="622" t="s">
        <v>258</v>
      </c>
      <c r="AR116" s="962"/>
    </row>
    <row r="117" spans="1:49" ht="14.25" customHeight="1" x14ac:dyDescent="0.3">
      <c r="A117" s="960"/>
      <c r="B117" s="1010" t="s">
        <v>420</v>
      </c>
      <c r="C117" s="687">
        <v>2</v>
      </c>
      <c r="D117" s="90" t="s">
        <v>23</v>
      </c>
      <c r="E117" s="90">
        <v>2019</v>
      </c>
      <c r="F117" s="688" t="s">
        <v>19</v>
      </c>
      <c r="G117" s="447">
        <f>1.21*10^6*(1/1.1297)*(1/(340*10^6))*(1/(1/8760))*(1/33.33)*10^3</f>
        <v>827.96526402167694</v>
      </c>
      <c r="H117" s="97"/>
      <c r="I117" s="94"/>
      <c r="J117" s="94"/>
      <c r="K117" s="94"/>
      <c r="L117" s="94"/>
      <c r="M117" s="94"/>
      <c r="N117" s="447"/>
      <c r="O117" s="94"/>
      <c r="P117" s="94"/>
      <c r="Q117" s="94"/>
      <c r="R117" s="94"/>
      <c r="S117" s="94"/>
      <c r="T117" s="94"/>
      <c r="U117" s="96"/>
      <c r="V117" s="97"/>
      <c r="W117" s="97"/>
      <c r="X117" s="97"/>
      <c r="Y117" s="94"/>
      <c r="Z117" s="97"/>
      <c r="AA117" s="94"/>
      <c r="AB117" s="96">
        <v>40</v>
      </c>
      <c r="AC117" s="97"/>
      <c r="AD117" s="97"/>
      <c r="AE117" s="97"/>
      <c r="AF117" s="94"/>
      <c r="AG117" s="97"/>
      <c r="AH117" s="94"/>
      <c r="AI117" s="96"/>
      <c r="AJ117" s="97"/>
      <c r="AK117" s="97"/>
      <c r="AL117" s="97"/>
      <c r="AM117" s="94"/>
      <c r="AN117" s="97"/>
      <c r="AO117" s="94"/>
      <c r="AP117" s="826"/>
      <c r="AQ117" s="827"/>
      <c r="AR117" s="104" t="s">
        <v>421</v>
      </c>
    </row>
    <row r="118" spans="1:49" ht="14.25" customHeight="1" x14ac:dyDescent="0.3">
      <c r="A118" s="960"/>
      <c r="B118" s="1012"/>
      <c r="C118" s="691">
        <v>1</v>
      </c>
      <c r="D118" s="120" t="s">
        <v>18</v>
      </c>
      <c r="E118" s="120">
        <v>2020</v>
      </c>
      <c r="F118" s="692" t="s">
        <v>19</v>
      </c>
      <c r="G118" s="587"/>
      <c r="H118" s="124"/>
      <c r="I118" s="121"/>
      <c r="J118" s="121"/>
      <c r="K118" s="121"/>
      <c r="L118" s="121"/>
      <c r="M118" s="121"/>
      <c r="N118" s="587"/>
      <c r="O118" s="121"/>
      <c r="P118" s="121"/>
      <c r="Q118" s="121"/>
      <c r="R118" s="121"/>
      <c r="S118" s="121"/>
      <c r="T118" s="121"/>
      <c r="U118" s="123"/>
      <c r="V118" s="124"/>
      <c r="W118" s="124"/>
      <c r="X118" s="124"/>
      <c r="Y118" s="121"/>
      <c r="Z118" s="124"/>
      <c r="AA118" s="121"/>
      <c r="AB118" s="123">
        <v>40</v>
      </c>
      <c r="AC118" s="124"/>
      <c r="AD118" s="124"/>
      <c r="AE118" s="124"/>
      <c r="AF118" s="121"/>
      <c r="AG118" s="124"/>
      <c r="AH118" s="121"/>
      <c r="AI118" s="123"/>
      <c r="AJ118" s="124"/>
      <c r="AK118" s="124"/>
      <c r="AL118" s="124"/>
      <c r="AM118" s="121"/>
      <c r="AN118" s="124"/>
      <c r="AO118" s="121"/>
      <c r="AP118" s="1017"/>
      <c r="AQ118" s="1016"/>
      <c r="AR118" s="104"/>
      <c r="AV118" s="76"/>
    </row>
    <row r="119" spans="1:49" ht="14.25" customHeight="1" x14ac:dyDescent="0.3">
      <c r="A119" s="960"/>
      <c r="B119" s="1010" t="s">
        <v>422</v>
      </c>
      <c r="C119" s="687">
        <v>12</v>
      </c>
      <c r="D119" s="90" t="s">
        <v>60</v>
      </c>
      <c r="E119" s="90">
        <v>2022</v>
      </c>
      <c r="F119" s="688" t="s">
        <v>19</v>
      </c>
      <c r="G119" s="447">
        <f t="shared" ref="G119:G148" si="119">G5</f>
        <v>1084.4865132158436</v>
      </c>
      <c r="H119" s="94"/>
      <c r="I119" s="94"/>
      <c r="J119" s="94"/>
      <c r="K119" s="94"/>
      <c r="L119" s="94"/>
      <c r="M119" s="94"/>
      <c r="N119" s="447">
        <f>1.4*10^6*0.008*$AW$4</f>
        <v>14979.095465946264</v>
      </c>
      <c r="O119" s="94"/>
      <c r="P119" s="94"/>
      <c r="Q119" s="94"/>
      <c r="R119" s="94"/>
      <c r="S119" s="94"/>
      <c r="T119" s="94"/>
      <c r="U119" s="96"/>
      <c r="V119" s="97"/>
      <c r="W119" s="97"/>
      <c r="X119" s="97"/>
      <c r="Y119" s="94"/>
      <c r="Z119" s="97"/>
      <c r="AA119" s="94"/>
      <c r="AB119" s="96"/>
      <c r="AC119" s="97"/>
      <c r="AD119" s="97"/>
      <c r="AE119" s="97"/>
      <c r="AF119" s="94"/>
      <c r="AG119" s="97"/>
      <c r="AH119" s="94"/>
      <c r="AI119" s="96"/>
      <c r="AJ119" s="97"/>
      <c r="AK119" s="97"/>
      <c r="AL119" s="97"/>
      <c r="AM119" s="94"/>
      <c r="AN119" s="97"/>
      <c r="AO119" s="94"/>
      <c r="AP119" s="1013">
        <v>0.05</v>
      </c>
      <c r="AQ119" s="827"/>
      <c r="AR119" s="104" t="s">
        <v>423</v>
      </c>
      <c r="AV119" t="s">
        <v>130</v>
      </c>
      <c r="AW119" s="76">
        <v>0.58296565349252727</v>
      </c>
    </row>
    <row r="120" spans="1:49" ht="14.25" customHeight="1" x14ac:dyDescent="0.3">
      <c r="A120" s="960"/>
      <c r="B120" s="1011"/>
      <c r="C120" s="689">
        <v>12</v>
      </c>
      <c r="D120" s="105" t="s">
        <v>60</v>
      </c>
      <c r="E120" s="105">
        <v>2022</v>
      </c>
      <c r="F120" s="690" t="s">
        <v>19</v>
      </c>
      <c r="G120" s="113">
        <f t="shared" si="119"/>
        <v>1161.9498355884039</v>
      </c>
      <c r="H120" s="111"/>
      <c r="I120" s="108"/>
      <c r="J120" s="108"/>
      <c r="K120" s="108"/>
      <c r="L120" s="108"/>
      <c r="M120" s="108"/>
      <c r="N120" s="113">
        <f>1.5*10^6*0.009*$AW$4</f>
        <v>18055.159713417368</v>
      </c>
      <c r="O120" s="108"/>
      <c r="P120" s="108"/>
      <c r="Q120" s="108"/>
      <c r="R120" s="108"/>
      <c r="S120" s="108"/>
      <c r="T120" s="108"/>
      <c r="U120" s="110"/>
      <c r="V120" s="111"/>
      <c r="W120" s="111"/>
      <c r="X120" s="111"/>
      <c r="Y120" s="108"/>
      <c r="Z120" s="111"/>
      <c r="AA120" s="108"/>
      <c r="AB120" s="110"/>
      <c r="AC120" s="111"/>
      <c r="AD120" s="111"/>
      <c r="AE120" s="111"/>
      <c r="AF120" s="108"/>
      <c r="AG120" s="111"/>
      <c r="AH120" s="108"/>
      <c r="AI120" s="110"/>
      <c r="AJ120" s="111"/>
      <c r="AK120" s="111"/>
      <c r="AL120" s="111"/>
      <c r="AM120" s="108"/>
      <c r="AN120" s="111"/>
      <c r="AO120" s="108"/>
      <c r="AP120" s="1014">
        <v>0.05</v>
      </c>
      <c r="AQ120" s="829"/>
      <c r="AR120" s="116" t="s">
        <v>424</v>
      </c>
    </row>
    <row r="121" spans="1:49" ht="14.25" customHeight="1" x14ac:dyDescent="0.3">
      <c r="A121" s="960"/>
      <c r="B121" s="1012"/>
      <c r="C121" s="691">
        <v>12</v>
      </c>
      <c r="D121" s="120" t="s">
        <v>60</v>
      </c>
      <c r="E121" s="120">
        <v>2022</v>
      </c>
      <c r="F121" s="692" t="s">
        <v>19</v>
      </c>
      <c r="G121" s="587">
        <f t="shared" si="119"/>
        <v>1394.339802706085</v>
      </c>
      <c r="H121" s="124"/>
      <c r="I121" s="121"/>
      <c r="J121" s="121"/>
      <c r="K121" s="121"/>
      <c r="L121" s="121"/>
      <c r="M121" s="121"/>
      <c r="N121" s="587">
        <f>1.8*10^6*0.01*$AW$4</f>
        <v>24073.546284556494</v>
      </c>
      <c r="O121" s="121"/>
      <c r="P121" s="121"/>
      <c r="Q121" s="121"/>
      <c r="R121" s="121"/>
      <c r="S121" s="121"/>
      <c r="T121" s="121"/>
      <c r="U121" s="123"/>
      <c r="V121" s="124"/>
      <c r="W121" s="124"/>
      <c r="X121" s="124"/>
      <c r="Y121" s="121"/>
      <c r="Z121" s="124"/>
      <c r="AA121" s="121"/>
      <c r="AB121" s="123"/>
      <c r="AC121" s="124"/>
      <c r="AD121" s="124"/>
      <c r="AE121" s="124"/>
      <c r="AF121" s="121"/>
      <c r="AG121" s="124"/>
      <c r="AH121" s="121"/>
      <c r="AI121" s="123"/>
      <c r="AJ121" s="124"/>
      <c r="AK121" s="124"/>
      <c r="AL121" s="124"/>
      <c r="AM121" s="121"/>
      <c r="AN121" s="124"/>
      <c r="AO121" s="121"/>
      <c r="AP121" s="1015">
        <v>0.05</v>
      </c>
      <c r="AQ121" s="1016"/>
      <c r="AR121" s="116" t="s">
        <v>425</v>
      </c>
    </row>
    <row r="122" spans="1:49" ht="14.25" customHeight="1" x14ac:dyDescent="0.3">
      <c r="A122" s="960"/>
      <c r="B122" s="1010" t="s">
        <v>426</v>
      </c>
      <c r="C122" s="687">
        <v>12</v>
      </c>
      <c r="D122" s="90" t="s">
        <v>60</v>
      </c>
      <c r="E122" s="90">
        <v>2022</v>
      </c>
      <c r="F122" s="688" t="s">
        <v>19</v>
      </c>
      <c r="G122" s="447">
        <f t="shared" si="119"/>
        <v>263.133445473439</v>
      </c>
      <c r="H122" s="94"/>
      <c r="I122" s="94"/>
      <c r="J122" s="94"/>
      <c r="K122" s="94"/>
      <c r="L122" s="94"/>
      <c r="M122" s="94"/>
      <c r="N122" s="447">
        <f>2*10^6*0.008*$AW$4</f>
        <v>21398.707808494662</v>
      </c>
      <c r="O122" s="94"/>
      <c r="P122" s="94"/>
      <c r="Q122" s="94"/>
      <c r="R122" s="94"/>
      <c r="S122" s="94"/>
      <c r="T122" s="94"/>
      <c r="U122" s="96"/>
      <c r="V122" s="97"/>
      <c r="W122" s="97"/>
      <c r="X122" s="97"/>
      <c r="Y122" s="94"/>
      <c r="Z122" s="97"/>
      <c r="AA122" s="94"/>
      <c r="AB122" s="96"/>
      <c r="AC122" s="97"/>
      <c r="AD122" s="97"/>
      <c r="AE122" s="97"/>
      <c r="AF122" s="94"/>
      <c r="AG122" s="97"/>
      <c r="AH122" s="94"/>
      <c r="AI122" s="96"/>
      <c r="AJ122" s="97"/>
      <c r="AK122" s="97"/>
      <c r="AL122" s="97"/>
      <c r="AM122" s="94"/>
      <c r="AN122" s="97"/>
      <c r="AO122" s="94"/>
      <c r="AP122" s="1013">
        <v>0.05</v>
      </c>
      <c r="AQ122" s="827"/>
      <c r="AR122" s="104" t="s">
        <v>423</v>
      </c>
    </row>
    <row r="123" spans="1:49" ht="14.25" customHeight="1" x14ac:dyDescent="0.3">
      <c r="A123" s="960"/>
      <c r="B123" s="1011"/>
      <c r="C123" s="689">
        <v>12</v>
      </c>
      <c r="D123" s="105" t="s">
        <v>60</v>
      </c>
      <c r="E123" s="105">
        <v>2022</v>
      </c>
      <c r="F123" s="690" t="s">
        <v>19</v>
      </c>
      <c r="G123" s="113">
        <f t="shared" si="119"/>
        <v>289.44679002078288</v>
      </c>
      <c r="H123" s="111"/>
      <c r="I123" s="108"/>
      <c r="J123" s="108"/>
      <c r="K123" s="108"/>
      <c r="L123" s="108"/>
      <c r="M123" s="108"/>
      <c r="N123" s="113">
        <f>2.2*10^6*0.009*$AW$4</f>
        <v>26480.900913012145</v>
      </c>
      <c r="O123" s="108"/>
      <c r="P123" s="108"/>
      <c r="Q123" s="108"/>
      <c r="R123" s="108"/>
      <c r="S123" s="108"/>
      <c r="T123" s="108"/>
      <c r="U123" s="110"/>
      <c r="V123" s="111"/>
      <c r="W123" s="111"/>
      <c r="X123" s="111"/>
      <c r="Y123" s="108"/>
      <c r="Z123" s="111"/>
      <c r="AA123" s="108"/>
      <c r="AB123" s="110"/>
      <c r="AC123" s="111"/>
      <c r="AD123" s="111"/>
      <c r="AE123" s="111"/>
      <c r="AF123" s="108"/>
      <c r="AG123" s="111"/>
      <c r="AH123" s="108"/>
      <c r="AI123" s="110"/>
      <c r="AJ123" s="111"/>
      <c r="AK123" s="111"/>
      <c r="AL123" s="111"/>
      <c r="AM123" s="108"/>
      <c r="AN123" s="111"/>
      <c r="AO123" s="108"/>
      <c r="AP123" s="1014">
        <v>0.05</v>
      </c>
      <c r="AQ123" s="829"/>
      <c r="AR123" s="116" t="s">
        <v>424</v>
      </c>
    </row>
    <row r="124" spans="1:49" ht="14.25" customHeight="1" x14ac:dyDescent="0.3">
      <c r="A124" s="960"/>
      <c r="B124" s="1012"/>
      <c r="C124" s="691">
        <v>12</v>
      </c>
      <c r="D124" s="120" t="s">
        <v>60</v>
      </c>
      <c r="E124" s="120">
        <v>2022</v>
      </c>
      <c r="F124" s="692" t="s">
        <v>19</v>
      </c>
      <c r="G124" s="587">
        <f t="shared" si="119"/>
        <v>355.23015138914263</v>
      </c>
      <c r="H124" s="124"/>
      <c r="I124" s="121"/>
      <c r="J124" s="121"/>
      <c r="K124" s="121"/>
      <c r="L124" s="121"/>
      <c r="M124" s="121"/>
      <c r="N124" s="587">
        <f>2.7*10^6*0.01*$AW$4</f>
        <v>36110.319426834743</v>
      </c>
      <c r="O124" s="121"/>
      <c r="P124" s="121"/>
      <c r="Q124" s="121"/>
      <c r="R124" s="121"/>
      <c r="S124" s="121"/>
      <c r="T124" s="121"/>
      <c r="U124" s="123"/>
      <c r="V124" s="124"/>
      <c r="W124" s="124"/>
      <c r="X124" s="124"/>
      <c r="Y124" s="121"/>
      <c r="Z124" s="124"/>
      <c r="AA124" s="121"/>
      <c r="AB124" s="123"/>
      <c r="AC124" s="124"/>
      <c r="AD124" s="124"/>
      <c r="AE124" s="124"/>
      <c r="AF124" s="121"/>
      <c r="AG124" s="124"/>
      <c r="AH124" s="121"/>
      <c r="AI124" s="123"/>
      <c r="AJ124" s="124"/>
      <c r="AK124" s="124"/>
      <c r="AL124" s="124"/>
      <c r="AM124" s="121"/>
      <c r="AN124" s="124"/>
      <c r="AO124" s="121"/>
      <c r="AP124" s="1015">
        <v>0.05</v>
      </c>
      <c r="AQ124" s="1016"/>
      <c r="AR124" s="116" t="s">
        <v>425</v>
      </c>
    </row>
    <row r="125" spans="1:49" ht="14.25" customHeight="1" x14ac:dyDescent="0.3">
      <c r="A125" s="960"/>
      <c r="B125" s="1010" t="s">
        <v>427</v>
      </c>
      <c r="C125" s="687">
        <v>12</v>
      </c>
      <c r="D125" s="90" t="s">
        <v>60</v>
      </c>
      <c r="E125" s="90">
        <v>2022</v>
      </c>
      <c r="F125" s="688" t="s">
        <v>19</v>
      </c>
      <c r="G125" s="447">
        <f t="shared" si="119"/>
        <v>447.32685730484621</v>
      </c>
      <c r="H125" s="94"/>
      <c r="I125" s="94"/>
      <c r="J125" s="94"/>
      <c r="K125" s="94"/>
      <c r="L125" s="94"/>
      <c r="M125" s="94"/>
      <c r="N125" s="447">
        <f>3.4*10^6*0.008*$AW$4</f>
        <v>36377.803274440928</v>
      </c>
      <c r="O125" s="94"/>
      <c r="P125" s="94"/>
      <c r="Q125" s="94"/>
      <c r="R125" s="94"/>
      <c r="S125" s="94"/>
      <c r="T125" s="94"/>
      <c r="U125" s="96"/>
      <c r="V125" s="97"/>
      <c r="W125" s="97"/>
      <c r="X125" s="97"/>
      <c r="Y125" s="94"/>
      <c r="Z125" s="97"/>
      <c r="AA125" s="94"/>
      <c r="AB125" s="96"/>
      <c r="AC125" s="97"/>
      <c r="AD125" s="97"/>
      <c r="AE125" s="97"/>
      <c r="AF125" s="94"/>
      <c r="AG125" s="97"/>
      <c r="AH125" s="94"/>
      <c r="AI125" s="96"/>
      <c r="AJ125" s="97"/>
      <c r="AK125" s="97"/>
      <c r="AL125" s="97"/>
      <c r="AM125" s="94"/>
      <c r="AN125" s="97"/>
      <c r="AO125" s="94"/>
      <c r="AP125" s="1013">
        <v>0.05</v>
      </c>
      <c r="AQ125" s="827"/>
      <c r="AR125" s="104" t="s">
        <v>423</v>
      </c>
    </row>
    <row r="126" spans="1:49" ht="14.25" customHeight="1" x14ac:dyDescent="0.3">
      <c r="A126" s="960"/>
      <c r="B126" s="1011"/>
      <c r="C126" s="689">
        <v>12</v>
      </c>
      <c r="D126" s="105" t="s">
        <v>60</v>
      </c>
      <c r="E126" s="105">
        <v>2022</v>
      </c>
      <c r="F126" s="690" t="s">
        <v>19</v>
      </c>
      <c r="G126" s="113">
        <f t="shared" si="119"/>
        <v>486.79687412586208</v>
      </c>
      <c r="H126" s="111"/>
      <c r="I126" s="108"/>
      <c r="J126" s="108"/>
      <c r="K126" s="108"/>
      <c r="L126" s="108"/>
      <c r="M126" s="108"/>
      <c r="N126" s="113">
        <f>3.7*10^6*0.009*$AW$4</f>
        <v>44536.06062642952</v>
      </c>
      <c r="O126" s="108"/>
      <c r="P126" s="108"/>
      <c r="Q126" s="108"/>
      <c r="R126" s="108"/>
      <c r="S126" s="108"/>
      <c r="T126" s="108"/>
      <c r="U126" s="110"/>
      <c r="V126" s="111"/>
      <c r="W126" s="111"/>
      <c r="X126" s="111"/>
      <c r="Y126" s="108"/>
      <c r="Z126" s="111"/>
      <c r="AA126" s="108"/>
      <c r="AB126" s="110"/>
      <c r="AC126" s="111"/>
      <c r="AD126" s="111"/>
      <c r="AE126" s="111"/>
      <c r="AF126" s="108"/>
      <c r="AG126" s="111"/>
      <c r="AH126" s="108"/>
      <c r="AI126" s="110"/>
      <c r="AJ126" s="111"/>
      <c r="AK126" s="111"/>
      <c r="AL126" s="111"/>
      <c r="AM126" s="108"/>
      <c r="AN126" s="111"/>
      <c r="AO126" s="108"/>
      <c r="AP126" s="1014">
        <v>0.05</v>
      </c>
      <c r="AQ126" s="829"/>
      <c r="AR126" s="116" t="s">
        <v>424</v>
      </c>
    </row>
    <row r="127" spans="1:49" ht="14.25" customHeight="1" x14ac:dyDescent="0.3">
      <c r="A127" s="960"/>
      <c r="B127" s="1012"/>
      <c r="C127" s="691">
        <v>12</v>
      </c>
      <c r="D127" s="120" t="s">
        <v>60</v>
      </c>
      <c r="E127" s="120">
        <v>2022</v>
      </c>
      <c r="F127" s="692" t="s">
        <v>19</v>
      </c>
      <c r="G127" s="587">
        <f t="shared" si="119"/>
        <v>605.2069245889096</v>
      </c>
      <c r="H127" s="124"/>
      <c r="I127" s="121"/>
      <c r="J127" s="121"/>
      <c r="K127" s="121"/>
      <c r="L127" s="121"/>
      <c r="M127" s="121"/>
      <c r="N127" s="587">
        <f>4.6*10^6*0.01*$AW$4</f>
        <v>61521.284949422159</v>
      </c>
      <c r="O127" s="121"/>
      <c r="P127" s="121"/>
      <c r="Q127" s="121"/>
      <c r="R127" s="121"/>
      <c r="S127" s="121"/>
      <c r="T127" s="121"/>
      <c r="U127" s="123"/>
      <c r="V127" s="124"/>
      <c r="W127" s="124"/>
      <c r="X127" s="124"/>
      <c r="Y127" s="121"/>
      <c r="Z127" s="124"/>
      <c r="AA127" s="121"/>
      <c r="AB127" s="123"/>
      <c r="AC127" s="124"/>
      <c r="AD127" s="124"/>
      <c r="AE127" s="124"/>
      <c r="AF127" s="121"/>
      <c r="AG127" s="124"/>
      <c r="AH127" s="121"/>
      <c r="AI127" s="123"/>
      <c r="AJ127" s="124"/>
      <c r="AK127" s="124"/>
      <c r="AL127" s="124"/>
      <c r="AM127" s="121"/>
      <c r="AN127" s="124"/>
      <c r="AO127" s="121"/>
      <c r="AP127" s="1015">
        <v>0.05</v>
      </c>
      <c r="AQ127" s="1016"/>
      <c r="AR127" s="116" t="s">
        <v>425</v>
      </c>
    </row>
    <row r="128" spans="1:49" ht="14.25" customHeight="1" x14ac:dyDescent="0.3">
      <c r="A128" s="960"/>
      <c r="B128" s="1010" t="s">
        <v>428</v>
      </c>
      <c r="C128" s="689">
        <v>12</v>
      </c>
      <c r="D128" s="105" t="s">
        <v>60</v>
      </c>
      <c r="E128" s="90">
        <v>2022</v>
      </c>
      <c r="F128" s="688" t="s">
        <v>19</v>
      </c>
      <c r="G128" s="113">
        <f t="shared" si="119"/>
        <v>155.46458448381892</v>
      </c>
      <c r="H128" s="108"/>
      <c r="I128" s="108"/>
      <c r="J128" s="108"/>
      <c r="K128" s="108"/>
      <c r="L128" s="108"/>
      <c r="M128" s="108"/>
      <c r="N128" s="447">
        <f>2.5*10^6*0.008*$AW$4</f>
        <v>26748.38476061833</v>
      </c>
      <c r="O128" s="108"/>
      <c r="P128" s="108"/>
      <c r="Q128" s="108"/>
      <c r="R128" s="108"/>
      <c r="S128" s="108"/>
      <c r="T128" s="108"/>
      <c r="U128" s="110"/>
      <c r="V128" s="111"/>
      <c r="W128" s="111"/>
      <c r="X128" s="111"/>
      <c r="Y128" s="108"/>
      <c r="Z128" s="111"/>
      <c r="AA128" s="108"/>
      <c r="AB128" s="110"/>
      <c r="AC128" s="111"/>
      <c r="AD128" s="111"/>
      <c r="AE128" s="111"/>
      <c r="AF128" s="108"/>
      <c r="AG128" s="111"/>
      <c r="AH128" s="108"/>
      <c r="AI128" s="110"/>
      <c r="AJ128" s="111"/>
      <c r="AK128" s="111"/>
      <c r="AL128" s="111"/>
      <c r="AM128" s="108"/>
      <c r="AN128" s="111"/>
      <c r="AO128" s="108"/>
      <c r="AP128" s="1013">
        <v>0.05</v>
      </c>
      <c r="AQ128" s="827"/>
      <c r="AR128" s="104" t="s">
        <v>423</v>
      </c>
    </row>
    <row r="129" spans="1:44" ht="14.25" customHeight="1" x14ac:dyDescent="0.3">
      <c r="A129" s="960"/>
      <c r="B129" s="1011"/>
      <c r="C129" s="689">
        <v>12</v>
      </c>
      <c r="D129" s="105" t="s">
        <v>60</v>
      </c>
      <c r="E129" s="105">
        <v>2022</v>
      </c>
      <c r="F129" s="690" t="s">
        <v>19</v>
      </c>
      <c r="G129" s="113">
        <f t="shared" si="119"/>
        <v>174.12033462187716</v>
      </c>
      <c r="H129" s="111"/>
      <c r="I129" s="108"/>
      <c r="J129" s="108"/>
      <c r="K129" s="108"/>
      <c r="L129" s="108"/>
      <c r="M129" s="108"/>
      <c r="N129" s="113">
        <f>2.8*10^6*0.009*$AW$4</f>
        <v>33702.964798379093</v>
      </c>
      <c r="O129" s="108"/>
      <c r="P129" s="108"/>
      <c r="Q129" s="108"/>
      <c r="R129" s="108"/>
      <c r="S129" s="108"/>
      <c r="T129" s="108"/>
      <c r="U129" s="110"/>
      <c r="V129" s="111"/>
      <c r="W129" s="111"/>
      <c r="X129" s="111"/>
      <c r="Y129" s="108"/>
      <c r="Z129" s="111"/>
      <c r="AA129" s="108"/>
      <c r="AB129" s="110"/>
      <c r="AC129" s="111"/>
      <c r="AD129" s="111"/>
      <c r="AE129" s="111"/>
      <c r="AF129" s="108"/>
      <c r="AG129" s="111"/>
      <c r="AH129" s="108"/>
      <c r="AI129" s="110"/>
      <c r="AJ129" s="111"/>
      <c r="AK129" s="111"/>
      <c r="AL129" s="111"/>
      <c r="AM129" s="108"/>
      <c r="AN129" s="111"/>
      <c r="AO129" s="108"/>
      <c r="AP129" s="1014">
        <v>0.05</v>
      </c>
      <c r="AQ129" s="829"/>
      <c r="AR129" s="116" t="s">
        <v>424</v>
      </c>
    </row>
    <row r="130" spans="1:44" ht="14.25" customHeight="1" x14ac:dyDescent="0.3">
      <c r="A130" s="960"/>
      <c r="B130" s="1012"/>
      <c r="C130" s="691">
        <v>12</v>
      </c>
      <c r="D130" s="120" t="s">
        <v>60</v>
      </c>
      <c r="E130" s="120">
        <v>2022</v>
      </c>
      <c r="F130" s="692" t="s">
        <v>19</v>
      </c>
      <c r="G130" s="587">
        <f t="shared" si="119"/>
        <v>211.43183489799372</v>
      </c>
      <c r="H130" s="124"/>
      <c r="I130" s="121"/>
      <c r="J130" s="121"/>
      <c r="K130" s="121"/>
      <c r="L130" s="121"/>
      <c r="M130" s="121"/>
      <c r="N130" s="587">
        <f>3.4*10^6*0.01*$AW$4</f>
        <v>45472.25409305116</v>
      </c>
      <c r="O130" s="121"/>
      <c r="P130" s="121"/>
      <c r="Q130" s="121"/>
      <c r="R130" s="121"/>
      <c r="S130" s="121"/>
      <c r="T130" s="121"/>
      <c r="U130" s="123"/>
      <c r="V130" s="124"/>
      <c r="W130" s="124"/>
      <c r="X130" s="124"/>
      <c r="Y130" s="121"/>
      <c r="Z130" s="124"/>
      <c r="AA130" s="121"/>
      <c r="AB130" s="123"/>
      <c r="AC130" s="124"/>
      <c r="AD130" s="124"/>
      <c r="AE130" s="124"/>
      <c r="AF130" s="121"/>
      <c r="AG130" s="124"/>
      <c r="AH130" s="121"/>
      <c r="AI130" s="123"/>
      <c r="AJ130" s="124"/>
      <c r="AK130" s="124"/>
      <c r="AL130" s="124"/>
      <c r="AM130" s="121"/>
      <c r="AN130" s="124"/>
      <c r="AO130" s="121"/>
      <c r="AP130" s="1015">
        <v>0.05</v>
      </c>
      <c r="AQ130" s="1016"/>
      <c r="AR130" s="116" t="s">
        <v>425</v>
      </c>
    </row>
    <row r="131" spans="1:44" ht="14.25" customHeight="1" x14ac:dyDescent="0.3">
      <c r="A131" s="960"/>
      <c r="B131" s="1010" t="s">
        <v>429</v>
      </c>
      <c r="C131" s="689">
        <v>12</v>
      </c>
      <c r="D131" s="105" t="s">
        <v>60</v>
      </c>
      <c r="E131" s="90">
        <v>2022</v>
      </c>
      <c r="F131" s="688" t="s">
        <v>19</v>
      </c>
      <c r="G131" s="113">
        <f t="shared" si="119"/>
        <v>267.39908531216849</v>
      </c>
      <c r="H131" s="108"/>
      <c r="I131" s="108"/>
      <c r="J131" s="108"/>
      <c r="K131" s="108"/>
      <c r="L131" s="108"/>
      <c r="M131" s="108"/>
      <c r="N131" s="447">
        <f>4.3*10^6*0.008*$AW$4</f>
        <v>46007.221788263523</v>
      </c>
      <c r="O131" s="108"/>
      <c r="P131" s="108"/>
      <c r="Q131" s="108"/>
      <c r="R131" s="108"/>
      <c r="S131" s="108"/>
      <c r="T131" s="108"/>
      <c r="U131" s="110"/>
      <c r="V131" s="111"/>
      <c r="W131" s="111"/>
      <c r="X131" s="111"/>
      <c r="Y131" s="108"/>
      <c r="Z131" s="111"/>
      <c r="AA131" s="108"/>
      <c r="AB131" s="110"/>
      <c r="AC131" s="111"/>
      <c r="AD131" s="111"/>
      <c r="AE131" s="111"/>
      <c r="AF131" s="108"/>
      <c r="AG131" s="111"/>
      <c r="AH131" s="108"/>
      <c r="AI131" s="110"/>
      <c r="AJ131" s="111"/>
      <c r="AK131" s="111"/>
      <c r="AL131" s="111"/>
      <c r="AM131" s="108"/>
      <c r="AN131" s="111"/>
      <c r="AO131" s="108"/>
      <c r="AP131" s="1013">
        <v>0.05</v>
      </c>
      <c r="AQ131" s="827"/>
      <c r="AR131" s="104" t="s">
        <v>423</v>
      </c>
    </row>
    <row r="132" spans="1:44" ht="14.25" customHeight="1" x14ac:dyDescent="0.3">
      <c r="A132" s="960"/>
      <c r="B132" s="1011"/>
      <c r="C132" s="689">
        <v>12</v>
      </c>
      <c r="D132" s="105" t="s">
        <v>60</v>
      </c>
      <c r="E132" s="105">
        <v>2022</v>
      </c>
      <c r="F132" s="690" t="s">
        <v>19</v>
      </c>
      <c r="G132" s="113">
        <f t="shared" si="119"/>
        <v>298.49200220893238</v>
      </c>
      <c r="H132" s="111"/>
      <c r="I132" s="108"/>
      <c r="J132" s="108"/>
      <c r="K132" s="108"/>
      <c r="L132" s="108"/>
      <c r="M132" s="108"/>
      <c r="N132" s="113">
        <f>4.8*10^6*0.009*$AW$4</f>
        <v>57776.511082935591</v>
      </c>
      <c r="O132" s="108"/>
      <c r="P132" s="108"/>
      <c r="Q132" s="108"/>
      <c r="R132" s="108"/>
      <c r="S132" s="108"/>
      <c r="T132" s="108"/>
      <c r="U132" s="110"/>
      <c r="V132" s="111"/>
      <c r="W132" s="111"/>
      <c r="X132" s="111"/>
      <c r="Y132" s="108"/>
      <c r="Z132" s="111"/>
      <c r="AA132" s="108"/>
      <c r="AB132" s="110"/>
      <c r="AC132" s="111"/>
      <c r="AD132" s="111"/>
      <c r="AE132" s="111"/>
      <c r="AF132" s="108"/>
      <c r="AG132" s="111"/>
      <c r="AH132" s="108"/>
      <c r="AI132" s="110"/>
      <c r="AJ132" s="111"/>
      <c r="AK132" s="111"/>
      <c r="AL132" s="111"/>
      <c r="AM132" s="108"/>
      <c r="AN132" s="111"/>
      <c r="AO132" s="108"/>
      <c r="AP132" s="1014">
        <v>0.05</v>
      </c>
      <c r="AQ132" s="829"/>
      <c r="AR132" s="116" t="s">
        <v>424</v>
      </c>
    </row>
    <row r="133" spans="1:44" ht="14.25" customHeight="1" x14ac:dyDescent="0.3">
      <c r="A133" s="960"/>
      <c r="B133" s="1012"/>
      <c r="C133" s="691">
        <v>12</v>
      </c>
      <c r="D133" s="120" t="s">
        <v>60</v>
      </c>
      <c r="E133" s="120">
        <v>2022</v>
      </c>
      <c r="F133" s="692" t="s">
        <v>19</v>
      </c>
      <c r="G133" s="587">
        <f t="shared" si="119"/>
        <v>360.67783600245986</v>
      </c>
      <c r="H133" s="124"/>
      <c r="I133" s="121"/>
      <c r="J133" s="121"/>
      <c r="K133" s="121"/>
      <c r="L133" s="121"/>
      <c r="M133" s="121"/>
      <c r="N133" s="587">
        <f>5.8*10^6*0.01*$AW$4</f>
        <v>77570.315805793158</v>
      </c>
      <c r="O133" s="121"/>
      <c r="P133" s="121"/>
      <c r="Q133" s="121"/>
      <c r="R133" s="121"/>
      <c r="S133" s="121"/>
      <c r="T133" s="121"/>
      <c r="U133" s="123"/>
      <c r="V133" s="124"/>
      <c r="W133" s="124"/>
      <c r="X133" s="124"/>
      <c r="Y133" s="121"/>
      <c r="Z133" s="124"/>
      <c r="AA133" s="121"/>
      <c r="AB133" s="123"/>
      <c r="AC133" s="124"/>
      <c r="AD133" s="124"/>
      <c r="AE133" s="124"/>
      <c r="AF133" s="121"/>
      <c r="AG133" s="124"/>
      <c r="AH133" s="121"/>
      <c r="AI133" s="123"/>
      <c r="AJ133" s="124"/>
      <c r="AK133" s="124"/>
      <c r="AL133" s="124"/>
      <c r="AM133" s="121"/>
      <c r="AN133" s="124"/>
      <c r="AO133" s="121"/>
      <c r="AP133" s="1015">
        <v>0.05</v>
      </c>
      <c r="AQ133" s="1016"/>
      <c r="AR133" s="116" t="s">
        <v>425</v>
      </c>
    </row>
    <row r="134" spans="1:44" ht="14.25" customHeight="1" x14ac:dyDescent="0.3">
      <c r="A134" s="960"/>
      <c r="B134" s="906" t="s">
        <v>430</v>
      </c>
      <c r="C134" s="720">
        <v>12</v>
      </c>
      <c r="D134" s="721" t="s">
        <v>60</v>
      </c>
      <c r="E134" s="721">
        <v>2022</v>
      </c>
      <c r="F134" s="722" t="s">
        <v>19</v>
      </c>
      <c r="G134" s="516">
        <f t="shared" si="119"/>
        <v>154.92664474512051</v>
      </c>
      <c r="H134" s="517"/>
      <c r="I134" s="517"/>
      <c r="J134" s="517"/>
      <c r="K134" s="517"/>
      <c r="L134" s="517"/>
      <c r="M134" s="517"/>
      <c r="N134" s="516">
        <f>0.2*10^6*0.008*$AW$4</f>
        <v>2139.8707808494664</v>
      </c>
      <c r="O134" s="517"/>
      <c r="P134" s="517"/>
      <c r="Q134" s="517"/>
      <c r="R134" s="517"/>
      <c r="S134" s="517"/>
      <c r="T134" s="517"/>
      <c r="U134" s="520"/>
      <c r="V134" s="344"/>
      <c r="W134" s="344"/>
      <c r="X134" s="344"/>
      <c r="Y134" s="517"/>
      <c r="Z134" s="344"/>
      <c r="AA134" s="517"/>
      <c r="AB134" s="520"/>
      <c r="AC134" s="344"/>
      <c r="AD134" s="344"/>
      <c r="AE134" s="344"/>
      <c r="AF134" s="517"/>
      <c r="AG134" s="344"/>
      <c r="AH134" s="517"/>
      <c r="AI134" s="520"/>
      <c r="AJ134" s="344"/>
      <c r="AK134" s="344"/>
      <c r="AL134" s="344"/>
      <c r="AM134" s="517"/>
      <c r="AN134" s="344"/>
      <c r="AO134" s="517"/>
      <c r="AP134" s="1004">
        <v>0.05</v>
      </c>
      <c r="AQ134" s="1005"/>
      <c r="AR134" s="104" t="s">
        <v>423</v>
      </c>
    </row>
    <row r="135" spans="1:44" ht="14.25" customHeight="1" x14ac:dyDescent="0.3">
      <c r="A135" s="960"/>
      <c r="B135" s="907"/>
      <c r="C135" s="723">
        <v>12</v>
      </c>
      <c r="D135" s="724" t="s">
        <v>60</v>
      </c>
      <c r="E135" s="724">
        <v>2022</v>
      </c>
      <c r="F135" s="725" t="s">
        <v>19</v>
      </c>
      <c r="G135" s="523">
        <f t="shared" si="119"/>
        <v>232.38996711768081</v>
      </c>
      <c r="H135" s="522"/>
      <c r="I135" s="524"/>
      <c r="J135" s="524"/>
      <c r="K135" s="524"/>
      <c r="L135" s="524"/>
      <c r="M135" s="524"/>
      <c r="N135" s="523">
        <f>0.3*10^6*0.009*$AW$4</f>
        <v>3611.0319426834744</v>
      </c>
      <c r="O135" s="524"/>
      <c r="P135" s="524"/>
      <c r="Q135" s="524"/>
      <c r="R135" s="524"/>
      <c r="S135" s="524"/>
      <c r="T135" s="524"/>
      <c r="U135" s="527"/>
      <c r="V135" s="522"/>
      <c r="W135" s="522"/>
      <c r="X135" s="522"/>
      <c r="Y135" s="524"/>
      <c r="Z135" s="522"/>
      <c r="AA135" s="524"/>
      <c r="AB135" s="527"/>
      <c r="AC135" s="522"/>
      <c r="AD135" s="522"/>
      <c r="AE135" s="522"/>
      <c r="AF135" s="524"/>
      <c r="AG135" s="522"/>
      <c r="AH135" s="524"/>
      <c r="AI135" s="527"/>
      <c r="AJ135" s="522"/>
      <c r="AK135" s="522"/>
      <c r="AL135" s="522"/>
      <c r="AM135" s="524"/>
      <c r="AN135" s="522"/>
      <c r="AO135" s="524"/>
      <c r="AP135" s="1006">
        <v>0.05</v>
      </c>
      <c r="AQ135" s="1007"/>
      <c r="AR135" s="116" t="s">
        <v>424</v>
      </c>
    </row>
    <row r="136" spans="1:44" ht="14.25" customHeight="1" x14ac:dyDescent="0.3">
      <c r="A136" s="960"/>
      <c r="B136" s="908"/>
      <c r="C136" s="726">
        <v>12</v>
      </c>
      <c r="D136" s="727" t="s">
        <v>60</v>
      </c>
      <c r="E136" s="727">
        <v>2022</v>
      </c>
      <c r="F136" s="728" t="s">
        <v>19</v>
      </c>
      <c r="G136" s="533">
        <f t="shared" si="119"/>
        <v>387.31661186280132</v>
      </c>
      <c r="H136" s="532"/>
      <c r="I136" s="534"/>
      <c r="J136" s="534"/>
      <c r="K136" s="534"/>
      <c r="L136" s="534"/>
      <c r="M136" s="534"/>
      <c r="N136" s="533">
        <f>0.5*10^6*0.01*$AW$4</f>
        <v>6687.0961901545825</v>
      </c>
      <c r="O136" s="534"/>
      <c r="P136" s="534"/>
      <c r="Q136" s="534"/>
      <c r="R136" s="534"/>
      <c r="S136" s="534"/>
      <c r="T136" s="534"/>
      <c r="U136" s="538"/>
      <c r="V136" s="532"/>
      <c r="W136" s="532"/>
      <c r="X136" s="532"/>
      <c r="Y136" s="534"/>
      <c r="Z136" s="532"/>
      <c r="AA136" s="534"/>
      <c r="AB136" s="538"/>
      <c r="AC136" s="532"/>
      <c r="AD136" s="532"/>
      <c r="AE136" s="532"/>
      <c r="AF136" s="534"/>
      <c r="AG136" s="532"/>
      <c r="AH136" s="534"/>
      <c r="AI136" s="538"/>
      <c r="AJ136" s="532"/>
      <c r="AK136" s="532"/>
      <c r="AL136" s="532"/>
      <c r="AM136" s="534"/>
      <c r="AN136" s="532"/>
      <c r="AO136" s="534"/>
      <c r="AP136" s="1008">
        <v>0.05</v>
      </c>
      <c r="AQ136" s="1009"/>
      <c r="AR136" s="116" t="s">
        <v>425</v>
      </c>
    </row>
    <row r="137" spans="1:44" ht="14.25" customHeight="1" x14ac:dyDescent="0.3">
      <c r="A137" s="960"/>
      <c r="B137" s="906" t="s">
        <v>431</v>
      </c>
      <c r="C137" s="720">
        <v>12</v>
      </c>
      <c r="D137" s="721" t="s">
        <v>60</v>
      </c>
      <c r="E137" s="721">
        <v>2022</v>
      </c>
      <c r="F137" s="722" t="s">
        <v>19</v>
      </c>
      <c r="G137" s="516">
        <f t="shared" si="119"/>
        <v>26.313344547343899</v>
      </c>
      <c r="H137" s="517"/>
      <c r="I137" s="517"/>
      <c r="J137" s="517"/>
      <c r="K137" s="517"/>
      <c r="L137" s="517"/>
      <c r="M137" s="517"/>
      <c r="N137" s="516">
        <f>0.2*10^6*0.008*$AW$4</f>
        <v>2139.8707808494664</v>
      </c>
      <c r="O137" s="517"/>
      <c r="P137" s="517"/>
      <c r="Q137" s="517"/>
      <c r="R137" s="517"/>
      <c r="S137" s="517"/>
      <c r="T137" s="517"/>
      <c r="U137" s="520"/>
      <c r="V137" s="344"/>
      <c r="W137" s="344"/>
      <c r="X137" s="344"/>
      <c r="Y137" s="517"/>
      <c r="Z137" s="344"/>
      <c r="AA137" s="517"/>
      <c r="AB137" s="520"/>
      <c r="AC137" s="344"/>
      <c r="AD137" s="344"/>
      <c r="AE137" s="344"/>
      <c r="AF137" s="517"/>
      <c r="AG137" s="344"/>
      <c r="AH137" s="517"/>
      <c r="AI137" s="520"/>
      <c r="AJ137" s="344"/>
      <c r="AK137" s="344"/>
      <c r="AL137" s="344"/>
      <c r="AM137" s="517"/>
      <c r="AN137" s="344"/>
      <c r="AO137" s="517"/>
      <c r="AP137" s="1004">
        <v>0.05</v>
      </c>
      <c r="AQ137" s="1005"/>
      <c r="AR137" s="104" t="s">
        <v>423</v>
      </c>
    </row>
    <row r="138" spans="1:44" ht="14.25" customHeight="1" x14ac:dyDescent="0.3">
      <c r="A138" s="960"/>
      <c r="B138" s="907"/>
      <c r="C138" s="723">
        <v>12</v>
      </c>
      <c r="D138" s="724" t="s">
        <v>60</v>
      </c>
      <c r="E138" s="724">
        <v>2022</v>
      </c>
      <c r="F138" s="725" t="s">
        <v>19</v>
      </c>
      <c r="G138" s="523">
        <f t="shared" si="119"/>
        <v>52.626689094687798</v>
      </c>
      <c r="H138" s="522"/>
      <c r="I138" s="524"/>
      <c r="J138" s="524"/>
      <c r="K138" s="524"/>
      <c r="L138" s="524"/>
      <c r="M138" s="524"/>
      <c r="N138" s="523">
        <f>0.4*10^6*0.009*$AW$4</f>
        <v>4814.7092569112983</v>
      </c>
      <c r="O138" s="524"/>
      <c r="P138" s="524"/>
      <c r="Q138" s="524"/>
      <c r="R138" s="524"/>
      <c r="S138" s="524"/>
      <c r="T138" s="524"/>
      <c r="U138" s="527"/>
      <c r="V138" s="522"/>
      <c r="W138" s="522"/>
      <c r="X138" s="522"/>
      <c r="Y138" s="524"/>
      <c r="Z138" s="522"/>
      <c r="AA138" s="524"/>
      <c r="AB138" s="527"/>
      <c r="AC138" s="522"/>
      <c r="AD138" s="522"/>
      <c r="AE138" s="522"/>
      <c r="AF138" s="524"/>
      <c r="AG138" s="522"/>
      <c r="AH138" s="524"/>
      <c r="AI138" s="527"/>
      <c r="AJ138" s="522"/>
      <c r="AK138" s="522"/>
      <c r="AL138" s="522"/>
      <c r="AM138" s="524"/>
      <c r="AN138" s="522"/>
      <c r="AO138" s="524"/>
      <c r="AP138" s="1006">
        <v>0.05</v>
      </c>
      <c r="AQ138" s="1007"/>
      <c r="AR138" s="116" t="s">
        <v>424</v>
      </c>
    </row>
    <row r="139" spans="1:44" ht="14.25" customHeight="1" x14ac:dyDescent="0.3">
      <c r="A139" s="960"/>
      <c r="B139" s="908"/>
      <c r="C139" s="726">
        <v>12</v>
      </c>
      <c r="D139" s="727" t="s">
        <v>60</v>
      </c>
      <c r="E139" s="727">
        <v>2022</v>
      </c>
      <c r="F139" s="728" t="s">
        <v>19</v>
      </c>
      <c r="G139" s="533">
        <f t="shared" si="119"/>
        <v>65.783361368359749</v>
      </c>
      <c r="H139" s="532"/>
      <c r="I139" s="534"/>
      <c r="J139" s="534"/>
      <c r="K139" s="534"/>
      <c r="L139" s="534"/>
      <c r="M139" s="534"/>
      <c r="N139" s="533">
        <f>0.5*10^6*0.01*$AW$4</f>
        <v>6687.0961901545825</v>
      </c>
      <c r="O139" s="534"/>
      <c r="P139" s="534"/>
      <c r="Q139" s="534"/>
      <c r="R139" s="534"/>
      <c r="S139" s="534"/>
      <c r="T139" s="534"/>
      <c r="U139" s="538"/>
      <c r="V139" s="532"/>
      <c r="W139" s="532"/>
      <c r="X139" s="532"/>
      <c r="Y139" s="534"/>
      <c r="Z139" s="532"/>
      <c r="AA139" s="534"/>
      <c r="AB139" s="538"/>
      <c r="AC139" s="532"/>
      <c r="AD139" s="532"/>
      <c r="AE139" s="532"/>
      <c r="AF139" s="534"/>
      <c r="AG139" s="532"/>
      <c r="AH139" s="534"/>
      <c r="AI139" s="538"/>
      <c r="AJ139" s="532"/>
      <c r="AK139" s="532"/>
      <c r="AL139" s="532"/>
      <c r="AM139" s="534"/>
      <c r="AN139" s="532"/>
      <c r="AO139" s="534"/>
      <c r="AP139" s="1008">
        <v>0.05</v>
      </c>
      <c r="AQ139" s="1009"/>
      <c r="AR139" s="116" t="s">
        <v>425</v>
      </c>
    </row>
    <row r="140" spans="1:44" ht="14.25" customHeight="1" x14ac:dyDescent="0.3">
      <c r="A140" s="960"/>
      <c r="B140" s="906" t="s">
        <v>432</v>
      </c>
      <c r="C140" s="720">
        <v>12</v>
      </c>
      <c r="D140" s="721" t="s">
        <v>60</v>
      </c>
      <c r="E140" s="721">
        <v>2022</v>
      </c>
      <c r="F140" s="722" t="s">
        <v>19</v>
      </c>
      <c r="G140" s="516">
        <f t="shared" si="119"/>
        <v>39.470016821015847</v>
      </c>
      <c r="H140" s="517"/>
      <c r="I140" s="517"/>
      <c r="J140" s="517"/>
      <c r="K140" s="517"/>
      <c r="L140" s="517"/>
      <c r="M140" s="517"/>
      <c r="N140" s="516">
        <f>0.3*10^6*0.008*$AW$4</f>
        <v>3209.8061712741996</v>
      </c>
      <c r="O140" s="517"/>
      <c r="P140" s="517"/>
      <c r="Q140" s="517"/>
      <c r="R140" s="517"/>
      <c r="S140" s="517"/>
      <c r="T140" s="517"/>
      <c r="U140" s="520"/>
      <c r="V140" s="344"/>
      <c r="W140" s="344"/>
      <c r="X140" s="344"/>
      <c r="Y140" s="517"/>
      <c r="Z140" s="344"/>
      <c r="AA140" s="517"/>
      <c r="AB140" s="520"/>
      <c r="AC140" s="344"/>
      <c r="AD140" s="344"/>
      <c r="AE140" s="344"/>
      <c r="AF140" s="517"/>
      <c r="AG140" s="344"/>
      <c r="AH140" s="517"/>
      <c r="AI140" s="520"/>
      <c r="AJ140" s="344"/>
      <c r="AK140" s="344"/>
      <c r="AL140" s="344"/>
      <c r="AM140" s="517"/>
      <c r="AN140" s="344"/>
      <c r="AO140" s="517"/>
      <c r="AP140" s="1004">
        <v>0.05</v>
      </c>
      <c r="AQ140" s="1005"/>
      <c r="AR140" s="104" t="s">
        <v>423</v>
      </c>
    </row>
    <row r="141" spans="1:44" ht="14.25" customHeight="1" x14ac:dyDescent="0.3">
      <c r="A141" s="960"/>
      <c r="B141" s="907"/>
      <c r="C141" s="723">
        <v>12</v>
      </c>
      <c r="D141" s="724" t="s">
        <v>60</v>
      </c>
      <c r="E141" s="724">
        <v>2022</v>
      </c>
      <c r="F141" s="725" t="s">
        <v>19</v>
      </c>
      <c r="G141" s="523">
        <f t="shared" si="119"/>
        <v>52.626689094687798</v>
      </c>
      <c r="H141" s="522"/>
      <c r="I141" s="524"/>
      <c r="J141" s="524"/>
      <c r="K141" s="524"/>
      <c r="L141" s="524"/>
      <c r="M141" s="524"/>
      <c r="N141" s="523">
        <f>0.4*10^6*0.009*$AW$4</f>
        <v>4814.7092569112983</v>
      </c>
      <c r="O141" s="524"/>
      <c r="P141" s="524"/>
      <c r="Q141" s="524"/>
      <c r="R141" s="524"/>
      <c r="S141" s="524"/>
      <c r="T141" s="524"/>
      <c r="U141" s="527"/>
      <c r="V141" s="522"/>
      <c r="W141" s="522"/>
      <c r="X141" s="522"/>
      <c r="Y141" s="524"/>
      <c r="Z141" s="522"/>
      <c r="AA141" s="524"/>
      <c r="AB141" s="527"/>
      <c r="AC141" s="522"/>
      <c r="AD141" s="522"/>
      <c r="AE141" s="522"/>
      <c r="AF141" s="524"/>
      <c r="AG141" s="522"/>
      <c r="AH141" s="524"/>
      <c r="AI141" s="527"/>
      <c r="AJ141" s="522"/>
      <c r="AK141" s="522"/>
      <c r="AL141" s="522"/>
      <c r="AM141" s="524"/>
      <c r="AN141" s="522"/>
      <c r="AO141" s="524"/>
      <c r="AP141" s="1006">
        <v>0.05</v>
      </c>
      <c r="AQ141" s="1007"/>
      <c r="AR141" s="116" t="s">
        <v>424</v>
      </c>
    </row>
    <row r="142" spans="1:44" ht="14.25" customHeight="1" x14ac:dyDescent="0.3">
      <c r="A142" s="960"/>
      <c r="B142" s="908"/>
      <c r="C142" s="726">
        <v>12</v>
      </c>
      <c r="D142" s="727" t="s">
        <v>60</v>
      </c>
      <c r="E142" s="727">
        <v>2022</v>
      </c>
      <c r="F142" s="728" t="s">
        <v>19</v>
      </c>
      <c r="G142" s="533">
        <f t="shared" si="119"/>
        <v>65.783361368359749</v>
      </c>
      <c r="H142" s="532"/>
      <c r="I142" s="534"/>
      <c r="J142" s="534"/>
      <c r="K142" s="534"/>
      <c r="L142" s="534"/>
      <c r="M142" s="534"/>
      <c r="N142" s="533">
        <f>0.5*10^6*0.01*$AW$4</f>
        <v>6687.0961901545825</v>
      </c>
      <c r="O142" s="534"/>
      <c r="P142" s="534"/>
      <c r="Q142" s="534"/>
      <c r="R142" s="534"/>
      <c r="S142" s="534"/>
      <c r="T142" s="534"/>
      <c r="U142" s="538"/>
      <c r="V142" s="532"/>
      <c r="W142" s="532"/>
      <c r="X142" s="532"/>
      <c r="Y142" s="534"/>
      <c r="Z142" s="532"/>
      <c r="AA142" s="534"/>
      <c r="AB142" s="538"/>
      <c r="AC142" s="532"/>
      <c r="AD142" s="532"/>
      <c r="AE142" s="532"/>
      <c r="AF142" s="534"/>
      <c r="AG142" s="532"/>
      <c r="AH142" s="534"/>
      <c r="AI142" s="538"/>
      <c r="AJ142" s="532"/>
      <c r="AK142" s="532"/>
      <c r="AL142" s="532"/>
      <c r="AM142" s="534"/>
      <c r="AN142" s="532"/>
      <c r="AO142" s="534"/>
      <c r="AP142" s="1008">
        <v>0.05</v>
      </c>
      <c r="AQ142" s="1009"/>
      <c r="AR142" s="116" t="s">
        <v>425</v>
      </c>
    </row>
    <row r="143" spans="1:44" ht="14.25" customHeight="1" x14ac:dyDescent="0.3">
      <c r="A143" s="960"/>
      <c r="B143" s="907" t="s">
        <v>433</v>
      </c>
      <c r="C143" s="723">
        <v>12</v>
      </c>
      <c r="D143" s="724" t="s">
        <v>60</v>
      </c>
      <c r="E143" s="721">
        <v>2022</v>
      </c>
      <c r="F143" s="722" t="s">
        <v>19</v>
      </c>
      <c r="G143" s="523">
        <f t="shared" si="119"/>
        <v>18.655750138058274</v>
      </c>
      <c r="H143" s="524"/>
      <c r="I143" s="524"/>
      <c r="J143" s="524"/>
      <c r="K143" s="524"/>
      <c r="L143" s="524"/>
      <c r="M143" s="524"/>
      <c r="N143" s="516">
        <f>0.3*10^6*0.008*$AW$4</f>
        <v>3209.8061712741996</v>
      </c>
      <c r="O143" s="524"/>
      <c r="P143" s="524"/>
      <c r="Q143" s="524"/>
      <c r="R143" s="524"/>
      <c r="S143" s="524"/>
      <c r="T143" s="524"/>
      <c r="U143" s="527"/>
      <c r="V143" s="522"/>
      <c r="W143" s="522"/>
      <c r="X143" s="522"/>
      <c r="Y143" s="524"/>
      <c r="Z143" s="522"/>
      <c r="AA143" s="524"/>
      <c r="AB143" s="527"/>
      <c r="AC143" s="522"/>
      <c r="AD143" s="522"/>
      <c r="AE143" s="522"/>
      <c r="AF143" s="524"/>
      <c r="AG143" s="522"/>
      <c r="AH143" s="524"/>
      <c r="AI143" s="527"/>
      <c r="AJ143" s="522"/>
      <c r="AK143" s="522"/>
      <c r="AL143" s="522"/>
      <c r="AM143" s="524"/>
      <c r="AN143" s="522"/>
      <c r="AO143" s="524"/>
      <c r="AP143" s="1004">
        <v>0.05</v>
      </c>
      <c r="AQ143" s="1005"/>
      <c r="AR143" s="104" t="s">
        <v>423</v>
      </c>
    </row>
    <row r="144" spans="1:44" ht="14.25" customHeight="1" x14ac:dyDescent="0.3">
      <c r="A144" s="960"/>
      <c r="B144" s="907"/>
      <c r="C144" s="723">
        <v>12</v>
      </c>
      <c r="D144" s="724" t="s">
        <v>60</v>
      </c>
      <c r="E144" s="724">
        <v>2022</v>
      </c>
      <c r="F144" s="725" t="s">
        <v>19</v>
      </c>
      <c r="G144" s="523">
        <f t="shared" si="119"/>
        <v>31.092916896763782</v>
      </c>
      <c r="H144" s="522"/>
      <c r="I144" s="524"/>
      <c r="J144" s="524"/>
      <c r="K144" s="524"/>
      <c r="L144" s="524"/>
      <c r="M144" s="524"/>
      <c r="N144" s="523">
        <f>0.5*10^6*0.009*$AW$4</f>
        <v>6018.3865711391236</v>
      </c>
      <c r="O144" s="524"/>
      <c r="P144" s="524"/>
      <c r="Q144" s="524"/>
      <c r="R144" s="524"/>
      <c r="S144" s="524"/>
      <c r="T144" s="524"/>
      <c r="U144" s="527"/>
      <c r="V144" s="522"/>
      <c r="W144" s="522"/>
      <c r="X144" s="522"/>
      <c r="Y144" s="524"/>
      <c r="Z144" s="522"/>
      <c r="AA144" s="524"/>
      <c r="AB144" s="527"/>
      <c r="AC144" s="522"/>
      <c r="AD144" s="522"/>
      <c r="AE144" s="522"/>
      <c r="AF144" s="524"/>
      <c r="AG144" s="522"/>
      <c r="AH144" s="524"/>
      <c r="AI144" s="527"/>
      <c r="AJ144" s="522"/>
      <c r="AK144" s="522"/>
      <c r="AL144" s="522"/>
      <c r="AM144" s="524"/>
      <c r="AN144" s="522"/>
      <c r="AO144" s="524"/>
      <c r="AP144" s="1006">
        <v>0.05</v>
      </c>
      <c r="AQ144" s="1007"/>
      <c r="AR144" s="116" t="s">
        <v>424</v>
      </c>
    </row>
    <row r="145" spans="1:44" ht="14.25" customHeight="1" x14ac:dyDescent="0.3">
      <c r="A145" s="960"/>
      <c r="B145" s="908"/>
      <c r="C145" s="726">
        <v>12</v>
      </c>
      <c r="D145" s="727" t="s">
        <v>60</v>
      </c>
      <c r="E145" s="727">
        <v>2022</v>
      </c>
      <c r="F145" s="728" t="s">
        <v>19</v>
      </c>
      <c r="G145" s="533">
        <f t="shared" si="119"/>
        <v>37.311500276116547</v>
      </c>
      <c r="H145" s="532"/>
      <c r="I145" s="534"/>
      <c r="J145" s="534"/>
      <c r="K145" s="534"/>
      <c r="L145" s="534"/>
      <c r="M145" s="534"/>
      <c r="N145" s="533">
        <f>0.6*10^6*0.01*$AW$4</f>
        <v>8024.5154281854984</v>
      </c>
      <c r="O145" s="534"/>
      <c r="P145" s="534"/>
      <c r="Q145" s="534"/>
      <c r="R145" s="534"/>
      <c r="S145" s="534"/>
      <c r="T145" s="534"/>
      <c r="U145" s="538"/>
      <c r="V145" s="532"/>
      <c r="W145" s="532"/>
      <c r="X145" s="532"/>
      <c r="Y145" s="534"/>
      <c r="Z145" s="532"/>
      <c r="AA145" s="534"/>
      <c r="AB145" s="538"/>
      <c r="AC145" s="532"/>
      <c r="AD145" s="532"/>
      <c r="AE145" s="532"/>
      <c r="AF145" s="534"/>
      <c r="AG145" s="532"/>
      <c r="AH145" s="534"/>
      <c r="AI145" s="538"/>
      <c r="AJ145" s="532"/>
      <c r="AK145" s="532"/>
      <c r="AL145" s="532"/>
      <c r="AM145" s="534"/>
      <c r="AN145" s="532"/>
      <c r="AO145" s="534"/>
      <c r="AP145" s="1008">
        <v>0.05</v>
      </c>
      <c r="AQ145" s="1009"/>
      <c r="AR145" s="116" t="s">
        <v>425</v>
      </c>
    </row>
    <row r="146" spans="1:44" ht="14.25" customHeight="1" x14ac:dyDescent="0.3">
      <c r="A146" s="960"/>
      <c r="B146" s="907" t="s">
        <v>434</v>
      </c>
      <c r="C146" s="723">
        <v>12</v>
      </c>
      <c r="D146" s="724" t="s">
        <v>60</v>
      </c>
      <c r="E146" s="721">
        <v>2022</v>
      </c>
      <c r="F146" s="722" t="s">
        <v>19</v>
      </c>
      <c r="G146" s="523">
        <f t="shared" si="119"/>
        <v>24.874333517411024</v>
      </c>
      <c r="H146" s="524"/>
      <c r="I146" s="524"/>
      <c r="J146" s="524"/>
      <c r="K146" s="524"/>
      <c r="L146" s="524"/>
      <c r="M146" s="524"/>
      <c r="N146" s="516">
        <f>0.4*10^6*0.008*$AW$4</f>
        <v>4279.7415616989329</v>
      </c>
      <c r="O146" s="524"/>
      <c r="P146" s="524"/>
      <c r="Q146" s="524"/>
      <c r="R146" s="524"/>
      <c r="S146" s="524"/>
      <c r="T146" s="524"/>
      <c r="U146" s="527"/>
      <c r="V146" s="522"/>
      <c r="W146" s="522"/>
      <c r="X146" s="522"/>
      <c r="Y146" s="524"/>
      <c r="Z146" s="522"/>
      <c r="AA146" s="524"/>
      <c r="AB146" s="527"/>
      <c r="AC146" s="522"/>
      <c r="AD146" s="522"/>
      <c r="AE146" s="522"/>
      <c r="AF146" s="524"/>
      <c r="AG146" s="522"/>
      <c r="AH146" s="524"/>
      <c r="AI146" s="527"/>
      <c r="AJ146" s="522"/>
      <c r="AK146" s="522"/>
      <c r="AL146" s="522"/>
      <c r="AM146" s="524"/>
      <c r="AN146" s="522"/>
      <c r="AO146" s="524"/>
      <c r="AP146" s="1004">
        <v>0.05</v>
      </c>
      <c r="AQ146" s="1005"/>
      <c r="AR146" s="104" t="s">
        <v>423</v>
      </c>
    </row>
    <row r="147" spans="1:44" ht="14.25" customHeight="1" x14ac:dyDescent="0.3">
      <c r="A147" s="960"/>
      <c r="B147" s="907"/>
      <c r="C147" s="723">
        <v>12</v>
      </c>
      <c r="D147" s="724" t="s">
        <v>60</v>
      </c>
      <c r="E147" s="724">
        <v>2022</v>
      </c>
      <c r="F147" s="725" t="s">
        <v>19</v>
      </c>
      <c r="G147" s="523">
        <f t="shared" si="119"/>
        <v>31.092916896763782</v>
      </c>
      <c r="H147" s="522"/>
      <c r="I147" s="524"/>
      <c r="J147" s="524"/>
      <c r="K147" s="524"/>
      <c r="L147" s="524"/>
      <c r="M147" s="524"/>
      <c r="N147" s="523">
        <f>0.5*10^6*0.009*$AW$4</f>
        <v>6018.3865711391236</v>
      </c>
      <c r="O147" s="524"/>
      <c r="P147" s="524"/>
      <c r="Q147" s="524"/>
      <c r="R147" s="524"/>
      <c r="S147" s="524"/>
      <c r="T147" s="524"/>
      <c r="U147" s="527"/>
      <c r="V147" s="522"/>
      <c r="W147" s="522"/>
      <c r="X147" s="522"/>
      <c r="Y147" s="524"/>
      <c r="Z147" s="522"/>
      <c r="AA147" s="524"/>
      <c r="AB147" s="527"/>
      <c r="AC147" s="522"/>
      <c r="AD147" s="522"/>
      <c r="AE147" s="522"/>
      <c r="AF147" s="524"/>
      <c r="AG147" s="522"/>
      <c r="AH147" s="524"/>
      <c r="AI147" s="527"/>
      <c r="AJ147" s="522"/>
      <c r="AK147" s="522"/>
      <c r="AL147" s="522"/>
      <c r="AM147" s="524"/>
      <c r="AN147" s="522"/>
      <c r="AO147" s="524"/>
      <c r="AP147" s="1006">
        <v>0.05</v>
      </c>
      <c r="AQ147" s="1007"/>
      <c r="AR147" s="116" t="s">
        <v>424</v>
      </c>
    </row>
    <row r="148" spans="1:44" ht="14.25" customHeight="1" x14ac:dyDescent="0.3">
      <c r="A148" s="960"/>
      <c r="B148" s="908"/>
      <c r="C148" s="726">
        <v>12</v>
      </c>
      <c r="D148" s="727" t="s">
        <v>60</v>
      </c>
      <c r="E148" s="727">
        <v>2022</v>
      </c>
      <c r="F148" s="728" t="s">
        <v>19</v>
      </c>
      <c r="G148" s="533">
        <f t="shared" si="119"/>
        <v>37.311500276116547</v>
      </c>
      <c r="H148" s="532"/>
      <c r="I148" s="534"/>
      <c r="J148" s="534"/>
      <c r="K148" s="534"/>
      <c r="L148" s="534"/>
      <c r="M148" s="534"/>
      <c r="N148" s="533">
        <f>0.6*10^6*0.01*$AW$4</f>
        <v>8024.5154281854984</v>
      </c>
      <c r="O148" s="534"/>
      <c r="P148" s="534"/>
      <c r="Q148" s="534"/>
      <c r="R148" s="534"/>
      <c r="S148" s="534"/>
      <c r="T148" s="534"/>
      <c r="U148" s="538"/>
      <c r="V148" s="532"/>
      <c r="W148" s="532"/>
      <c r="X148" s="532"/>
      <c r="Y148" s="534"/>
      <c r="Z148" s="532"/>
      <c r="AA148" s="534"/>
      <c r="AB148" s="538"/>
      <c r="AC148" s="532"/>
      <c r="AD148" s="532"/>
      <c r="AE148" s="532"/>
      <c r="AF148" s="534"/>
      <c r="AG148" s="532"/>
      <c r="AH148" s="534"/>
      <c r="AI148" s="538"/>
      <c r="AJ148" s="532"/>
      <c r="AK148" s="532"/>
      <c r="AL148" s="532"/>
      <c r="AM148" s="534"/>
      <c r="AN148" s="532"/>
      <c r="AO148" s="534"/>
      <c r="AP148" s="1008">
        <v>0.05</v>
      </c>
      <c r="AQ148" s="1009"/>
      <c r="AR148" s="116" t="s">
        <v>425</v>
      </c>
    </row>
    <row r="149" spans="1:44" ht="14.25" customHeight="1" x14ac:dyDescent="0.3">
      <c r="A149" s="960"/>
      <c r="B149" s="963" t="s">
        <v>1</v>
      </c>
      <c r="C149" s="1000" t="s">
        <v>246</v>
      </c>
      <c r="D149" s="1001"/>
      <c r="E149" s="1001"/>
      <c r="F149" s="622"/>
      <c r="G149" s="949" t="s">
        <v>418</v>
      </c>
      <c r="H149" s="950"/>
      <c r="I149" s="950"/>
      <c r="J149" s="950"/>
      <c r="K149" s="950"/>
      <c r="L149" s="950"/>
      <c r="M149" s="951"/>
      <c r="N149" s="914" t="s">
        <v>435</v>
      </c>
      <c r="O149" s="915"/>
      <c r="P149" s="915"/>
      <c r="Q149" s="915"/>
      <c r="R149" s="915"/>
      <c r="S149" s="915"/>
      <c r="T149" s="916"/>
      <c r="U149" s="914" t="s">
        <v>249</v>
      </c>
      <c r="V149" s="915"/>
      <c r="W149" s="915"/>
      <c r="X149" s="915"/>
      <c r="Y149" s="915"/>
      <c r="Z149" s="915"/>
      <c r="AA149" s="916"/>
      <c r="AB149" s="914" t="s">
        <v>250</v>
      </c>
      <c r="AC149" s="915"/>
      <c r="AD149" s="915"/>
      <c r="AE149" s="915"/>
      <c r="AF149" s="915"/>
      <c r="AG149" s="915"/>
      <c r="AH149" s="916"/>
      <c r="AI149" s="914" t="s">
        <v>251</v>
      </c>
      <c r="AJ149" s="915"/>
      <c r="AK149" s="915"/>
      <c r="AL149" s="915"/>
      <c r="AM149" s="915"/>
      <c r="AN149" s="915"/>
      <c r="AO149" s="916"/>
      <c r="AP149" s="1002" t="s">
        <v>252</v>
      </c>
      <c r="AQ149" s="1003"/>
      <c r="AR149" s="962" t="s">
        <v>253</v>
      </c>
    </row>
    <row r="150" spans="1:44" ht="14.25" customHeight="1" x14ac:dyDescent="0.3">
      <c r="A150" s="960"/>
      <c r="B150" s="963"/>
      <c r="C150" s="86" t="s">
        <v>254</v>
      </c>
      <c r="D150" s="87" t="s">
        <v>255</v>
      </c>
      <c r="E150" s="85" t="s">
        <v>256</v>
      </c>
      <c r="F150" s="622" t="s">
        <v>19</v>
      </c>
      <c r="G150" s="86">
        <v>2020</v>
      </c>
      <c r="H150" s="87">
        <v>2025</v>
      </c>
      <c r="I150" s="87">
        <v>2030</v>
      </c>
      <c r="J150" s="87">
        <v>2040</v>
      </c>
      <c r="K150" s="87">
        <v>2045</v>
      </c>
      <c r="L150" s="87">
        <v>2050</v>
      </c>
      <c r="M150" s="87">
        <v>2060</v>
      </c>
      <c r="N150" s="86">
        <v>2020</v>
      </c>
      <c r="O150" s="87">
        <v>2025</v>
      </c>
      <c r="P150" s="87">
        <v>2030</v>
      </c>
      <c r="Q150" s="87">
        <v>2040</v>
      </c>
      <c r="R150" s="87">
        <v>2045</v>
      </c>
      <c r="S150" s="87">
        <v>2050</v>
      </c>
      <c r="T150" s="87">
        <v>2060</v>
      </c>
      <c r="U150" s="86">
        <v>2020</v>
      </c>
      <c r="V150" s="87">
        <v>2025</v>
      </c>
      <c r="W150" s="87">
        <v>2030</v>
      </c>
      <c r="X150" s="87">
        <v>2040</v>
      </c>
      <c r="Y150" s="87">
        <v>2045</v>
      </c>
      <c r="Z150" s="87">
        <v>2050</v>
      </c>
      <c r="AA150" s="87">
        <v>2060</v>
      </c>
      <c r="AB150" s="86">
        <v>2020</v>
      </c>
      <c r="AC150" s="87">
        <v>2025</v>
      </c>
      <c r="AD150" s="87">
        <v>2030</v>
      </c>
      <c r="AE150" s="87">
        <v>2040</v>
      </c>
      <c r="AF150" s="87">
        <v>2045</v>
      </c>
      <c r="AG150" s="87">
        <v>2050</v>
      </c>
      <c r="AH150" s="87">
        <v>2060</v>
      </c>
      <c r="AI150" s="86">
        <v>2020</v>
      </c>
      <c r="AJ150" s="87">
        <v>2025</v>
      </c>
      <c r="AK150" s="87">
        <v>2030</v>
      </c>
      <c r="AL150" s="87">
        <v>2040</v>
      </c>
      <c r="AM150" s="87">
        <v>2045</v>
      </c>
      <c r="AN150" s="87">
        <v>2050</v>
      </c>
      <c r="AO150" s="87">
        <v>2060</v>
      </c>
      <c r="AP150" s="86" t="s">
        <v>257</v>
      </c>
      <c r="AQ150" s="622" t="s">
        <v>258</v>
      </c>
      <c r="AR150" s="962"/>
    </row>
    <row r="151" spans="1:44" ht="14.25" customHeight="1" x14ac:dyDescent="0.3">
      <c r="A151" s="960"/>
      <c r="B151" s="877" t="s">
        <v>83</v>
      </c>
      <c r="C151" s="729">
        <v>2</v>
      </c>
      <c r="D151" s="730" t="s">
        <v>23</v>
      </c>
      <c r="E151" s="730">
        <v>2019</v>
      </c>
      <c r="F151" s="703" t="s">
        <v>19</v>
      </c>
      <c r="G151" s="480">
        <f>(412*10^6/1.1297)/11000*(10^-3/(33.33*10^-3))/30</f>
        <v>33.15773327757266</v>
      </c>
      <c r="H151" s="204"/>
      <c r="I151" s="204"/>
      <c r="J151" s="204"/>
      <c r="K151" s="204"/>
      <c r="L151" s="204"/>
      <c r="M151" s="204"/>
      <c r="N151" s="480">
        <f t="shared" ref="N151:N153" si="120">G151*0.04*$AW$4</f>
        <v>1.7738316149969435</v>
      </c>
      <c r="O151" s="204"/>
      <c r="P151" s="204"/>
      <c r="Q151" s="204"/>
      <c r="R151" s="204"/>
      <c r="S151" s="204"/>
      <c r="T151" s="204"/>
      <c r="U151" s="205"/>
      <c r="V151" s="202"/>
      <c r="W151" s="202"/>
      <c r="X151" s="202"/>
      <c r="Y151" s="204"/>
      <c r="Z151" s="202"/>
      <c r="AA151" s="204"/>
      <c r="AB151" s="205"/>
      <c r="AC151" s="202"/>
      <c r="AD151" s="202"/>
      <c r="AE151" s="202"/>
      <c r="AF151" s="207"/>
      <c r="AG151" s="207"/>
      <c r="AH151" s="207"/>
      <c r="AI151" s="205"/>
      <c r="AJ151" s="202"/>
      <c r="AK151" s="202"/>
      <c r="AL151" s="202"/>
      <c r="AM151" s="204"/>
      <c r="AN151" s="202"/>
      <c r="AO151" s="204"/>
      <c r="AP151" s="205"/>
      <c r="AQ151" s="21"/>
      <c r="AR151" s="116"/>
    </row>
    <row r="152" spans="1:44" ht="14.25" customHeight="1" x14ac:dyDescent="0.3">
      <c r="A152" s="960"/>
      <c r="B152" s="878"/>
      <c r="C152" s="731">
        <v>4</v>
      </c>
      <c r="D152" s="732" t="s">
        <v>31</v>
      </c>
      <c r="E152" s="732">
        <v>2022</v>
      </c>
      <c r="F152" s="704" t="s">
        <v>19</v>
      </c>
      <c r="G152" s="212">
        <f>361223561.58/11000*(10^-3/(33.33*10^-3))/30</f>
        <v>32.841789777159534</v>
      </c>
      <c r="H152" s="209">
        <f>361223561.58/11000*(10^-3/(33.33*10^-3))/30</f>
        <v>32.841789777159534</v>
      </c>
      <c r="I152" s="209">
        <f t="shared" ref="I152:L152" si="121">361223561.58/11000*(10^-3/(33.33*10^-3))/30</f>
        <v>32.841789777159534</v>
      </c>
      <c r="J152" s="209">
        <f t="shared" si="121"/>
        <v>32.841789777159534</v>
      </c>
      <c r="K152" s="209">
        <v>32.840000000000003</v>
      </c>
      <c r="L152" s="209">
        <f t="shared" si="121"/>
        <v>32.841789777159534</v>
      </c>
      <c r="M152" s="107">
        <f>K152+((L152-K152)/(2050-2045))*(2060-2045)</f>
        <v>32.845369331478594</v>
      </c>
      <c r="N152" s="212">
        <f t="shared" si="120"/>
        <v>1.7569296583736098</v>
      </c>
      <c r="O152" s="209">
        <f t="shared" ref="O152:Q152" si="122">H152*0.04*$AW$4</f>
        <v>1.7569296583736098</v>
      </c>
      <c r="P152" s="209">
        <f t="shared" si="122"/>
        <v>1.7569296583736098</v>
      </c>
      <c r="Q152" s="209">
        <f t="shared" si="122"/>
        <v>1.7569296583736098</v>
      </c>
      <c r="R152" s="107">
        <f t="shared" ref="R152:R153" si="123">Q152+((S152-Q152)/(2050-2040))*(2045-2040)</f>
        <v>1.7569296583736098</v>
      </c>
      <c r="S152" s="209">
        <f t="shared" ref="S152:S153" si="124">L152*0.04*$AW$4</f>
        <v>1.7569296583736098</v>
      </c>
      <c r="T152" s="107">
        <f>R152+((S152-R152)/(2050-2045))*(2060-2045)</f>
        <v>1.7569296583736098</v>
      </c>
      <c r="U152" s="210"/>
      <c r="V152" s="208"/>
      <c r="W152" s="208"/>
      <c r="X152" s="208"/>
      <c r="Y152" s="209"/>
      <c r="Z152" s="208"/>
      <c r="AA152" s="209"/>
      <c r="AB152" s="210">
        <v>20</v>
      </c>
      <c r="AC152" s="208">
        <v>20</v>
      </c>
      <c r="AD152" s="208">
        <v>20</v>
      </c>
      <c r="AE152" s="208">
        <v>20</v>
      </c>
      <c r="AF152" s="378">
        <f t="shared" ref="AF152:AF153" si="125">AE152+((AG152-AE152)/(2050-2040))*(2045-2040)</f>
        <v>20</v>
      </c>
      <c r="AG152" s="213">
        <v>20</v>
      </c>
      <c r="AH152" s="378">
        <f t="shared" ref="AH152:AH153" si="126">AF152+((AG152-AF152)/(2050-2045))*(2060-2045)</f>
        <v>20</v>
      </c>
      <c r="AI152" s="210"/>
      <c r="AJ152" s="208"/>
      <c r="AK152" s="208"/>
      <c r="AL152" s="208"/>
      <c r="AM152" s="209"/>
      <c r="AN152" s="208"/>
      <c r="AO152" s="209"/>
      <c r="AP152" s="210"/>
      <c r="AQ152" s="24"/>
      <c r="AR152" s="116"/>
    </row>
    <row r="153" spans="1:44" ht="14.25" customHeight="1" x14ac:dyDescent="0.3">
      <c r="A153" s="960"/>
      <c r="B153" s="878"/>
      <c r="C153" s="731">
        <v>1</v>
      </c>
      <c r="D153" s="732" t="s">
        <v>18</v>
      </c>
      <c r="E153" s="732">
        <v>2020</v>
      </c>
      <c r="F153" s="704" t="s">
        <v>19</v>
      </c>
      <c r="G153" s="212">
        <f>37455/1.1297*(10^-3/(33.33*10^-3))/30</f>
        <v>33.158135677248353</v>
      </c>
      <c r="H153" s="107">
        <f>G153+((I153-G153)/(2030-2020))*(2025-2020)</f>
        <v>31.500007573564304</v>
      </c>
      <c r="I153" s="209">
        <f>33709/1.1297*(10^-3/(33.33*10^-3))/30</f>
        <v>29.841879469880251</v>
      </c>
      <c r="J153" s="209">
        <f>25282/1.1297*(10^-3/(33.33*10^-3))/30</f>
        <v>22.381630922231821</v>
      </c>
      <c r="K153" s="107">
        <f t="shared" ref="K153:K155" si="127">J153+((L153-J153)/(2050-2040))*(2045-2040)</f>
        <v>18.651506648407608</v>
      </c>
      <c r="L153" s="209">
        <f>16855/1.1297*(10^-3/(33.33*10^-3))/30</f>
        <v>14.921382374583393</v>
      </c>
      <c r="M153" s="107">
        <v>14.92</v>
      </c>
      <c r="N153" s="212">
        <f t="shared" si="120"/>
        <v>1.7738531420796495</v>
      </c>
      <c r="O153" s="107">
        <f>N153+((P153-N153)/(2030-2020))*(2025-2020)</f>
        <v>1.6851486450801785</v>
      </c>
      <c r="P153" s="209">
        <f>I153*0.04*$AW$4</f>
        <v>1.5964441480807077</v>
      </c>
      <c r="Q153" s="209">
        <f>J153*0.04*$AW$4</f>
        <v>1.1973449509560192</v>
      </c>
      <c r="R153" s="107">
        <f t="shared" si="123"/>
        <v>0.99779535239367501</v>
      </c>
      <c r="S153" s="209">
        <f t="shared" si="124"/>
        <v>0.79824575383133078</v>
      </c>
      <c r="T153" s="107">
        <v>0.8</v>
      </c>
      <c r="U153" s="210"/>
      <c r="V153" s="208"/>
      <c r="W153" s="208"/>
      <c r="X153" s="208"/>
      <c r="Y153" s="209"/>
      <c r="Z153" s="208"/>
      <c r="AA153" s="209"/>
      <c r="AB153" s="210">
        <v>30</v>
      </c>
      <c r="AC153" s="297">
        <f>AB153+((AD153-AB153)/(2030-2020))*(2025-2020)</f>
        <v>30</v>
      </c>
      <c r="AD153" s="208">
        <v>30</v>
      </c>
      <c r="AE153" s="208">
        <v>30</v>
      </c>
      <c r="AF153" s="378">
        <f t="shared" si="125"/>
        <v>30</v>
      </c>
      <c r="AG153" s="213">
        <v>30</v>
      </c>
      <c r="AH153" s="378">
        <f t="shared" si="126"/>
        <v>30</v>
      </c>
      <c r="AI153" s="210"/>
      <c r="AJ153" s="208"/>
      <c r="AK153" s="208"/>
      <c r="AL153" s="208"/>
      <c r="AM153" s="213"/>
      <c r="AN153" s="213"/>
      <c r="AO153" s="213"/>
      <c r="AP153" s="210"/>
      <c r="AQ153" s="24"/>
      <c r="AR153" s="116"/>
    </row>
    <row r="154" spans="1:44" ht="14.25" customHeight="1" x14ac:dyDescent="0.3">
      <c r="A154" s="960"/>
      <c r="B154" s="878"/>
      <c r="C154" s="731">
        <v>11</v>
      </c>
      <c r="D154" s="732" t="s">
        <v>57</v>
      </c>
      <c r="E154" s="732">
        <v>2022</v>
      </c>
      <c r="F154" s="704" t="s">
        <v>19</v>
      </c>
      <c r="G154" s="106">
        <f t="shared" ref="G154:G155" si="128">H154+((I154-H154)/(2030-2025))*(2020-2025)</f>
        <v>154.84764845809008</v>
      </c>
      <c r="H154" s="107">
        <f t="shared" ref="H154:H155" si="129">I154+((J154-I154)/(2040-2030))*(2025-2030)</f>
        <v>123.5348021146919</v>
      </c>
      <c r="I154" s="209">
        <f>109060/1.1827*(10^-3/(33.33*10^-3))/30</f>
        <v>92.221955771293707</v>
      </c>
      <c r="J154" s="209">
        <f>(35000)/1.1827*(10^-3/(33.33*10^-3))/30</f>
        <v>29.596263084497341</v>
      </c>
      <c r="K154" s="107">
        <f t="shared" si="127"/>
        <v>29.596263084497341</v>
      </c>
      <c r="L154" s="209">
        <f>(35000)/1.1827*(10^-3/(33.33*10^-3))/30</f>
        <v>29.596263084497341</v>
      </c>
      <c r="M154" s="107">
        <f t="shared" ref="M154:M155" si="130">K154+((L154-K154)/(2050-2045))*(2060-2045)</f>
        <v>29.596263084497341</v>
      </c>
      <c r="N154" s="106">
        <f t="shared" ref="N154:N155" si="131">G154*0.02*$AW$4</f>
        <v>4.1419244802339605</v>
      </c>
      <c r="O154" s="107">
        <f t="shared" ref="O154:T155" si="132">H154*0.02*$AW$4</f>
        <v>3.3043564182906255</v>
      </c>
      <c r="P154" s="107">
        <f t="shared" si="132"/>
        <v>2.4667883563472901</v>
      </c>
      <c r="Q154" s="107">
        <f t="shared" si="132"/>
        <v>0.79165223246061955</v>
      </c>
      <c r="R154" s="107">
        <f t="shared" si="132"/>
        <v>0.79165223246061955</v>
      </c>
      <c r="S154" s="107">
        <f t="shared" si="132"/>
        <v>0.79165223246061955</v>
      </c>
      <c r="T154" s="107">
        <f t="shared" si="132"/>
        <v>0.79165223246061955</v>
      </c>
      <c r="U154" s="210"/>
      <c r="V154" s="208"/>
      <c r="W154" s="208"/>
      <c r="X154" s="208"/>
      <c r="Y154" s="209"/>
      <c r="Z154" s="208"/>
      <c r="AA154" s="209"/>
      <c r="AB154" s="210"/>
      <c r="AC154" s="208"/>
      <c r="AD154" s="208"/>
      <c r="AE154" s="208"/>
      <c r="AF154" s="213"/>
      <c r="AG154" s="213"/>
      <c r="AH154" s="213"/>
      <c r="AI154" s="733">
        <f t="shared" ref="AI154:AI155" si="133">AJ154+((AK154-AJ154)/(2030-2025))*(2020-2025)</f>
        <v>49</v>
      </c>
      <c r="AJ154" s="297">
        <f t="shared" ref="AJ154:AJ155" si="134">AK154+((AL154-AK154)/(2040-2030))*(2025-2030)</f>
        <v>50.5</v>
      </c>
      <c r="AK154" s="208">
        <v>52</v>
      </c>
      <c r="AL154" s="208">
        <v>55</v>
      </c>
      <c r="AM154" s="378">
        <f t="shared" ref="AM154:AM155" si="135">AL154+((AN154-AL154)/(2050-2040))*(2045-2040)</f>
        <v>56</v>
      </c>
      <c r="AN154" s="213">
        <v>57</v>
      </c>
      <c r="AO154" s="378">
        <f t="shared" ref="AO154:AO155" si="136">AM154+((AN154-AM154)/(2050-2045))*(2060-2045)</f>
        <v>59</v>
      </c>
      <c r="AP154" s="210"/>
      <c r="AQ154" s="24"/>
      <c r="AR154" s="116" t="s">
        <v>436</v>
      </c>
    </row>
    <row r="155" spans="1:44" ht="14.25" customHeight="1" x14ac:dyDescent="0.3">
      <c r="A155" s="960"/>
      <c r="B155" s="879"/>
      <c r="C155" s="734">
        <v>11</v>
      </c>
      <c r="D155" s="735" t="s">
        <v>57</v>
      </c>
      <c r="E155" s="735">
        <v>2022</v>
      </c>
      <c r="F155" s="705" t="s">
        <v>19</v>
      </c>
      <c r="G155" s="607">
        <f t="shared" si="128"/>
        <v>221.21092636870011</v>
      </c>
      <c r="H155" s="122">
        <f t="shared" si="129"/>
        <v>176.47828873527413</v>
      </c>
      <c r="I155" s="215">
        <f>155800/1.1827*(10^-3/(33.33*10^-3))/30</f>
        <v>131.74565110184815</v>
      </c>
      <c r="J155" s="215">
        <f>(50000)/1.1827*(10^-3/(33.33*10^-3))/30</f>
        <v>42.2803758349962</v>
      </c>
      <c r="K155" s="122">
        <f t="shared" si="127"/>
        <v>42.2803758349962</v>
      </c>
      <c r="L155" s="215">
        <f>(50000)/1.1827*(10^-3/(33.33*10^-3))/30</f>
        <v>42.2803758349962</v>
      </c>
      <c r="M155" s="122">
        <f t="shared" si="130"/>
        <v>42.2803758349962</v>
      </c>
      <c r="N155" s="106">
        <f t="shared" si="131"/>
        <v>5.917034971762801</v>
      </c>
      <c r="O155" s="107">
        <f t="shared" si="132"/>
        <v>4.7205091689866077</v>
      </c>
      <c r="P155" s="107">
        <f t="shared" si="132"/>
        <v>3.5239833662104143</v>
      </c>
      <c r="Q155" s="107">
        <f t="shared" si="132"/>
        <v>1.1309317606580278</v>
      </c>
      <c r="R155" s="107">
        <f t="shared" si="132"/>
        <v>1.1309317606580278</v>
      </c>
      <c r="S155" s="107">
        <f t="shared" si="132"/>
        <v>1.1309317606580278</v>
      </c>
      <c r="T155" s="107">
        <f t="shared" si="132"/>
        <v>1.1309317606580278</v>
      </c>
      <c r="U155" s="216"/>
      <c r="V155" s="214"/>
      <c r="W155" s="214"/>
      <c r="X155" s="214"/>
      <c r="Y155" s="215"/>
      <c r="Z155" s="214"/>
      <c r="AA155" s="215"/>
      <c r="AB155" s="216"/>
      <c r="AC155" s="214"/>
      <c r="AD155" s="214"/>
      <c r="AE155" s="214"/>
      <c r="AF155" s="660"/>
      <c r="AG155" s="660"/>
      <c r="AH155" s="660"/>
      <c r="AI155" s="736">
        <f t="shared" si="133"/>
        <v>49</v>
      </c>
      <c r="AJ155" s="306">
        <f t="shared" si="134"/>
        <v>50.5</v>
      </c>
      <c r="AK155" s="214">
        <v>52</v>
      </c>
      <c r="AL155" s="214">
        <v>55</v>
      </c>
      <c r="AM155" s="386">
        <f t="shared" si="135"/>
        <v>56</v>
      </c>
      <c r="AN155" s="660">
        <v>57</v>
      </c>
      <c r="AO155" s="386">
        <f t="shared" si="136"/>
        <v>59</v>
      </c>
      <c r="AP155" s="216"/>
      <c r="AQ155" s="27"/>
      <c r="AR155" s="116" t="s">
        <v>437</v>
      </c>
    </row>
    <row r="156" spans="1:44" ht="14.25" customHeight="1" x14ac:dyDescent="0.3">
      <c r="A156" s="960"/>
      <c r="B156" s="217" t="s">
        <v>267</v>
      </c>
      <c r="C156" s="222"/>
      <c r="D156" s="218"/>
      <c r="E156" s="218"/>
      <c r="F156" s="223"/>
      <c r="G156" s="219">
        <f>MIN(G151:G155)</f>
        <v>32.841789777159534</v>
      </c>
      <c r="H156" s="220">
        <f t="shared" ref="H156:T156" si="137">MIN(H151:H155)</f>
        <v>31.500007573564304</v>
      </c>
      <c r="I156" s="220">
        <f t="shared" si="137"/>
        <v>29.841879469880251</v>
      </c>
      <c r="J156" s="220">
        <f t="shared" si="137"/>
        <v>22.381630922231821</v>
      </c>
      <c r="K156" s="220">
        <f t="shared" si="137"/>
        <v>18.651506648407608</v>
      </c>
      <c r="L156" s="220">
        <f t="shared" si="137"/>
        <v>14.921382374583393</v>
      </c>
      <c r="M156" s="220">
        <f t="shared" si="137"/>
        <v>14.92</v>
      </c>
      <c r="N156" s="219">
        <f t="shared" si="137"/>
        <v>1.7569296583736098</v>
      </c>
      <c r="O156" s="220">
        <f t="shared" si="137"/>
        <v>1.6851486450801785</v>
      </c>
      <c r="P156" s="220">
        <f t="shared" si="137"/>
        <v>1.5964441480807077</v>
      </c>
      <c r="Q156" s="220">
        <f t="shared" si="137"/>
        <v>0.79165223246061955</v>
      </c>
      <c r="R156" s="220">
        <f t="shared" si="137"/>
        <v>0.79165223246061955</v>
      </c>
      <c r="S156" s="220">
        <f t="shared" si="137"/>
        <v>0.79165223246061955</v>
      </c>
      <c r="T156" s="220">
        <f t="shared" si="137"/>
        <v>0.79165223246061955</v>
      </c>
      <c r="U156" s="222"/>
      <c r="V156" s="218"/>
      <c r="W156" s="218"/>
      <c r="X156" s="218"/>
      <c r="Y156" s="220"/>
      <c r="Z156" s="218"/>
      <c r="AA156" s="220"/>
      <c r="AB156" s="222">
        <f t="shared" ref="AB156:AO156" si="138">MIN(AB151:AB155)</f>
        <v>20</v>
      </c>
      <c r="AC156" s="218">
        <f t="shared" si="138"/>
        <v>20</v>
      </c>
      <c r="AD156" s="218">
        <f t="shared" si="138"/>
        <v>20</v>
      </c>
      <c r="AE156" s="218">
        <f t="shared" si="138"/>
        <v>20</v>
      </c>
      <c r="AF156" s="490">
        <f t="shared" si="138"/>
        <v>20</v>
      </c>
      <c r="AG156" s="490">
        <f t="shared" si="138"/>
        <v>20</v>
      </c>
      <c r="AH156" s="490">
        <f t="shared" si="138"/>
        <v>20</v>
      </c>
      <c r="AI156" s="222">
        <f t="shared" si="138"/>
        <v>49</v>
      </c>
      <c r="AJ156" s="218">
        <f t="shared" si="138"/>
        <v>50.5</v>
      </c>
      <c r="AK156" s="218">
        <f t="shared" si="138"/>
        <v>52</v>
      </c>
      <c r="AL156" s="218">
        <f t="shared" si="138"/>
        <v>55</v>
      </c>
      <c r="AM156" s="490">
        <f t="shared" si="138"/>
        <v>56</v>
      </c>
      <c r="AN156" s="490">
        <f t="shared" si="138"/>
        <v>57</v>
      </c>
      <c r="AO156" s="490">
        <f t="shared" si="138"/>
        <v>59</v>
      </c>
      <c r="AP156" s="222"/>
      <c r="AQ156" s="223"/>
      <c r="AR156" s="104"/>
    </row>
    <row r="157" spans="1:44" ht="14.25" customHeight="1" x14ac:dyDescent="0.3">
      <c r="A157" s="960"/>
      <c r="B157" s="224" t="s">
        <v>268</v>
      </c>
      <c r="C157" s="229"/>
      <c r="D157" s="225"/>
      <c r="E157" s="225"/>
      <c r="F157" s="230"/>
      <c r="G157" s="226">
        <f>MEDIAN(G151:G155)</f>
        <v>33.158135677248353</v>
      </c>
      <c r="H157" s="227">
        <f t="shared" ref="H157:T157" si="139">MEDIAN(H151:H155)</f>
        <v>78.188295945925717</v>
      </c>
      <c r="I157" s="227">
        <f t="shared" si="139"/>
        <v>62.53187277422662</v>
      </c>
      <c r="J157" s="227">
        <f t="shared" si="139"/>
        <v>31.219026430828436</v>
      </c>
      <c r="K157" s="227">
        <f t="shared" si="139"/>
        <v>31.21813154224867</v>
      </c>
      <c r="L157" s="227">
        <f t="shared" si="139"/>
        <v>31.219026430828436</v>
      </c>
      <c r="M157" s="227">
        <f t="shared" si="139"/>
        <v>31.220816207987966</v>
      </c>
      <c r="N157" s="226">
        <f t="shared" si="139"/>
        <v>1.7738531420796495</v>
      </c>
      <c r="O157" s="227">
        <f t="shared" si="139"/>
        <v>2.5306430383321175</v>
      </c>
      <c r="P157" s="227">
        <f t="shared" si="139"/>
        <v>2.11185900736045</v>
      </c>
      <c r="Q157" s="227">
        <f t="shared" si="139"/>
        <v>1.1641383558070235</v>
      </c>
      <c r="R157" s="227">
        <f t="shared" si="139"/>
        <v>1.0643635565258514</v>
      </c>
      <c r="S157" s="227">
        <f t="shared" si="139"/>
        <v>0.9645887572446793</v>
      </c>
      <c r="T157" s="227">
        <f t="shared" si="139"/>
        <v>0.96546588032901393</v>
      </c>
      <c r="U157" s="229"/>
      <c r="V157" s="225"/>
      <c r="W157" s="225"/>
      <c r="X157" s="225"/>
      <c r="Y157" s="227"/>
      <c r="Z157" s="225"/>
      <c r="AA157" s="227"/>
      <c r="AB157" s="229">
        <f t="shared" ref="AB157:AO157" si="140">MEDIAN(AB151:AB155)</f>
        <v>25</v>
      </c>
      <c r="AC157" s="225">
        <f t="shared" si="140"/>
        <v>25</v>
      </c>
      <c r="AD157" s="225">
        <f t="shared" si="140"/>
        <v>25</v>
      </c>
      <c r="AE157" s="225">
        <f t="shared" si="140"/>
        <v>25</v>
      </c>
      <c r="AF157" s="494">
        <f t="shared" si="140"/>
        <v>25</v>
      </c>
      <c r="AG157" s="494">
        <f t="shared" si="140"/>
        <v>25</v>
      </c>
      <c r="AH157" s="494">
        <f t="shared" si="140"/>
        <v>25</v>
      </c>
      <c r="AI157" s="229">
        <f t="shared" si="140"/>
        <v>49</v>
      </c>
      <c r="AJ157" s="225">
        <f t="shared" si="140"/>
        <v>50.5</v>
      </c>
      <c r="AK157" s="225">
        <f t="shared" si="140"/>
        <v>52</v>
      </c>
      <c r="AL157" s="225">
        <f t="shared" si="140"/>
        <v>55</v>
      </c>
      <c r="AM157" s="494">
        <f t="shared" si="140"/>
        <v>56</v>
      </c>
      <c r="AN157" s="494">
        <f t="shared" si="140"/>
        <v>57</v>
      </c>
      <c r="AO157" s="494">
        <f t="shared" si="140"/>
        <v>59</v>
      </c>
      <c r="AP157" s="229"/>
      <c r="AQ157" s="230"/>
      <c r="AR157" s="104"/>
    </row>
    <row r="158" spans="1:44" ht="14.25" customHeight="1" x14ac:dyDescent="0.3">
      <c r="A158" s="960"/>
      <c r="B158" s="231" t="s">
        <v>269</v>
      </c>
      <c r="C158" s="234"/>
      <c r="D158" s="232"/>
      <c r="E158" s="232"/>
      <c r="F158" s="235"/>
      <c r="G158" s="599">
        <f>MAX(G151:G155)</f>
        <v>221.21092636870011</v>
      </c>
      <c r="H158" s="233">
        <f t="shared" ref="H158:T158" si="141">MAX(H151:H155)</f>
        <v>176.47828873527413</v>
      </c>
      <c r="I158" s="233">
        <f t="shared" si="141"/>
        <v>131.74565110184815</v>
      </c>
      <c r="J158" s="233">
        <f t="shared" si="141"/>
        <v>42.2803758349962</v>
      </c>
      <c r="K158" s="233">
        <f t="shared" si="141"/>
        <v>42.2803758349962</v>
      </c>
      <c r="L158" s="233">
        <f t="shared" si="141"/>
        <v>42.2803758349962</v>
      </c>
      <c r="M158" s="233">
        <f t="shared" si="141"/>
        <v>42.2803758349962</v>
      </c>
      <c r="N158" s="599">
        <f t="shared" si="141"/>
        <v>5.917034971762801</v>
      </c>
      <c r="O158" s="233">
        <f t="shared" si="141"/>
        <v>4.7205091689866077</v>
      </c>
      <c r="P158" s="233">
        <f t="shared" si="141"/>
        <v>3.5239833662104143</v>
      </c>
      <c r="Q158" s="233">
        <f t="shared" si="141"/>
        <v>1.7569296583736098</v>
      </c>
      <c r="R158" s="233">
        <f t="shared" si="141"/>
        <v>1.7569296583736098</v>
      </c>
      <c r="S158" s="233">
        <f t="shared" si="141"/>
        <v>1.7569296583736098</v>
      </c>
      <c r="T158" s="233">
        <f t="shared" si="141"/>
        <v>1.7569296583736098</v>
      </c>
      <c r="U158" s="234"/>
      <c r="V158" s="232"/>
      <c r="W158" s="232"/>
      <c r="X158" s="232"/>
      <c r="Y158" s="233"/>
      <c r="Z158" s="232"/>
      <c r="AA158" s="233"/>
      <c r="AB158" s="234">
        <f t="shared" ref="AB158:AO158" si="142">MAX(AB151:AB155)</f>
        <v>30</v>
      </c>
      <c r="AC158" s="232">
        <f t="shared" si="142"/>
        <v>30</v>
      </c>
      <c r="AD158" s="232">
        <f t="shared" si="142"/>
        <v>30</v>
      </c>
      <c r="AE158" s="232">
        <f t="shared" si="142"/>
        <v>30</v>
      </c>
      <c r="AF158" s="498">
        <f t="shared" si="142"/>
        <v>30</v>
      </c>
      <c r="AG158" s="498">
        <f t="shared" si="142"/>
        <v>30</v>
      </c>
      <c r="AH158" s="498">
        <f t="shared" si="142"/>
        <v>30</v>
      </c>
      <c r="AI158" s="234">
        <f t="shared" si="142"/>
        <v>49</v>
      </c>
      <c r="AJ158" s="232">
        <f t="shared" si="142"/>
        <v>50.5</v>
      </c>
      <c r="AK158" s="232">
        <f t="shared" si="142"/>
        <v>52</v>
      </c>
      <c r="AL158" s="232">
        <f t="shared" si="142"/>
        <v>55</v>
      </c>
      <c r="AM158" s="498">
        <f t="shared" si="142"/>
        <v>56</v>
      </c>
      <c r="AN158" s="498">
        <f t="shared" si="142"/>
        <v>57</v>
      </c>
      <c r="AO158" s="498">
        <f t="shared" si="142"/>
        <v>59</v>
      </c>
      <c r="AP158" s="234"/>
      <c r="AQ158" s="235"/>
      <c r="AR158" s="104"/>
    </row>
    <row r="159" spans="1:44" ht="14.25" customHeight="1" x14ac:dyDescent="0.3">
      <c r="A159" s="960"/>
      <c r="B159" s="967" t="s">
        <v>85</v>
      </c>
      <c r="C159" s="737">
        <v>4</v>
      </c>
      <c r="D159" s="623" t="s">
        <v>31</v>
      </c>
      <c r="E159" s="623">
        <v>2022</v>
      </c>
      <c r="F159" s="280" t="s">
        <v>19</v>
      </c>
      <c r="G159" s="508">
        <f t="shared" ref="G159:L159" si="143">(31700578.34/75000)*(1/1000)*(1/(2*10^-3))*(1/30)</f>
        <v>7.0445729644444439</v>
      </c>
      <c r="H159" s="281">
        <f t="shared" si="143"/>
        <v>7.0445729644444439</v>
      </c>
      <c r="I159" s="281">
        <f t="shared" si="143"/>
        <v>7.0445729644444439</v>
      </c>
      <c r="J159" s="281">
        <f t="shared" si="143"/>
        <v>7.0445729644444439</v>
      </c>
      <c r="K159" s="281">
        <f t="shared" si="143"/>
        <v>7.0445729644444439</v>
      </c>
      <c r="L159" s="281">
        <f t="shared" si="143"/>
        <v>7.0445729644444439</v>
      </c>
      <c r="M159" s="93">
        <f t="shared" ref="M159:M161" si="144">K159+((L159-K159)/(2050-2045))*(2060-2045)</f>
        <v>7.0445729644444439</v>
      </c>
      <c r="N159" s="508">
        <f>G159*0.05*$AW$4</f>
        <v>0.47107737031802416</v>
      </c>
      <c r="O159" s="281">
        <f t="shared" ref="O159:Q159" si="145">H159*0.05*$AW$4</f>
        <v>0.47107737031802416</v>
      </c>
      <c r="P159" s="281">
        <f t="shared" si="145"/>
        <v>0.47107737031802416</v>
      </c>
      <c r="Q159" s="281">
        <f t="shared" si="145"/>
        <v>0.47107737031802416</v>
      </c>
      <c r="R159" s="93">
        <f>Q159+((S159-Q159)/(2050-2040))*(2045-2040)</f>
        <v>0.47107737031802416</v>
      </c>
      <c r="S159" s="281">
        <f>L159*0.05*$AW$4</f>
        <v>0.47107737031802416</v>
      </c>
      <c r="T159" s="93">
        <f>R159+((S159-R159)/(2050-2045))*(2060-2045)</f>
        <v>0.47107737031802416</v>
      </c>
      <c r="U159" s="278"/>
      <c r="V159" s="279"/>
      <c r="W159" s="279"/>
      <c r="X159" s="279"/>
      <c r="Y159" s="281"/>
      <c r="Z159" s="279"/>
      <c r="AA159" s="281"/>
      <c r="AB159" s="278">
        <v>15</v>
      </c>
      <c r="AC159" s="279">
        <v>15</v>
      </c>
      <c r="AD159" s="279">
        <v>15</v>
      </c>
      <c r="AE159" s="279">
        <v>15</v>
      </c>
      <c r="AF159" s="101">
        <f>AE159+((AG159-AE159)/(2050-2040))*(2045-2040)</f>
        <v>15</v>
      </c>
      <c r="AG159" s="625">
        <v>15</v>
      </c>
      <c r="AH159" s="101">
        <f>AF159+((AG159-AF159)/(2050-2045))*(2060-2045)</f>
        <v>15</v>
      </c>
      <c r="AI159" s="278"/>
      <c r="AJ159" s="279"/>
      <c r="AK159" s="279"/>
      <c r="AL159" s="279"/>
      <c r="AM159" s="625"/>
      <c r="AN159" s="625"/>
      <c r="AO159" s="625"/>
      <c r="AP159" s="278"/>
      <c r="AQ159" s="7"/>
      <c r="AR159" s="104"/>
    </row>
    <row r="160" spans="1:44" ht="14.25" customHeight="1" x14ac:dyDescent="0.3">
      <c r="A160" s="960"/>
      <c r="B160" s="955"/>
      <c r="C160" s="738">
        <v>11</v>
      </c>
      <c r="D160" s="626" t="s">
        <v>57</v>
      </c>
      <c r="E160" s="626">
        <v>2022</v>
      </c>
      <c r="F160" s="291" t="s">
        <v>19</v>
      </c>
      <c r="G160" s="106">
        <f t="shared" ref="G160:G161" si="146">H160+((I160-H160)/(2030-2025))*(2020-2025)</f>
        <v>30.410642315605525</v>
      </c>
      <c r="H160" s="107">
        <f t="shared" ref="H160:H161" si="147">I160+((J160-I160)/(2040-2030))*(2025-2030)</f>
        <v>24.92178912657478</v>
      </c>
      <c r="I160" s="282">
        <f>(1379/1.1827)*(1/1000)*(1/(2*10^-3))*(1/30)</f>
        <v>19.432935937544034</v>
      </c>
      <c r="J160" s="282">
        <f>((600)/1.1827)*(1/1000)*(1/(2*10^-3))*(1/30)</f>
        <v>8.4552295594825395</v>
      </c>
      <c r="K160" s="107">
        <f t="shared" ref="K160:K161" si="148">J160+((L160-J160)/(2050-2040))*(2045-2040)</f>
        <v>8.4552295594825395</v>
      </c>
      <c r="L160" s="282">
        <f>((600)/1.1827)*(1/1000)*(1/(2*10^-3))*(1/30)</f>
        <v>8.4552295594825395</v>
      </c>
      <c r="M160" s="107">
        <f t="shared" si="144"/>
        <v>8.4552295594825395</v>
      </c>
      <c r="N160" s="106">
        <f t="shared" ref="N160:N161" si="149">G160*0.02*$AW$4</f>
        <v>0.81343556147535767</v>
      </c>
      <c r="O160" s="107">
        <f t="shared" ref="O160:T161" si="150">H160*0.02*$AW$4</f>
        <v>0.66661760448061647</v>
      </c>
      <c r="P160" s="107">
        <f t="shared" si="150"/>
        <v>0.51979964748587515</v>
      </c>
      <c r="Q160" s="107">
        <f t="shared" si="150"/>
        <v>0.22616373349639238</v>
      </c>
      <c r="R160" s="107">
        <f t="shared" si="150"/>
        <v>0.22616373349639238</v>
      </c>
      <c r="S160" s="107">
        <f t="shared" si="150"/>
        <v>0.22616373349639238</v>
      </c>
      <c r="T160" s="107">
        <f t="shared" si="150"/>
        <v>0.22616373349639238</v>
      </c>
      <c r="U160" s="289"/>
      <c r="V160" s="290"/>
      <c r="W160" s="290"/>
      <c r="X160" s="290"/>
      <c r="Y160" s="282"/>
      <c r="Z160" s="290"/>
      <c r="AA160" s="282"/>
      <c r="AB160" s="289"/>
      <c r="AC160" s="290"/>
      <c r="AD160" s="290"/>
      <c r="AE160" s="290"/>
      <c r="AF160" s="288"/>
      <c r="AG160" s="288"/>
      <c r="AH160" s="288"/>
      <c r="AI160" s="733">
        <f t="shared" ref="AI160:AI161" si="151">AJ160+((AK160-AJ160)/(2030-2025))*(2020-2025)</f>
        <v>37</v>
      </c>
      <c r="AJ160" s="297">
        <f t="shared" ref="AJ160:AJ161" si="152">AK160+((AL160-AK160)/(2040-2030))*(2025-2030)</f>
        <v>38.5</v>
      </c>
      <c r="AK160" s="290">
        <v>40</v>
      </c>
      <c r="AL160" s="290">
        <v>43</v>
      </c>
      <c r="AM160" s="377">
        <f t="shared" ref="AM160:AM161" si="153">AL160+((AN160-AL160)/(2050-2040))*(2045-2040)</f>
        <v>44.5</v>
      </c>
      <c r="AN160" s="288">
        <v>46</v>
      </c>
      <c r="AO160" s="378">
        <f t="shared" ref="AO160:AO161" si="154">AM160+((AN160-AM160)/(2050-2045))*(2060-2045)</f>
        <v>49</v>
      </c>
      <c r="AP160" s="289"/>
      <c r="AQ160" s="11"/>
      <c r="AR160" s="116" t="s">
        <v>436</v>
      </c>
    </row>
    <row r="161" spans="1:49" ht="14.25" customHeight="1" x14ac:dyDescent="0.3">
      <c r="A161" s="960"/>
      <c r="B161" s="968"/>
      <c r="C161" s="739">
        <v>11</v>
      </c>
      <c r="D161" s="651" t="s">
        <v>57</v>
      </c>
      <c r="E161" s="651">
        <v>2022</v>
      </c>
      <c r="F161" s="301" t="s">
        <v>19</v>
      </c>
      <c r="G161" s="607">
        <f t="shared" si="146"/>
        <v>45.601871424142502</v>
      </c>
      <c r="H161" s="122">
        <f t="shared" si="147"/>
        <v>37.372114652912828</v>
      </c>
      <c r="I161" s="302">
        <f>(2068/1.1827)*(1/1000)*(1/(2*10^-3))*(1/30)</f>
        <v>29.142357881683154</v>
      </c>
      <c r="J161" s="302">
        <f>((900)/1.1827)*(1/1000)*(1/(2*10^-3))*(1/30)</f>
        <v>12.682844339223811</v>
      </c>
      <c r="K161" s="122">
        <f t="shared" si="148"/>
        <v>12.682844339223811</v>
      </c>
      <c r="L161" s="302">
        <f>((900)/1.1827)*(1/1000)*(1/(2*10^-3))*(1/30)</f>
        <v>12.682844339223811</v>
      </c>
      <c r="M161" s="122">
        <f t="shared" si="144"/>
        <v>12.682844339223811</v>
      </c>
      <c r="N161" s="106">
        <f t="shared" si="149"/>
        <v>1.2197764026572098</v>
      </c>
      <c r="O161" s="107">
        <f t="shared" si="150"/>
        <v>0.99964370205405451</v>
      </c>
      <c r="P161" s="107">
        <f t="shared" si="150"/>
        <v>0.77951100145089913</v>
      </c>
      <c r="Q161" s="107">
        <f t="shared" si="150"/>
        <v>0.33924560024458866</v>
      </c>
      <c r="R161" s="107">
        <f t="shared" si="150"/>
        <v>0.33924560024458866</v>
      </c>
      <c r="S161" s="107">
        <f t="shared" si="150"/>
        <v>0.33924560024458866</v>
      </c>
      <c r="T161" s="107">
        <f t="shared" si="150"/>
        <v>0.33924560024458866</v>
      </c>
      <c r="U161" s="299"/>
      <c r="V161" s="300"/>
      <c r="W161" s="300"/>
      <c r="X161" s="300"/>
      <c r="Y161" s="302"/>
      <c r="Z161" s="300"/>
      <c r="AA161" s="302"/>
      <c r="AB161" s="299"/>
      <c r="AC161" s="300"/>
      <c r="AD161" s="300"/>
      <c r="AE161" s="300"/>
      <c r="AF161" s="308"/>
      <c r="AG161" s="308"/>
      <c r="AH161" s="308"/>
      <c r="AI161" s="736">
        <f t="shared" si="151"/>
        <v>37</v>
      </c>
      <c r="AJ161" s="306">
        <f t="shared" si="152"/>
        <v>38.5</v>
      </c>
      <c r="AK161" s="300">
        <v>40</v>
      </c>
      <c r="AL161" s="300">
        <v>43</v>
      </c>
      <c r="AM161" s="712">
        <f t="shared" si="153"/>
        <v>44.5</v>
      </c>
      <c r="AN161" s="308">
        <v>46</v>
      </c>
      <c r="AO161" s="386">
        <f t="shared" si="154"/>
        <v>49</v>
      </c>
      <c r="AP161" s="299"/>
      <c r="AQ161" s="18"/>
      <c r="AR161" s="116" t="s">
        <v>437</v>
      </c>
    </row>
    <row r="162" spans="1:49" ht="14.25" customHeight="1" x14ac:dyDescent="0.3">
      <c r="A162" s="960"/>
      <c r="B162" s="310" t="s">
        <v>267</v>
      </c>
      <c r="C162" s="317"/>
      <c r="D162" s="318"/>
      <c r="E162" s="318"/>
      <c r="F162" s="321"/>
      <c r="G162" s="312">
        <f>MIN(G159:G161)</f>
        <v>7.0445729644444439</v>
      </c>
      <c r="H162" s="313">
        <f t="shared" ref="H162:T162" si="155">MIN(H159:H161)</f>
        <v>7.0445729644444439</v>
      </c>
      <c r="I162" s="313">
        <f t="shared" si="155"/>
        <v>7.0445729644444439</v>
      </c>
      <c r="J162" s="313">
        <f t="shared" si="155"/>
        <v>7.0445729644444439</v>
      </c>
      <c r="K162" s="313">
        <f t="shared" si="155"/>
        <v>7.0445729644444439</v>
      </c>
      <c r="L162" s="313">
        <f t="shared" si="155"/>
        <v>7.0445729644444439</v>
      </c>
      <c r="M162" s="313">
        <f t="shared" si="155"/>
        <v>7.0445729644444439</v>
      </c>
      <c r="N162" s="312">
        <f t="shared" si="155"/>
        <v>0.47107737031802416</v>
      </c>
      <c r="O162" s="313">
        <f t="shared" si="155"/>
        <v>0.47107737031802416</v>
      </c>
      <c r="P162" s="313">
        <f t="shared" si="155"/>
        <v>0.47107737031802416</v>
      </c>
      <c r="Q162" s="313">
        <f t="shared" si="155"/>
        <v>0.22616373349639238</v>
      </c>
      <c r="R162" s="313">
        <f t="shared" si="155"/>
        <v>0.22616373349639238</v>
      </c>
      <c r="S162" s="313">
        <f t="shared" si="155"/>
        <v>0.22616373349639238</v>
      </c>
      <c r="T162" s="313">
        <f t="shared" si="155"/>
        <v>0.22616373349639238</v>
      </c>
      <c r="U162" s="317"/>
      <c r="V162" s="318"/>
      <c r="W162" s="318"/>
      <c r="X162" s="318"/>
      <c r="Y162" s="313"/>
      <c r="Z162" s="318"/>
      <c r="AA162" s="313"/>
      <c r="AB162" s="317">
        <f t="shared" ref="AB162:AO162" si="156">MIN(AB159:AB161)</f>
        <v>15</v>
      </c>
      <c r="AC162" s="318">
        <f t="shared" si="156"/>
        <v>15</v>
      </c>
      <c r="AD162" s="318">
        <f t="shared" si="156"/>
        <v>15</v>
      </c>
      <c r="AE162" s="318">
        <f t="shared" si="156"/>
        <v>15</v>
      </c>
      <c r="AF162" s="319">
        <f t="shared" si="156"/>
        <v>15</v>
      </c>
      <c r="AG162" s="319">
        <f t="shared" si="156"/>
        <v>15</v>
      </c>
      <c r="AH162" s="319">
        <f t="shared" si="156"/>
        <v>15</v>
      </c>
      <c r="AI162" s="317">
        <f t="shared" si="156"/>
        <v>37</v>
      </c>
      <c r="AJ162" s="318">
        <f t="shared" si="156"/>
        <v>38.5</v>
      </c>
      <c r="AK162" s="318">
        <f t="shared" si="156"/>
        <v>40</v>
      </c>
      <c r="AL162" s="318">
        <f t="shared" si="156"/>
        <v>43</v>
      </c>
      <c r="AM162" s="740">
        <f t="shared" si="156"/>
        <v>44.5</v>
      </c>
      <c r="AN162" s="319">
        <f t="shared" si="156"/>
        <v>46</v>
      </c>
      <c r="AO162" s="319">
        <f t="shared" si="156"/>
        <v>49</v>
      </c>
      <c r="AP162" s="317"/>
      <c r="AQ162" s="321"/>
      <c r="AR162" s="104"/>
    </row>
    <row r="163" spans="1:49" ht="14.25" customHeight="1" x14ac:dyDescent="0.3">
      <c r="A163" s="960"/>
      <c r="B163" s="322" t="s">
        <v>268</v>
      </c>
      <c r="C163" s="328"/>
      <c r="D163" s="311"/>
      <c r="E163" s="311"/>
      <c r="F163" s="331"/>
      <c r="G163" s="323">
        <f>MEDIAN(G159:G161)</f>
        <v>30.410642315605525</v>
      </c>
      <c r="H163" s="324">
        <f t="shared" ref="H163:T163" si="157">MEDIAN(H159:H161)</f>
        <v>24.92178912657478</v>
      </c>
      <c r="I163" s="324">
        <f t="shared" si="157"/>
        <v>19.432935937544034</v>
      </c>
      <c r="J163" s="324">
        <f t="shared" si="157"/>
        <v>8.4552295594825395</v>
      </c>
      <c r="K163" s="324">
        <f t="shared" si="157"/>
        <v>8.4552295594825395</v>
      </c>
      <c r="L163" s="324">
        <f t="shared" si="157"/>
        <v>8.4552295594825395</v>
      </c>
      <c r="M163" s="324">
        <f t="shared" si="157"/>
        <v>8.4552295594825395</v>
      </c>
      <c r="N163" s="323">
        <f t="shared" si="157"/>
        <v>0.81343556147535767</v>
      </c>
      <c r="O163" s="324">
        <f t="shared" si="157"/>
        <v>0.66661760448061647</v>
      </c>
      <c r="P163" s="324">
        <f t="shared" si="157"/>
        <v>0.51979964748587515</v>
      </c>
      <c r="Q163" s="324">
        <f t="shared" si="157"/>
        <v>0.33924560024458866</v>
      </c>
      <c r="R163" s="324">
        <f t="shared" si="157"/>
        <v>0.33924560024458866</v>
      </c>
      <c r="S163" s="324">
        <f t="shared" si="157"/>
        <v>0.33924560024458866</v>
      </c>
      <c r="T163" s="324">
        <f t="shared" si="157"/>
        <v>0.33924560024458866</v>
      </c>
      <c r="U163" s="328"/>
      <c r="V163" s="311"/>
      <c r="W163" s="311"/>
      <c r="X163" s="311"/>
      <c r="Y163" s="324"/>
      <c r="Z163" s="311"/>
      <c r="AA163" s="324"/>
      <c r="AB163" s="328">
        <f t="shared" ref="AB163:AO163" si="158">MEDIAN(AB159:AB161)</f>
        <v>15</v>
      </c>
      <c r="AC163" s="311">
        <f t="shared" si="158"/>
        <v>15</v>
      </c>
      <c r="AD163" s="311">
        <f t="shared" si="158"/>
        <v>15</v>
      </c>
      <c r="AE163" s="311">
        <f t="shared" si="158"/>
        <v>15</v>
      </c>
      <c r="AF163" s="329">
        <f t="shared" si="158"/>
        <v>15</v>
      </c>
      <c r="AG163" s="329">
        <f t="shared" si="158"/>
        <v>15</v>
      </c>
      <c r="AH163" s="329">
        <f t="shared" si="158"/>
        <v>15</v>
      </c>
      <c r="AI163" s="328">
        <f t="shared" si="158"/>
        <v>37</v>
      </c>
      <c r="AJ163" s="311">
        <f t="shared" si="158"/>
        <v>38.5</v>
      </c>
      <c r="AK163" s="311">
        <f t="shared" si="158"/>
        <v>40</v>
      </c>
      <c r="AL163" s="311">
        <f t="shared" si="158"/>
        <v>43</v>
      </c>
      <c r="AM163" s="741">
        <f t="shared" si="158"/>
        <v>44.5</v>
      </c>
      <c r="AN163" s="329">
        <f t="shared" si="158"/>
        <v>46</v>
      </c>
      <c r="AO163" s="329">
        <f t="shared" si="158"/>
        <v>49</v>
      </c>
      <c r="AP163" s="328"/>
      <c r="AQ163" s="331"/>
      <c r="AR163" s="104"/>
    </row>
    <row r="164" spans="1:49" ht="14.25" customHeight="1" x14ac:dyDescent="0.3">
      <c r="A164" s="960"/>
      <c r="B164" s="332" t="s">
        <v>269</v>
      </c>
      <c r="C164" s="339"/>
      <c r="D164" s="333"/>
      <c r="E164" s="333"/>
      <c r="F164" s="342"/>
      <c r="G164" s="334">
        <f>MAX(G159:G161)</f>
        <v>45.601871424142502</v>
      </c>
      <c r="H164" s="335">
        <f t="shared" ref="H164:T164" si="159">MAX(H159:H161)</f>
        <v>37.372114652912828</v>
      </c>
      <c r="I164" s="335">
        <f t="shared" si="159"/>
        <v>29.142357881683154</v>
      </c>
      <c r="J164" s="335">
        <f t="shared" si="159"/>
        <v>12.682844339223811</v>
      </c>
      <c r="K164" s="335">
        <f t="shared" si="159"/>
        <v>12.682844339223811</v>
      </c>
      <c r="L164" s="335">
        <f t="shared" si="159"/>
        <v>12.682844339223811</v>
      </c>
      <c r="M164" s="335">
        <f t="shared" si="159"/>
        <v>12.682844339223811</v>
      </c>
      <c r="N164" s="334">
        <f t="shared" si="159"/>
        <v>1.2197764026572098</v>
      </c>
      <c r="O164" s="335">
        <f t="shared" si="159"/>
        <v>0.99964370205405451</v>
      </c>
      <c r="P164" s="335">
        <f t="shared" si="159"/>
        <v>0.77951100145089913</v>
      </c>
      <c r="Q164" s="335">
        <f t="shared" si="159"/>
        <v>0.47107737031802416</v>
      </c>
      <c r="R164" s="335">
        <f t="shared" si="159"/>
        <v>0.47107737031802416</v>
      </c>
      <c r="S164" s="335">
        <f t="shared" si="159"/>
        <v>0.47107737031802416</v>
      </c>
      <c r="T164" s="335">
        <f t="shared" si="159"/>
        <v>0.47107737031802416</v>
      </c>
      <c r="U164" s="339"/>
      <c r="V164" s="333"/>
      <c r="W164" s="333"/>
      <c r="X164" s="333"/>
      <c r="Y164" s="335"/>
      <c r="Z164" s="333"/>
      <c r="AA164" s="335"/>
      <c r="AB164" s="339">
        <f t="shared" ref="AB164:AO164" si="160">MAX(AB159:AB161)</f>
        <v>15</v>
      </c>
      <c r="AC164" s="333">
        <f t="shared" si="160"/>
        <v>15</v>
      </c>
      <c r="AD164" s="333">
        <f t="shared" si="160"/>
        <v>15</v>
      </c>
      <c r="AE164" s="333">
        <f t="shared" si="160"/>
        <v>15</v>
      </c>
      <c r="AF164" s="340">
        <f t="shared" si="160"/>
        <v>15</v>
      </c>
      <c r="AG164" s="340">
        <f t="shared" si="160"/>
        <v>15</v>
      </c>
      <c r="AH164" s="340">
        <f t="shared" si="160"/>
        <v>15</v>
      </c>
      <c r="AI164" s="339">
        <f t="shared" si="160"/>
        <v>37</v>
      </c>
      <c r="AJ164" s="333">
        <f t="shared" si="160"/>
        <v>38.5</v>
      </c>
      <c r="AK164" s="333">
        <f t="shared" si="160"/>
        <v>40</v>
      </c>
      <c r="AL164" s="333">
        <f t="shared" si="160"/>
        <v>43</v>
      </c>
      <c r="AM164" s="742">
        <f t="shared" si="160"/>
        <v>44.5</v>
      </c>
      <c r="AN164" s="340">
        <f t="shared" si="160"/>
        <v>46</v>
      </c>
      <c r="AO164" s="340">
        <f t="shared" si="160"/>
        <v>49</v>
      </c>
      <c r="AP164" s="339"/>
      <c r="AQ164" s="342"/>
      <c r="AR164" s="104"/>
    </row>
    <row r="165" spans="1:49" ht="14.25" customHeight="1" x14ac:dyDescent="0.3">
      <c r="A165" s="960"/>
      <c r="B165" s="919" t="s">
        <v>438</v>
      </c>
      <c r="C165" s="247">
        <v>4</v>
      </c>
      <c r="D165" s="243" t="s">
        <v>31</v>
      </c>
      <c r="E165" s="243">
        <v>2022</v>
      </c>
      <c r="F165" s="710" t="s">
        <v>19</v>
      </c>
      <c r="G165" s="244">
        <f>74461941.34/53000*(10^-3/(5.2*10^-3))/30</f>
        <v>9.0060403168843717</v>
      </c>
      <c r="H165" s="245">
        <f t="shared" ref="H165:L165" si="161">74461941.34/53000*(10^-3/(5.2*10^-3))/30</f>
        <v>9.0060403168843717</v>
      </c>
      <c r="I165" s="245">
        <f t="shared" si="161"/>
        <v>9.0060403168843717</v>
      </c>
      <c r="J165" s="245">
        <f t="shared" si="161"/>
        <v>9.0060403168843717</v>
      </c>
      <c r="K165" s="245">
        <v>9.01</v>
      </c>
      <c r="L165" s="245">
        <f t="shared" si="161"/>
        <v>9.0060403168843717</v>
      </c>
      <c r="M165" s="93">
        <f t="shared" ref="M165:M167" si="162">K165+((L165-K165)/(2050-2045))*(2060-2045)</f>
        <v>8.9981209506531155</v>
      </c>
      <c r="N165" s="244">
        <f>G165*0.04*$AW$4</f>
        <v>0.48179406313132839</v>
      </c>
      <c r="O165" s="245">
        <f t="shared" ref="O165:Q165" si="163">H165*0.04*$AW$4</f>
        <v>0.48179406313132839</v>
      </c>
      <c r="P165" s="245">
        <f t="shared" si="163"/>
        <v>0.48179406313132839</v>
      </c>
      <c r="Q165" s="245">
        <f t="shared" si="163"/>
        <v>0.48179406313132839</v>
      </c>
      <c r="R165" s="93">
        <f>Q165+((S165-Q165)/(2050-2040))*(2045-2040)</f>
        <v>0.48179406313132839</v>
      </c>
      <c r="S165" s="245">
        <f>L165*0.04*$AW$4</f>
        <v>0.48179406313132839</v>
      </c>
      <c r="T165" s="93">
        <f>R165+((S165-R165)/(2050-2045))*(2060-2045)</f>
        <v>0.48179406313132839</v>
      </c>
      <c r="U165" s="247"/>
      <c r="V165" s="243"/>
      <c r="W165" s="243"/>
      <c r="X165" s="243"/>
      <c r="Y165" s="245"/>
      <c r="Z165" s="243"/>
      <c r="AA165" s="245"/>
      <c r="AB165" s="247">
        <v>20</v>
      </c>
      <c r="AC165" s="243">
        <v>20</v>
      </c>
      <c r="AD165" s="243">
        <v>20</v>
      </c>
      <c r="AE165" s="243">
        <v>20</v>
      </c>
      <c r="AF165" s="101">
        <f>AE165+((AG165-AE165)/(2050-2040))*(2045-2040)</f>
        <v>20</v>
      </c>
      <c r="AG165" s="669">
        <v>20</v>
      </c>
      <c r="AH165" s="101">
        <f>AF165+((AG165-AF165)/(2050-2045))*(2060-2045)</f>
        <v>20</v>
      </c>
      <c r="AI165" s="247"/>
      <c r="AJ165" s="243"/>
      <c r="AK165" s="243"/>
      <c r="AL165" s="243"/>
      <c r="AM165" s="669"/>
      <c r="AN165" s="669"/>
      <c r="AO165" s="669"/>
      <c r="AP165" s="247"/>
      <c r="AQ165" s="33"/>
      <c r="AR165" s="104"/>
    </row>
    <row r="166" spans="1:49" ht="14.25" customHeight="1" x14ac:dyDescent="0.3">
      <c r="A166" s="960"/>
      <c r="B166" s="970"/>
      <c r="C166" s="743">
        <v>11</v>
      </c>
      <c r="D166" s="744" t="s">
        <v>57</v>
      </c>
      <c r="E166" s="744">
        <v>2022</v>
      </c>
      <c r="F166" s="710" t="s">
        <v>19</v>
      </c>
      <c r="G166" s="106">
        <f t="shared" ref="G166:G167" si="164">H166+((I166-H166)/(2030-2025))*(2020-2025)</f>
        <v>24.639406139363853</v>
      </c>
      <c r="H166" s="107">
        <f t="shared" ref="H166:H167" si="165">I166+((J166-I166)/(2040-2030))*(2025-2030)</f>
        <v>19.699058867909795</v>
      </c>
      <c r="I166" s="245">
        <f>2723/1.1827*(10^-3/(5.2*10^-3))/30</f>
        <v>14.758711596455736</v>
      </c>
      <c r="J166" s="245">
        <f>(900)/1.1827*(10^-3/(5.2*10^-3))/30</f>
        <v>4.8780170535476186</v>
      </c>
      <c r="K166" s="107">
        <f t="shared" ref="K166:K167" si="166">J166+((L166-J166)/(2050-2040))*(2045-2040)</f>
        <v>4.8780170535476186</v>
      </c>
      <c r="L166" s="245">
        <f>(900)/1.1827*(10^-3/(5.2*10^-3))/30</f>
        <v>4.8780170535476186</v>
      </c>
      <c r="M166" s="107">
        <f t="shared" si="162"/>
        <v>4.8780170535476186</v>
      </c>
      <c r="N166" s="106">
        <f t="shared" ref="N166:N167" si="167">G166*0.02*$AW$4</f>
        <v>0.65906431568884583</v>
      </c>
      <c r="O166" s="107">
        <f t="shared" ref="O166:T167" si="168">H166*0.02*$AW$4</f>
        <v>0.52691800602092165</v>
      </c>
      <c r="P166" s="107">
        <f t="shared" si="168"/>
        <v>0.39477169635299764</v>
      </c>
      <c r="Q166" s="107">
        <f t="shared" si="168"/>
        <v>0.13047907701714945</v>
      </c>
      <c r="R166" s="107">
        <f t="shared" si="168"/>
        <v>0.13047907701714945</v>
      </c>
      <c r="S166" s="107">
        <f t="shared" si="168"/>
        <v>0.13047907701714945</v>
      </c>
      <c r="T166" s="107">
        <f t="shared" si="168"/>
        <v>0.13047907701714945</v>
      </c>
      <c r="U166" s="247"/>
      <c r="V166" s="243"/>
      <c r="W166" s="243"/>
      <c r="X166" s="243"/>
      <c r="Y166" s="245"/>
      <c r="Z166" s="243"/>
      <c r="AA166" s="245"/>
      <c r="AB166" s="247"/>
      <c r="AC166" s="243"/>
      <c r="AD166" s="243"/>
      <c r="AE166" s="243"/>
      <c r="AF166" s="669"/>
      <c r="AG166" s="669"/>
      <c r="AH166" s="669"/>
      <c r="AI166" s="733">
        <f t="shared" ref="AI166:AI167" si="169">AJ166+((AK166-AJ166)/(2030-2025))*(2020-2025)</f>
        <v>44</v>
      </c>
      <c r="AJ166" s="297">
        <f t="shared" ref="AJ166:AJ167" si="170">AK166+((AL166-AK166)/(2040-2030))*(2025-2030)</f>
        <v>45.5</v>
      </c>
      <c r="AK166" s="243">
        <v>47</v>
      </c>
      <c r="AL166" s="243">
        <v>50</v>
      </c>
      <c r="AM166" s="378">
        <f t="shared" ref="AM166:AM167" si="171">AL166+((AN166-AL166)/(2050-2040))*(2045-2040)</f>
        <v>51</v>
      </c>
      <c r="AN166" s="669">
        <v>52</v>
      </c>
      <c r="AO166" s="378">
        <f t="shared" ref="AO166:AO167" si="172">AM166+((AN166-AM166)/(2050-2045))*(2060-2045)</f>
        <v>54</v>
      </c>
      <c r="AP166" s="247"/>
      <c r="AQ166" s="33"/>
      <c r="AR166" s="116" t="s">
        <v>436</v>
      </c>
    </row>
    <row r="167" spans="1:49" ht="14.25" customHeight="1" x14ac:dyDescent="0.3">
      <c r="A167" s="960"/>
      <c r="B167" s="971"/>
      <c r="C167" s="743">
        <v>11</v>
      </c>
      <c r="D167" s="744" t="s">
        <v>57</v>
      </c>
      <c r="E167" s="744">
        <v>2022</v>
      </c>
      <c r="F167" s="710" t="s">
        <v>19</v>
      </c>
      <c r="G167" s="106">
        <f t="shared" si="164"/>
        <v>47.902127465837609</v>
      </c>
      <c r="H167" s="107">
        <f t="shared" si="165"/>
        <v>38.297853889297187</v>
      </c>
      <c r="I167" s="245">
        <f>5294/1.1827*(10^-3/(5.2*10^-3))/30</f>
        <v>28.693580312756765</v>
      </c>
      <c r="J167" s="245">
        <f>(1750)/1.1827*(10^-3/(5.2*10^-3))/30</f>
        <v>9.4850331596759254</v>
      </c>
      <c r="K167" s="122">
        <f t="shared" si="166"/>
        <v>9.4850331596759254</v>
      </c>
      <c r="L167" s="245">
        <f>(1750)/1.1827*(10^-3/(5.2*10^-3))/30</f>
        <v>9.4850331596759254</v>
      </c>
      <c r="M167" s="122">
        <f t="shared" si="162"/>
        <v>9.4850331596759254</v>
      </c>
      <c r="N167" s="106">
        <f t="shared" si="167"/>
        <v>1.2813045363084072</v>
      </c>
      <c r="O167" s="107">
        <f t="shared" si="168"/>
        <v>1.0244057313368644</v>
      </c>
      <c r="P167" s="107">
        <f t="shared" si="168"/>
        <v>0.76750692636532125</v>
      </c>
      <c r="Q167" s="107">
        <f t="shared" si="168"/>
        <v>0.25370931642223504</v>
      </c>
      <c r="R167" s="107">
        <f t="shared" si="168"/>
        <v>0.25370931642223504</v>
      </c>
      <c r="S167" s="107">
        <f t="shared" si="168"/>
        <v>0.25370931642223504</v>
      </c>
      <c r="T167" s="107">
        <f t="shared" si="168"/>
        <v>0.25370931642223504</v>
      </c>
      <c r="U167" s="247"/>
      <c r="V167" s="243"/>
      <c r="W167" s="243"/>
      <c r="X167" s="243"/>
      <c r="Y167" s="245"/>
      <c r="Z167" s="243"/>
      <c r="AA167" s="245"/>
      <c r="AB167" s="247"/>
      <c r="AC167" s="243"/>
      <c r="AD167" s="243"/>
      <c r="AE167" s="243"/>
      <c r="AF167" s="669"/>
      <c r="AG167" s="669"/>
      <c r="AH167" s="669"/>
      <c r="AI167" s="733">
        <f t="shared" si="169"/>
        <v>44</v>
      </c>
      <c r="AJ167" s="297">
        <f t="shared" si="170"/>
        <v>45.5</v>
      </c>
      <c r="AK167" s="243">
        <v>47</v>
      </c>
      <c r="AL167" s="243">
        <v>50</v>
      </c>
      <c r="AM167" s="386">
        <f t="shared" si="171"/>
        <v>51</v>
      </c>
      <c r="AN167" s="669">
        <v>52</v>
      </c>
      <c r="AO167" s="386">
        <f t="shared" si="172"/>
        <v>54</v>
      </c>
      <c r="AP167" s="247"/>
      <c r="AQ167" s="33"/>
      <c r="AR167" s="116" t="s">
        <v>437</v>
      </c>
    </row>
    <row r="168" spans="1:49" ht="14.25" customHeight="1" x14ac:dyDescent="0.3">
      <c r="A168" s="960"/>
      <c r="B168" s="251" t="s">
        <v>267</v>
      </c>
      <c r="C168" s="256"/>
      <c r="D168" s="252"/>
      <c r="E168" s="252"/>
      <c r="F168" s="259"/>
      <c r="G168" s="253">
        <f>MIN(G165:G167)</f>
        <v>9.0060403168843717</v>
      </c>
      <c r="H168" s="254">
        <f t="shared" ref="H168:T168" si="173">MIN(H165:H167)</f>
        <v>9.0060403168843717</v>
      </c>
      <c r="I168" s="254">
        <f t="shared" si="173"/>
        <v>9.0060403168843717</v>
      </c>
      <c r="J168" s="254">
        <f t="shared" si="173"/>
        <v>4.8780170535476186</v>
      </c>
      <c r="K168" s="254">
        <f t="shared" si="173"/>
        <v>4.8780170535476186</v>
      </c>
      <c r="L168" s="254">
        <f t="shared" si="173"/>
        <v>4.8780170535476186</v>
      </c>
      <c r="M168" s="254">
        <f t="shared" si="173"/>
        <v>4.8780170535476186</v>
      </c>
      <c r="N168" s="253">
        <f t="shared" si="173"/>
        <v>0.48179406313132839</v>
      </c>
      <c r="O168" s="254">
        <f t="shared" si="173"/>
        <v>0.48179406313132839</v>
      </c>
      <c r="P168" s="254">
        <f t="shared" si="173"/>
        <v>0.39477169635299764</v>
      </c>
      <c r="Q168" s="254">
        <f t="shared" si="173"/>
        <v>0.13047907701714945</v>
      </c>
      <c r="R168" s="254">
        <f t="shared" si="173"/>
        <v>0.13047907701714945</v>
      </c>
      <c r="S168" s="254">
        <f t="shared" si="173"/>
        <v>0.13047907701714945</v>
      </c>
      <c r="T168" s="254">
        <f t="shared" si="173"/>
        <v>0.13047907701714945</v>
      </c>
      <c r="U168" s="256"/>
      <c r="V168" s="252"/>
      <c r="W168" s="252"/>
      <c r="X168" s="252"/>
      <c r="Y168" s="254"/>
      <c r="Z168" s="252"/>
      <c r="AA168" s="254"/>
      <c r="AB168" s="256">
        <f t="shared" ref="AB168:AO168" si="174">MIN(AB165:AB167)</f>
        <v>20</v>
      </c>
      <c r="AC168" s="252">
        <f t="shared" si="174"/>
        <v>20</v>
      </c>
      <c r="AD168" s="252">
        <f t="shared" si="174"/>
        <v>20</v>
      </c>
      <c r="AE168" s="252">
        <f t="shared" si="174"/>
        <v>20</v>
      </c>
      <c r="AF168" s="257">
        <f t="shared" si="174"/>
        <v>20</v>
      </c>
      <c r="AG168" s="257">
        <f t="shared" si="174"/>
        <v>20</v>
      </c>
      <c r="AH168" s="257">
        <f t="shared" si="174"/>
        <v>20</v>
      </c>
      <c r="AI168" s="256">
        <f t="shared" si="174"/>
        <v>44</v>
      </c>
      <c r="AJ168" s="252">
        <f t="shared" si="174"/>
        <v>45.5</v>
      </c>
      <c r="AK168" s="252">
        <f t="shared" si="174"/>
        <v>47</v>
      </c>
      <c r="AL168" s="252">
        <f t="shared" si="174"/>
        <v>50</v>
      </c>
      <c r="AM168" s="257">
        <f t="shared" si="174"/>
        <v>51</v>
      </c>
      <c r="AN168" s="257">
        <f t="shared" si="174"/>
        <v>52</v>
      </c>
      <c r="AO168" s="257">
        <f t="shared" si="174"/>
        <v>54</v>
      </c>
      <c r="AP168" s="256"/>
      <c r="AQ168" s="259"/>
      <c r="AR168" s="104"/>
    </row>
    <row r="169" spans="1:49" ht="14.25" customHeight="1" x14ac:dyDescent="0.3">
      <c r="A169" s="960"/>
      <c r="B169" s="260" t="s">
        <v>268</v>
      </c>
      <c r="C169" s="265"/>
      <c r="D169" s="261"/>
      <c r="E169" s="261"/>
      <c r="F169" s="268"/>
      <c r="G169" s="262">
        <f>MEDIAN(G165:G167)</f>
        <v>24.639406139363853</v>
      </c>
      <c r="H169" s="263">
        <f t="shared" ref="H169:T169" si="175">MEDIAN(H165:H167)</f>
        <v>19.699058867909795</v>
      </c>
      <c r="I169" s="263">
        <f t="shared" si="175"/>
        <v>14.758711596455736</v>
      </c>
      <c r="J169" s="263">
        <f t="shared" si="175"/>
        <v>9.0060403168843717</v>
      </c>
      <c r="K169" s="263">
        <f t="shared" si="175"/>
        <v>9.01</v>
      </c>
      <c r="L169" s="263">
        <f t="shared" si="175"/>
        <v>9.0060403168843717</v>
      </c>
      <c r="M169" s="263">
        <f t="shared" si="175"/>
        <v>8.9981209506531155</v>
      </c>
      <c r="N169" s="262">
        <f t="shared" si="175"/>
        <v>0.65906431568884583</v>
      </c>
      <c r="O169" s="263">
        <f t="shared" si="175"/>
        <v>0.52691800602092165</v>
      </c>
      <c r="P169" s="263">
        <f t="shared" si="175"/>
        <v>0.48179406313132839</v>
      </c>
      <c r="Q169" s="263">
        <f t="shared" si="175"/>
        <v>0.25370931642223504</v>
      </c>
      <c r="R169" s="263">
        <f t="shared" si="175"/>
        <v>0.25370931642223504</v>
      </c>
      <c r="S169" s="263">
        <f t="shared" si="175"/>
        <v>0.25370931642223504</v>
      </c>
      <c r="T169" s="263">
        <f t="shared" si="175"/>
        <v>0.25370931642223504</v>
      </c>
      <c r="U169" s="265"/>
      <c r="V169" s="261"/>
      <c r="W169" s="261"/>
      <c r="X169" s="261"/>
      <c r="Y169" s="263"/>
      <c r="Z169" s="261"/>
      <c r="AA169" s="263"/>
      <c r="AB169" s="265">
        <f t="shared" ref="AB169:AO169" si="176">MEDIAN(AB165:AB167)</f>
        <v>20</v>
      </c>
      <c r="AC169" s="261">
        <f t="shared" si="176"/>
        <v>20</v>
      </c>
      <c r="AD169" s="261">
        <f t="shared" si="176"/>
        <v>20</v>
      </c>
      <c r="AE169" s="261">
        <f t="shared" si="176"/>
        <v>20</v>
      </c>
      <c r="AF169" s="266">
        <f t="shared" si="176"/>
        <v>20</v>
      </c>
      <c r="AG169" s="266">
        <f t="shared" si="176"/>
        <v>20</v>
      </c>
      <c r="AH169" s="266">
        <f t="shared" si="176"/>
        <v>20</v>
      </c>
      <c r="AI169" s="265">
        <f t="shared" si="176"/>
        <v>44</v>
      </c>
      <c r="AJ169" s="261">
        <f t="shared" si="176"/>
        <v>45.5</v>
      </c>
      <c r="AK169" s="261">
        <f t="shared" si="176"/>
        <v>47</v>
      </c>
      <c r="AL169" s="261">
        <f t="shared" si="176"/>
        <v>50</v>
      </c>
      <c r="AM169" s="261">
        <f t="shared" si="176"/>
        <v>51</v>
      </c>
      <c r="AN169" s="261">
        <f t="shared" si="176"/>
        <v>52</v>
      </c>
      <c r="AO169" s="261">
        <f t="shared" si="176"/>
        <v>54</v>
      </c>
      <c r="AP169" s="265"/>
      <c r="AQ169" s="268"/>
      <c r="AR169" s="104"/>
    </row>
    <row r="170" spans="1:49" ht="14.25" customHeight="1" x14ac:dyDescent="0.3">
      <c r="A170" s="961"/>
      <c r="B170" s="269" t="s">
        <v>269</v>
      </c>
      <c r="C170" s="273"/>
      <c r="D170" s="274"/>
      <c r="E170" s="274"/>
      <c r="F170" s="277"/>
      <c r="G170" s="270">
        <f>MAX(G165:G167)</f>
        <v>47.902127465837609</v>
      </c>
      <c r="H170" s="271">
        <f t="shared" ref="H170:T170" si="177">MAX(H165:H167)</f>
        <v>38.297853889297187</v>
      </c>
      <c r="I170" s="271">
        <f t="shared" si="177"/>
        <v>28.693580312756765</v>
      </c>
      <c r="J170" s="271">
        <f t="shared" si="177"/>
        <v>9.4850331596759254</v>
      </c>
      <c r="K170" s="271">
        <f t="shared" si="177"/>
        <v>9.4850331596759254</v>
      </c>
      <c r="L170" s="271">
        <f t="shared" si="177"/>
        <v>9.4850331596759254</v>
      </c>
      <c r="M170" s="271">
        <f t="shared" si="177"/>
        <v>9.4850331596759254</v>
      </c>
      <c r="N170" s="270">
        <f t="shared" si="177"/>
        <v>1.2813045363084072</v>
      </c>
      <c r="O170" s="271">
        <f t="shared" si="177"/>
        <v>1.0244057313368644</v>
      </c>
      <c r="P170" s="271">
        <f t="shared" si="177"/>
        <v>0.76750692636532125</v>
      </c>
      <c r="Q170" s="271">
        <f t="shared" si="177"/>
        <v>0.48179406313132839</v>
      </c>
      <c r="R170" s="271">
        <f t="shared" si="177"/>
        <v>0.48179406313132839</v>
      </c>
      <c r="S170" s="271">
        <f t="shared" si="177"/>
        <v>0.48179406313132839</v>
      </c>
      <c r="T170" s="271">
        <f t="shared" si="177"/>
        <v>0.48179406313132839</v>
      </c>
      <c r="U170" s="273"/>
      <c r="V170" s="274"/>
      <c r="W170" s="274"/>
      <c r="X170" s="274"/>
      <c r="Y170" s="271"/>
      <c r="Z170" s="274"/>
      <c r="AA170" s="271"/>
      <c r="AB170" s="273">
        <f t="shared" ref="AB170:AO170" si="178">MAX(AB165:AB167)</f>
        <v>20</v>
      </c>
      <c r="AC170" s="274">
        <f t="shared" si="178"/>
        <v>20</v>
      </c>
      <c r="AD170" s="274">
        <f t="shared" si="178"/>
        <v>20</v>
      </c>
      <c r="AE170" s="274">
        <f t="shared" si="178"/>
        <v>20</v>
      </c>
      <c r="AF170" s="275">
        <f t="shared" si="178"/>
        <v>20</v>
      </c>
      <c r="AG170" s="275">
        <f t="shared" si="178"/>
        <v>20</v>
      </c>
      <c r="AH170" s="275">
        <f t="shared" si="178"/>
        <v>20</v>
      </c>
      <c r="AI170" s="273">
        <f t="shared" si="178"/>
        <v>44</v>
      </c>
      <c r="AJ170" s="274">
        <f t="shared" si="178"/>
        <v>45.5</v>
      </c>
      <c r="AK170" s="274">
        <f t="shared" si="178"/>
        <v>47</v>
      </c>
      <c r="AL170" s="274">
        <f t="shared" si="178"/>
        <v>50</v>
      </c>
      <c r="AM170" s="274">
        <f t="shared" si="178"/>
        <v>51</v>
      </c>
      <c r="AN170" s="274">
        <f t="shared" si="178"/>
        <v>52</v>
      </c>
      <c r="AO170" s="274">
        <f t="shared" si="178"/>
        <v>54</v>
      </c>
      <c r="AP170" s="273"/>
      <c r="AQ170" s="277"/>
      <c r="AR170" s="104"/>
    </row>
    <row r="171" spans="1:49" ht="14.25" customHeight="1" x14ac:dyDescent="0.3">
      <c r="A171" s="632"/>
      <c r="B171" s="632"/>
      <c r="C171" s="445"/>
      <c r="D171" s="439"/>
      <c r="E171" s="439"/>
      <c r="F171" s="446"/>
      <c r="G171" s="440"/>
      <c r="H171" s="441"/>
      <c r="I171" s="441"/>
      <c r="J171" s="441"/>
      <c r="K171" s="441"/>
      <c r="L171" s="441"/>
      <c r="M171" s="441"/>
      <c r="N171" s="440"/>
      <c r="O171" s="441"/>
      <c r="P171" s="441"/>
      <c r="Q171" s="441"/>
      <c r="R171" s="441"/>
      <c r="S171" s="441"/>
      <c r="T171" s="441"/>
      <c r="U171" s="445"/>
      <c r="V171" s="439"/>
      <c r="W171" s="439"/>
      <c r="X171" s="439"/>
      <c r="Y171" s="441"/>
      <c r="Z171" s="439"/>
      <c r="AA171" s="441"/>
      <c r="AB171" s="445"/>
      <c r="AC171" s="439"/>
      <c r="AD171" s="439"/>
      <c r="AE171" s="439"/>
      <c r="AF171" s="680"/>
      <c r="AG171" s="680"/>
      <c r="AH171" s="680"/>
      <c r="AI171" s="445"/>
      <c r="AJ171" s="439"/>
      <c r="AK171" s="439"/>
      <c r="AL171" s="439"/>
      <c r="AM171" s="439"/>
      <c r="AN171" s="439"/>
      <c r="AO171" s="439"/>
      <c r="AP171" s="445"/>
      <c r="AQ171" s="446"/>
      <c r="AR171" s="635"/>
      <c r="AS171" s="635"/>
      <c r="AT171" s="635"/>
      <c r="AU171" s="635"/>
    </row>
    <row r="172" spans="1:49" ht="14.25" customHeight="1" x14ac:dyDescent="0.3">
      <c r="A172" s="952" t="s">
        <v>130</v>
      </c>
      <c r="B172" s="947" t="s">
        <v>1</v>
      </c>
      <c r="C172" s="949" t="s">
        <v>246</v>
      </c>
      <c r="D172" s="950"/>
      <c r="E172" s="950"/>
      <c r="F172" s="951"/>
      <c r="G172" s="949" t="s">
        <v>418</v>
      </c>
      <c r="H172" s="950"/>
      <c r="I172" s="950"/>
      <c r="J172" s="950"/>
      <c r="K172" s="950"/>
      <c r="L172" s="950"/>
      <c r="M172" s="951"/>
      <c r="N172" s="914" t="s">
        <v>419</v>
      </c>
      <c r="O172" s="915"/>
      <c r="P172" s="915"/>
      <c r="Q172" s="915"/>
      <c r="R172" s="915"/>
      <c r="S172" s="915"/>
      <c r="T172" s="916"/>
      <c r="U172" s="914" t="s">
        <v>249</v>
      </c>
      <c r="V172" s="915"/>
      <c r="W172" s="915"/>
      <c r="X172" s="915"/>
      <c r="Y172" s="915"/>
      <c r="Z172" s="915"/>
      <c r="AA172" s="916"/>
      <c r="AB172" s="914" t="s">
        <v>250</v>
      </c>
      <c r="AC172" s="915"/>
      <c r="AD172" s="915"/>
      <c r="AE172" s="915"/>
      <c r="AF172" s="915"/>
      <c r="AG172" s="915"/>
      <c r="AH172" s="916"/>
      <c r="AI172" s="914" t="s">
        <v>251</v>
      </c>
      <c r="AJ172" s="915"/>
      <c r="AK172" s="915"/>
      <c r="AL172" s="915"/>
      <c r="AM172" s="915"/>
      <c r="AN172" s="915"/>
      <c r="AO172" s="916"/>
      <c r="AP172" s="914" t="s">
        <v>252</v>
      </c>
      <c r="AQ172" s="916"/>
      <c r="AR172" s="962" t="s">
        <v>253</v>
      </c>
    </row>
    <row r="173" spans="1:49" ht="14.25" customHeight="1" x14ac:dyDescent="0.3">
      <c r="A173" s="953"/>
      <c r="B173" s="963"/>
      <c r="C173" s="86" t="s">
        <v>254</v>
      </c>
      <c r="D173" s="87" t="s">
        <v>255</v>
      </c>
      <c r="E173" s="85" t="s">
        <v>256</v>
      </c>
      <c r="F173" s="622" t="s">
        <v>19</v>
      </c>
      <c r="G173" s="86">
        <v>2020</v>
      </c>
      <c r="H173" s="87">
        <v>2025</v>
      </c>
      <c r="I173" s="87">
        <v>2030</v>
      </c>
      <c r="J173" s="87">
        <v>2040</v>
      </c>
      <c r="K173" s="87">
        <v>2045</v>
      </c>
      <c r="L173" s="87">
        <v>2050</v>
      </c>
      <c r="M173" s="87">
        <v>2060</v>
      </c>
      <c r="N173" s="86">
        <v>2020</v>
      </c>
      <c r="O173" s="87">
        <v>2025</v>
      </c>
      <c r="P173" s="87">
        <v>2030</v>
      </c>
      <c r="Q173" s="87">
        <v>2040</v>
      </c>
      <c r="R173" s="87">
        <v>2045</v>
      </c>
      <c r="S173" s="87">
        <v>2050</v>
      </c>
      <c r="T173" s="87">
        <v>2060</v>
      </c>
      <c r="U173" s="86">
        <v>2020</v>
      </c>
      <c r="V173" s="87">
        <v>2025</v>
      </c>
      <c r="W173" s="87">
        <v>2030</v>
      </c>
      <c r="X173" s="87">
        <v>2040</v>
      </c>
      <c r="Y173" s="87">
        <v>2045</v>
      </c>
      <c r="Z173" s="87">
        <v>2050</v>
      </c>
      <c r="AA173" s="87">
        <v>2060</v>
      </c>
      <c r="AB173" s="86">
        <v>2020</v>
      </c>
      <c r="AC173" s="87">
        <v>2025</v>
      </c>
      <c r="AD173" s="87">
        <v>2030</v>
      </c>
      <c r="AE173" s="87">
        <v>2040</v>
      </c>
      <c r="AF173" s="87">
        <v>2045</v>
      </c>
      <c r="AG173" s="87">
        <v>2050</v>
      </c>
      <c r="AH173" s="87">
        <v>2060</v>
      </c>
      <c r="AI173" s="86">
        <v>2020</v>
      </c>
      <c r="AJ173" s="87">
        <v>2025</v>
      </c>
      <c r="AK173" s="87">
        <v>2030</v>
      </c>
      <c r="AL173" s="87">
        <v>2040</v>
      </c>
      <c r="AM173" s="87">
        <v>2045</v>
      </c>
      <c r="AN173" s="87">
        <v>2050</v>
      </c>
      <c r="AO173" s="87">
        <v>2060</v>
      </c>
      <c r="AP173" s="86" t="s">
        <v>257</v>
      </c>
      <c r="AQ173" s="622" t="s">
        <v>258</v>
      </c>
      <c r="AR173" s="962"/>
    </row>
    <row r="174" spans="1:49" ht="14.25" customHeight="1" x14ac:dyDescent="0.3">
      <c r="A174" s="953"/>
      <c r="B174" s="1010" t="s">
        <v>420</v>
      </c>
      <c r="C174" s="687">
        <v>2</v>
      </c>
      <c r="D174" s="90" t="s">
        <v>23</v>
      </c>
      <c r="E174" s="90">
        <v>2019</v>
      </c>
      <c r="F174" s="688" t="s">
        <v>19</v>
      </c>
      <c r="G174" s="447">
        <f>1.21*10^6*(1/1.1297)*(1/(340*10^6))*(1/(1/8760))*(1/33.33)*10^3</f>
        <v>827.96526402167694</v>
      </c>
      <c r="H174" s="97"/>
      <c r="I174" s="94"/>
      <c r="J174" s="94"/>
      <c r="K174" s="94"/>
      <c r="L174" s="94"/>
      <c r="M174" s="94"/>
      <c r="N174" s="447"/>
      <c r="O174" s="94"/>
      <c r="P174" s="94"/>
      <c r="Q174" s="94"/>
      <c r="R174" s="94"/>
      <c r="S174" s="94"/>
      <c r="T174" s="94"/>
      <c r="U174" s="96"/>
      <c r="V174" s="97"/>
      <c r="W174" s="97"/>
      <c r="X174" s="97"/>
      <c r="Y174" s="94"/>
      <c r="Z174" s="97"/>
      <c r="AA174" s="94"/>
      <c r="AB174" s="96">
        <v>40</v>
      </c>
      <c r="AC174" s="97"/>
      <c r="AD174" s="97"/>
      <c r="AE174" s="97"/>
      <c r="AF174" s="94"/>
      <c r="AG174" s="97"/>
      <c r="AH174" s="94"/>
      <c r="AI174" s="96"/>
      <c r="AJ174" s="97"/>
      <c r="AK174" s="97"/>
      <c r="AL174" s="97"/>
      <c r="AM174" s="94"/>
      <c r="AN174" s="97"/>
      <c r="AO174" s="94"/>
      <c r="AP174" s="826"/>
      <c r="AQ174" s="827"/>
      <c r="AR174" s="104" t="s">
        <v>421</v>
      </c>
    </row>
    <row r="175" spans="1:49" ht="14.25" customHeight="1" x14ac:dyDescent="0.3">
      <c r="A175" s="953"/>
      <c r="B175" s="1012"/>
      <c r="C175" s="691">
        <v>1</v>
      </c>
      <c r="D175" s="120" t="s">
        <v>18</v>
      </c>
      <c r="E175" s="120">
        <v>2020</v>
      </c>
      <c r="F175" s="692" t="s">
        <v>19</v>
      </c>
      <c r="G175" s="587"/>
      <c r="H175" s="124"/>
      <c r="I175" s="121"/>
      <c r="J175" s="121"/>
      <c r="K175" s="121"/>
      <c r="L175" s="121"/>
      <c r="M175" s="121"/>
      <c r="N175" s="587"/>
      <c r="O175" s="121"/>
      <c r="P175" s="121"/>
      <c r="Q175" s="121"/>
      <c r="R175" s="121"/>
      <c r="S175" s="121"/>
      <c r="T175" s="121"/>
      <c r="U175" s="123"/>
      <c r="V175" s="124"/>
      <c r="W175" s="124"/>
      <c r="X175" s="124"/>
      <c r="Y175" s="121"/>
      <c r="Z175" s="124"/>
      <c r="AA175" s="121"/>
      <c r="AB175" s="123">
        <v>40</v>
      </c>
      <c r="AC175" s="124"/>
      <c r="AD175" s="124"/>
      <c r="AE175" s="124"/>
      <c r="AF175" s="121"/>
      <c r="AG175" s="124"/>
      <c r="AH175" s="121"/>
      <c r="AI175" s="123"/>
      <c r="AJ175" s="124"/>
      <c r="AK175" s="124"/>
      <c r="AL175" s="124"/>
      <c r="AM175" s="121"/>
      <c r="AN175" s="124"/>
      <c r="AO175" s="121"/>
      <c r="AP175" s="1017"/>
      <c r="AQ175" s="1016"/>
      <c r="AR175" s="104"/>
      <c r="AV175" s="76"/>
    </row>
    <row r="176" spans="1:49" ht="14.25" customHeight="1" x14ac:dyDescent="0.3">
      <c r="A176" s="953"/>
      <c r="B176" s="1010" t="s">
        <v>422</v>
      </c>
      <c r="C176" s="687">
        <v>12</v>
      </c>
      <c r="D176" s="90" t="s">
        <v>60</v>
      </c>
      <c r="E176" s="90">
        <v>2022</v>
      </c>
      <c r="F176" s="688" t="s">
        <v>19</v>
      </c>
      <c r="G176" s="447">
        <f t="shared" ref="G176:G205" si="179">G5</f>
        <v>1084.4865132158436</v>
      </c>
      <c r="H176" s="94"/>
      <c r="I176" s="94"/>
      <c r="J176" s="94"/>
      <c r="K176" s="94"/>
      <c r="L176" s="94"/>
      <c r="M176" s="94"/>
      <c r="N176" s="447">
        <f>1.4*10^6*0.008*$AW$5</f>
        <v>6529.2153191163052</v>
      </c>
      <c r="O176" s="94"/>
      <c r="P176" s="94"/>
      <c r="Q176" s="94"/>
      <c r="R176" s="94"/>
      <c r="S176" s="94"/>
      <c r="T176" s="94"/>
      <c r="U176" s="96"/>
      <c r="V176" s="97"/>
      <c r="W176" s="97"/>
      <c r="X176" s="97"/>
      <c r="Y176" s="94"/>
      <c r="Z176" s="97"/>
      <c r="AA176" s="94"/>
      <c r="AB176" s="96"/>
      <c r="AC176" s="97"/>
      <c r="AD176" s="97"/>
      <c r="AE176" s="97"/>
      <c r="AF176" s="94"/>
      <c r="AG176" s="97"/>
      <c r="AH176" s="94"/>
      <c r="AI176" s="96"/>
      <c r="AJ176" s="97"/>
      <c r="AK176" s="97"/>
      <c r="AL176" s="97"/>
      <c r="AM176" s="94"/>
      <c r="AN176" s="97"/>
      <c r="AO176" s="94"/>
      <c r="AP176" s="1013">
        <v>0.05</v>
      </c>
      <c r="AQ176" s="827"/>
      <c r="AR176" s="104" t="s">
        <v>423</v>
      </c>
      <c r="AV176" t="s">
        <v>130</v>
      </c>
      <c r="AW176" s="76">
        <v>0.58296565349252727</v>
      </c>
    </row>
    <row r="177" spans="1:44" ht="14.25" customHeight="1" x14ac:dyDescent="0.3">
      <c r="A177" s="953"/>
      <c r="B177" s="1011"/>
      <c r="C177" s="689">
        <v>12</v>
      </c>
      <c r="D177" s="105" t="s">
        <v>60</v>
      </c>
      <c r="E177" s="105">
        <v>2022</v>
      </c>
      <c r="F177" s="690" t="s">
        <v>19</v>
      </c>
      <c r="G177" s="113">
        <f t="shared" si="179"/>
        <v>1161.9498355884039</v>
      </c>
      <c r="H177" s="111"/>
      <c r="I177" s="108"/>
      <c r="J177" s="108"/>
      <c r="K177" s="108"/>
      <c r="L177" s="108"/>
      <c r="M177" s="108"/>
      <c r="N177" s="113">
        <f>1.5*10^6*0.009*$AW$5</f>
        <v>7870.036322149117</v>
      </c>
      <c r="O177" s="108"/>
      <c r="P177" s="108"/>
      <c r="Q177" s="108"/>
      <c r="R177" s="108"/>
      <c r="S177" s="108"/>
      <c r="T177" s="108"/>
      <c r="U177" s="110"/>
      <c r="V177" s="111"/>
      <c r="W177" s="111"/>
      <c r="X177" s="111"/>
      <c r="Y177" s="108"/>
      <c r="Z177" s="111"/>
      <c r="AA177" s="108"/>
      <c r="AB177" s="110"/>
      <c r="AC177" s="111"/>
      <c r="AD177" s="111"/>
      <c r="AE177" s="111"/>
      <c r="AF177" s="108"/>
      <c r="AG177" s="111"/>
      <c r="AH177" s="108"/>
      <c r="AI177" s="110"/>
      <c r="AJ177" s="111"/>
      <c r="AK177" s="111"/>
      <c r="AL177" s="111"/>
      <c r="AM177" s="108"/>
      <c r="AN177" s="111"/>
      <c r="AO177" s="108"/>
      <c r="AP177" s="1014">
        <v>0.05</v>
      </c>
      <c r="AQ177" s="829"/>
      <c r="AR177" s="116" t="s">
        <v>424</v>
      </c>
    </row>
    <row r="178" spans="1:44" ht="14.25" customHeight="1" x14ac:dyDescent="0.3">
      <c r="A178" s="953"/>
      <c r="B178" s="1012"/>
      <c r="C178" s="691">
        <v>12</v>
      </c>
      <c r="D178" s="120" t="s">
        <v>60</v>
      </c>
      <c r="E178" s="120">
        <v>2022</v>
      </c>
      <c r="F178" s="692" t="s">
        <v>19</v>
      </c>
      <c r="G178" s="587">
        <f t="shared" si="179"/>
        <v>1394.339802706085</v>
      </c>
      <c r="H178" s="124"/>
      <c r="I178" s="121"/>
      <c r="J178" s="121"/>
      <c r="K178" s="121"/>
      <c r="L178" s="121"/>
      <c r="M178" s="121"/>
      <c r="N178" s="587">
        <f>1.8*10^6*0.01*$AW$5</f>
        <v>10493.381762865491</v>
      </c>
      <c r="O178" s="121"/>
      <c r="P178" s="121"/>
      <c r="Q178" s="121"/>
      <c r="R178" s="121"/>
      <c r="S178" s="121"/>
      <c r="T178" s="121"/>
      <c r="U178" s="123"/>
      <c r="V178" s="124"/>
      <c r="W178" s="124"/>
      <c r="X178" s="124"/>
      <c r="Y178" s="121"/>
      <c r="Z178" s="124"/>
      <c r="AA178" s="121"/>
      <c r="AB178" s="123"/>
      <c r="AC178" s="124"/>
      <c r="AD178" s="124"/>
      <c r="AE178" s="124"/>
      <c r="AF178" s="121"/>
      <c r="AG178" s="124"/>
      <c r="AH178" s="121"/>
      <c r="AI178" s="123"/>
      <c r="AJ178" s="124"/>
      <c r="AK178" s="124"/>
      <c r="AL178" s="124"/>
      <c r="AM178" s="121"/>
      <c r="AN178" s="124"/>
      <c r="AO178" s="121"/>
      <c r="AP178" s="1015">
        <v>0.05</v>
      </c>
      <c r="AQ178" s="1016"/>
      <c r="AR178" s="116" t="s">
        <v>425</v>
      </c>
    </row>
    <row r="179" spans="1:44" ht="14.25" customHeight="1" x14ac:dyDescent="0.3">
      <c r="A179" s="953"/>
      <c r="B179" s="1010" t="s">
        <v>426</v>
      </c>
      <c r="C179" s="687">
        <v>12</v>
      </c>
      <c r="D179" s="90" t="s">
        <v>60</v>
      </c>
      <c r="E179" s="90">
        <v>2022</v>
      </c>
      <c r="F179" s="688" t="s">
        <v>19</v>
      </c>
      <c r="G179" s="447">
        <f t="shared" si="179"/>
        <v>263.133445473439</v>
      </c>
      <c r="H179" s="94"/>
      <c r="I179" s="94"/>
      <c r="J179" s="94"/>
      <c r="K179" s="94"/>
      <c r="L179" s="94"/>
      <c r="M179" s="94"/>
      <c r="N179" s="447">
        <f>2*10^6*0.008*$AW$5</f>
        <v>9327.4504558804365</v>
      </c>
      <c r="O179" s="94"/>
      <c r="P179" s="94"/>
      <c r="Q179" s="94"/>
      <c r="R179" s="94"/>
      <c r="S179" s="94"/>
      <c r="T179" s="94"/>
      <c r="U179" s="96"/>
      <c r="V179" s="97"/>
      <c r="W179" s="97"/>
      <c r="X179" s="97"/>
      <c r="Y179" s="94"/>
      <c r="Z179" s="97"/>
      <c r="AA179" s="94"/>
      <c r="AB179" s="96"/>
      <c r="AC179" s="97"/>
      <c r="AD179" s="97"/>
      <c r="AE179" s="97"/>
      <c r="AF179" s="94"/>
      <c r="AG179" s="97"/>
      <c r="AH179" s="94"/>
      <c r="AI179" s="96"/>
      <c r="AJ179" s="97"/>
      <c r="AK179" s="97"/>
      <c r="AL179" s="97"/>
      <c r="AM179" s="94"/>
      <c r="AN179" s="97"/>
      <c r="AO179" s="94"/>
      <c r="AP179" s="1013">
        <v>0.05</v>
      </c>
      <c r="AQ179" s="827"/>
      <c r="AR179" s="104" t="s">
        <v>423</v>
      </c>
    </row>
    <row r="180" spans="1:44" ht="14.25" customHeight="1" x14ac:dyDescent="0.3">
      <c r="A180" s="953"/>
      <c r="B180" s="1011"/>
      <c r="C180" s="689">
        <v>12</v>
      </c>
      <c r="D180" s="105" t="s">
        <v>60</v>
      </c>
      <c r="E180" s="105">
        <v>2022</v>
      </c>
      <c r="F180" s="690" t="s">
        <v>19</v>
      </c>
      <c r="G180" s="113">
        <f t="shared" si="179"/>
        <v>289.44679002078288</v>
      </c>
      <c r="H180" s="111"/>
      <c r="I180" s="108"/>
      <c r="J180" s="108"/>
      <c r="K180" s="108"/>
      <c r="L180" s="108"/>
      <c r="M180" s="108"/>
      <c r="N180" s="113">
        <f>2.2*10^6*0.009*$AW$5</f>
        <v>11542.719939152041</v>
      </c>
      <c r="O180" s="108"/>
      <c r="P180" s="108"/>
      <c r="Q180" s="108"/>
      <c r="R180" s="108"/>
      <c r="S180" s="108"/>
      <c r="T180" s="108"/>
      <c r="U180" s="110"/>
      <c r="V180" s="111"/>
      <c r="W180" s="111"/>
      <c r="X180" s="111"/>
      <c r="Y180" s="108"/>
      <c r="Z180" s="111"/>
      <c r="AA180" s="108"/>
      <c r="AB180" s="110"/>
      <c r="AC180" s="111"/>
      <c r="AD180" s="111"/>
      <c r="AE180" s="111"/>
      <c r="AF180" s="108"/>
      <c r="AG180" s="111"/>
      <c r="AH180" s="108"/>
      <c r="AI180" s="110"/>
      <c r="AJ180" s="111"/>
      <c r="AK180" s="111"/>
      <c r="AL180" s="111"/>
      <c r="AM180" s="108"/>
      <c r="AN180" s="111"/>
      <c r="AO180" s="108"/>
      <c r="AP180" s="1014">
        <v>0.05</v>
      </c>
      <c r="AQ180" s="829"/>
      <c r="AR180" s="116" t="s">
        <v>424</v>
      </c>
    </row>
    <row r="181" spans="1:44" ht="14.25" customHeight="1" x14ac:dyDescent="0.3">
      <c r="A181" s="953"/>
      <c r="B181" s="1012"/>
      <c r="C181" s="691">
        <v>12</v>
      </c>
      <c r="D181" s="120" t="s">
        <v>60</v>
      </c>
      <c r="E181" s="120">
        <v>2022</v>
      </c>
      <c r="F181" s="692" t="s">
        <v>19</v>
      </c>
      <c r="G181" s="587">
        <f t="shared" si="179"/>
        <v>355.23015138914263</v>
      </c>
      <c r="H181" s="124"/>
      <c r="I181" s="121"/>
      <c r="J181" s="121"/>
      <c r="K181" s="121"/>
      <c r="L181" s="121"/>
      <c r="M181" s="121"/>
      <c r="N181" s="587">
        <f>2.7*10^6*0.01*$AW$5</f>
        <v>15740.072644298236</v>
      </c>
      <c r="O181" s="121"/>
      <c r="P181" s="121"/>
      <c r="Q181" s="121"/>
      <c r="R181" s="121"/>
      <c r="S181" s="121"/>
      <c r="T181" s="121"/>
      <c r="U181" s="123"/>
      <c r="V181" s="124"/>
      <c r="W181" s="124"/>
      <c r="X181" s="124"/>
      <c r="Y181" s="121"/>
      <c r="Z181" s="124"/>
      <c r="AA181" s="121"/>
      <c r="AB181" s="123"/>
      <c r="AC181" s="124"/>
      <c r="AD181" s="124"/>
      <c r="AE181" s="124"/>
      <c r="AF181" s="121"/>
      <c r="AG181" s="124"/>
      <c r="AH181" s="121"/>
      <c r="AI181" s="123"/>
      <c r="AJ181" s="124"/>
      <c r="AK181" s="124"/>
      <c r="AL181" s="124"/>
      <c r="AM181" s="121"/>
      <c r="AN181" s="124"/>
      <c r="AO181" s="121"/>
      <c r="AP181" s="1015">
        <v>0.05</v>
      </c>
      <c r="AQ181" s="1016"/>
      <c r="AR181" s="116" t="s">
        <v>425</v>
      </c>
    </row>
    <row r="182" spans="1:44" ht="14.25" customHeight="1" x14ac:dyDescent="0.3">
      <c r="A182" s="953"/>
      <c r="B182" s="1010" t="s">
        <v>427</v>
      </c>
      <c r="C182" s="687">
        <v>12</v>
      </c>
      <c r="D182" s="90" t="s">
        <v>60</v>
      </c>
      <c r="E182" s="90">
        <v>2022</v>
      </c>
      <c r="F182" s="688" t="s">
        <v>19</v>
      </c>
      <c r="G182" s="447">
        <f t="shared" si="179"/>
        <v>447.32685730484621</v>
      </c>
      <c r="H182" s="94"/>
      <c r="I182" s="94"/>
      <c r="J182" s="94"/>
      <c r="K182" s="94"/>
      <c r="L182" s="94"/>
      <c r="M182" s="94"/>
      <c r="N182" s="447">
        <f>3.4*10^6*0.008*$AW$5</f>
        <v>15856.665774996742</v>
      </c>
      <c r="O182" s="94"/>
      <c r="P182" s="94"/>
      <c r="Q182" s="94"/>
      <c r="R182" s="94"/>
      <c r="S182" s="94"/>
      <c r="T182" s="94"/>
      <c r="U182" s="96"/>
      <c r="V182" s="97"/>
      <c r="W182" s="97"/>
      <c r="X182" s="97"/>
      <c r="Y182" s="94"/>
      <c r="Z182" s="97"/>
      <c r="AA182" s="94"/>
      <c r="AB182" s="96"/>
      <c r="AC182" s="97"/>
      <c r="AD182" s="97"/>
      <c r="AE182" s="97"/>
      <c r="AF182" s="94"/>
      <c r="AG182" s="97"/>
      <c r="AH182" s="94"/>
      <c r="AI182" s="96"/>
      <c r="AJ182" s="97"/>
      <c r="AK182" s="97"/>
      <c r="AL182" s="97"/>
      <c r="AM182" s="94"/>
      <c r="AN182" s="97"/>
      <c r="AO182" s="94"/>
      <c r="AP182" s="1013">
        <v>0.05</v>
      </c>
      <c r="AQ182" s="827"/>
      <c r="AR182" s="104" t="s">
        <v>423</v>
      </c>
    </row>
    <row r="183" spans="1:44" ht="14.25" customHeight="1" x14ac:dyDescent="0.3">
      <c r="A183" s="953"/>
      <c r="B183" s="1011"/>
      <c r="C183" s="689">
        <v>12</v>
      </c>
      <c r="D183" s="105" t="s">
        <v>60</v>
      </c>
      <c r="E183" s="105">
        <v>2022</v>
      </c>
      <c r="F183" s="690" t="s">
        <v>19</v>
      </c>
      <c r="G183" s="113">
        <f t="shared" si="179"/>
        <v>486.79687412586208</v>
      </c>
      <c r="H183" s="111"/>
      <c r="I183" s="108"/>
      <c r="J183" s="108"/>
      <c r="K183" s="108"/>
      <c r="L183" s="108"/>
      <c r="M183" s="108"/>
      <c r="N183" s="113">
        <f>3.7*10^6*0.009*$AW$5</f>
        <v>19412.756261301158</v>
      </c>
      <c r="O183" s="108"/>
      <c r="P183" s="108"/>
      <c r="Q183" s="108"/>
      <c r="R183" s="108"/>
      <c r="S183" s="108"/>
      <c r="T183" s="108"/>
      <c r="U183" s="110"/>
      <c r="V183" s="111"/>
      <c r="W183" s="111"/>
      <c r="X183" s="111"/>
      <c r="Y183" s="108"/>
      <c r="Z183" s="111"/>
      <c r="AA183" s="108"/>
      <c r="AB183" s="110"/>
      <c r="AC183" s="111"/>
      <c r="AD183" s="111"/>
      <c r="AE183" s="111"/>
      <c r="AF183" s="108"/>
      <c r="AG183" s="111"/>
      <c r="AH183" s="108"/>
      <c r="AI183" s="110"/>
      <c r="AJ183" s="111"/>
      <c r="AK183" s="111"/>
      <c r="AL183" s="111"/>
      <c r="AM183" s="108"/>
      <c r="AN183" s="111"/>
      <c r="AO183" s="108"/>
      <c r="AP183" s="1014">
        <v>0.05</v>
      </c>
      <c r="AQ183" s="829"/>
      <c r="AR183" s="116" t="s">
        <v>424</v>
      </c>
    </row>
    <row r="184" spans="1:44" ht="14.25" customHeight="1" x14ac:dyDescent="0.3">
      <c r="A184" s="953"/>
      <c r="B184" s="1012"/>
      <c r="C184" s="691">
        <v>12</v>
      </c>
      <c r="D184" s="120" t="s">
        <v>60</v>
      </c>
      <c r="E184" s="120">
        <v>2022</v>
      </c>
      <c r="F184" s="692" t="s">
        <v>19</v>
      </c>
      <c r="G184" s="587">
        <f t="shared" si="179"/>
        <v>605.2069245889096</v>
      </c>
      <c r="H184" s="124"/>
      <c r="I184" s="121"/>
      <c r="J184" s="121"/>
      <c r="K184" s="121"/>
      <c r="L184" s="121"/>
      <c r="M184" s="121"/>
      <c r="N184" s="587">
        <f>4.6*10^6*0.01*$AW$5</f>
        <v>26816.420060656255</v>
      </c>
      <c r="O184" s="121"/>
      <c r="P184" s="121"/>
      <c r="Q184" s="121"/>
      <c r="R184" s="121"/>
      <c r="S184" s="121"/>
      <c r="T184" s="121"/>
      <c r="U184" s="123"/>
      <c r="V184" s="124"/>
      <c r="W184" s="124"/>
      <c r="X184" s="124"/>
      <c r="Y184" s="121"/>
      <c r="Z184" s="124"/>
      <c r="AA184" s="121"/>
      <c r="AB184" s="123"/>
      <c r="AC184" s="124"/>
      <c r="AD184" s="124"/>
      <c r="AE184" s="124"/>
      <c r="AF184" s="121"/>
      <c r="AG184" s="124"/>
      <c r="AH184" s="121"/>
      <c r="AI184" s="123"/>
      <c r="AJ184" s="124"/>
      <c r="AK184" s="124"/>
      <c r="AL184" s="124"/>
      <c r="AM184" s="121"/>
      <c r="AN184" s="124"/>
      <c r="AO184" s="121"/>
      <c r="AP184" s="1015">
        <v>0.05</v>
      </c>
      <c r="AQ184" s="1016"/>
      <c r="AR184" s="116" t="s">
        <v>425</v>
      </c>
    </row>
    <row r="185" spans="1:44" ht="14.25" customHeight="1" x14ac:dyDescent="0.3">
      <c r="A185" s="953"/>
      <c r="B185" s="1010" t="s">
        <v>428</v>
      </c>
      <c r="C185" s="689">
        <v>12</v>
      </c>
      <c r="D185" s="105" t="s">
        <v>60</v>
      </c>
      <c r="E185" s="90">
        <v>2022</v>
      </c>
      <c r="F185" s="688" t="s">
        <v>19</v>
      </c>
      <c r="G185" s="113">
        <f t="shared" si="179"/>
        <v>155.46458448381892</v>
      </c>
      <c r="H185" s="108"/>
      <c r="I185" s="108"/>
      <c r="J185" s="108"/>
      <c r="K185" s="108"/>
      <c r="L185" s="108"/>
      <c r="M185" s="108"/>
      <c r="N185" s="447">
        <f>2.5*10^6*0.008*$AW$5</f>
        <v>11659.313069850545</v>
      </c>
      <c r="O185" s="108"/>
      <c r="P185" s="108"/>
      <c r="Q185" s="108"/>
      <c r="R185" s="108"/>
      <c r="S185" s="108"/>
      <c r="T185" s="108"/>
      <c r="U185" s="110"/>
      <c r="V185" s="111"/>
      <c r="W185" s="111"/>
      <c r="X185" s="111"/>
      <c r="Y185" s="108"/>
      <c r="Z185" s="111"/>
      <c r="AA185" s="108"/>
      <c r="AB185" s="110"/>
      <c r="AC185" s="111"/>
      <c r="AD185" s="111"/>
      <c r="AE185" s="111"/>
      <c r="AF185" s="108"/>
      <c r="AG185" s="111"/>
      <c r="AH185" s="108"/>
      <c r="AI185" s="110"/>
      <c r="AJ185" s="111"/>
      <c r="AK185" s="111"/>
      <c r="AL185" s="111"/>
      <c r="AM185" s="108"/>
      <c r="AN185" s="111"/>
      <c r="AO185" s="108"/>
      <c r="AP185" s="1013">
        <v>0.05</v>
      </c>
      <c r="AQ185" s="827"/>
      <c r="AR185" s="104" t="s">
        <v>423</v>
      </c>
    </row>
    <row r="186" spans="1:44" ht="14.25" customHeight="1" x14ac:dyDescent="0.3">
      <c r="A186" s="953"/>
      <c r="B186" s="1011"/>
      <c r="C186" s="689">
        <v>12</v>
      </c>
      <c r="D186" s="105" t="s">
        <v>60</v>
      </c>
      <c r="E186" s="105">
        <v>2022</v>
      </c>
      <c r="F186" s="690" t="s">
        <v>19</v>
      </c>
      <c r="G186" s="113">
        <f t="shared" si="179"/>
        <v>174.12033462187716</v>
      </c>
      <c r="H186" s="111"/>
      <c r="I186" s="108"/>
      <c r="J186" s="108"/>
      <c r="K186" s="108"/>
      <c r="L186" s="108"/>
      <c r="M186" s="108"/>
      <c r="N186" s="113">
        <f>2.8*10^6*0.009*$AW$5</f>
        <v>14690.734468011686</v>
      </c>
      <c r="O186" s="108"/>
      <c r="P186" s="108"/>
      <c r="Q186" s="108"/>
      <c r="R186" s="108"/>
      <c r="S186" s="108"/>
      <c r="T186" s="108"/>
      <c r="U186" s="110"/>
      <c r="V186" s="111"/>
      <c r="W186" s="111"/>
      <c r="X186" s="111"/>
      <c r="Y186" s="108"/>
      <c r="Z186" s="111"/>
      <c r="AA186" s="108"/>
      <c r="AB186" s="110"/>
      <c r="AC186" s="111"/>
      <c r="AD186" s="111"/>
      <c r="AE186" s="111"/>
      <c r="AF186" s="108"/>
      <c r="AG186" s="111"/>
      <c r="AH186" s="108"/>
      <c r="AI186" s="110"/>
      <c r="AJ186" s="111"/>
      <c r="AK186" s="111"/>
      <c r="AL186" s="111"/>
      <c r="AM186" s="108"/>
      <c r="AN186" s="111"/>
      <c r="AO186" s="108"/>
      <c r="AP186" s="1014">
        <v>0.05</v>
      </c>
      <c r="AQ186" s="829"/>
      <c r="AR186" s="116" t="s">
        <v>424</v>
      </c>
    </row>
    <row r="187" spans="1:44" ht="14.25" customHeight="1" x14ac:dyDescent="0.3">
      <c r="A187" s="953"/>
      <c r="B187" s="1012"/>
      <c r="C187" s="691">
        <v>12</v>
      </c>
      <c r="D187" s="120" t="s">
        <v>60</v>
      </c>
      <c r="E187" s="120">
        <v>2022</v>
      </c>
      <c r="F187" s="692" t="s">
        <v>19</v>
      </c>
      <c r="G187" s="587">
        <f t="shared" si="179"/>
        <v>211.43183489799372</v>
      </c>
      <c r="H187" s="124"/>
      <c r="I187" s="121"/>
      <c r="J187" s="121"/>
      <c r="K187" s="121"/>
      <c r="L187" s="121"/>
      <c r="M187" s="121"/>
      <c r="N187" s="587">
        <f>3.4*10^6*0.01*$AW$5</f>
        <v>19820.832218745927</v>
      </c>
      <c r="O187" s="121"/>
      <c r="P187" s="121"/>
      <c r="Q187" s="121"/>
      <c r="R187" s="121"/>
      <c r="S187" s="121"/>
      <c r="T187" s="121"/>
      <c r="U187" s="123"/>
      <c r="V187" s="124"/>
      <c r="W187" s="124"/>
      <c r="X187" s="124"/>
      <c r="Y187" s="121"/>
      <c r="Z187" s="124"/>
      <c r="AA187" s="121"/>
      <c r="AB187" s="123"/>
      <c r="AC187" s="124"/>
      <c r="AD187" s="124"/>
      <c r="AE187" s="124"/>
      <c r="AF187" s="121"/>
      <c r="AG187" s="124"/>
      <c r="AH187" s="121"/>
      <c r="AI187" s="123"/>
      <c r="AJ187" s="124"/>
      <c r="AK187" s="124"/>
      <c r="AL187" s="124"/>
      <c r="AM187" s="121"/>
      <c r="AN187" s="124"/>
      <c r="AO187" s="121"/>
      <c r="AP187" s="1015">
        <v>0.05</v>
      </c>
      <c r="AQ187" s="1016"/>
      <c r="AR187" s="116" t="s">
        <v>425</v>
      </c>
    </row>
    <row r="188" spans="1:44" ht="14.25" customHeight="1" x14ac:dyDescent="0.3">
      <c r="A188" s="953"/>
      <c r="B188" s="1010" t="s">
        <v>429</v>
      </c>
      <c r="C188" s="689">
        <v>12</v>
      </c>
      <c r="D188" s="105" t="s">
        <v>60</v>
      </c>
      <c r="E188" s="90">
        <v>2022</v>
      </c>
      <c r="F188" s="688" t="s">
        <v>19</v>
      </c>
      <c r="G188" s="113">
        <f t="shared" si="179"/>
        <v>267.39908531216849</v>
      </c>
      <c r="H188" s="108"/>
      <c r="I188" s="108"/>
      <c r="J188" s="108"/>
      <c r="K188" s="108"/>
      <c r="L188" s="108"/>
      <c r="M188" s="108"/>
      <c r="N188" s="447">
        <f>4.3*10^6*0.008*$AW$5</f>
        <v>20054.018480142939</v>
      </c>
      <c r="O188" s="108"/>
      <c r="P188" s="108"/>
      <c r="Q188" s="108"/>
      <c r="R188" s="108"/>
      <c r="S188" s="108"/>
      <c r="T188" s="108"/>
      <c r="U188" s="110"/>
      <c r="V188" s="111"/>
      <c r="W188" s="111"/>
      <c r="X188" s="111"/>
      <c r="Y188" s="108"/>
      <c r="Z188" s="111"/>
      <c r="AA188" s="108"/>
      <c r="AB188" s="110"/>
      <c r="AC188" s="111"/>
      <c r="AD188" s="111"/>
      <c r="AE188" s="111"/>
      <c r="AF188" s="108"/>
      <c r="AG188" s="111"/>
      <c r="AH188" s="108"/>
      <c r="AI188" s="110"/>
      <c r="AJ188" s="111"/>
      <c r="AK188" s="111"/>
      <c r="AL188" s="111"/>
      <c r="AM188" s="108"/>
      <c r="AN188" s="111"/>
      <c r="AO188" s="108"/>
      <c r="AP188" s="1013">
        <v>0.05</v>
      </c>
      <c r="AQ188" s="827"/>
      <c r="AR188" s="104" t="s">
        <v>423</v>
      </c>
    </row>
    <row r="189" spans="1:44" ht="14.25" customHeight="1" x14ac:dyDescent="0.3">
      <c r="A189" s="953"/>
      <c r="B189" s="1011"/>
      <c r="C189" s="689">
        <v>12</v>
      </c>
      <c r="D189" s="105" t="s">
        <v>60</v>
      </c>
      <c r="E189" s="105">
        <v>2022</v>
      </c>
      <c r="F189" s="690" t="s">
        <v>19</v>
      </c>
      <c r="G189" s="113">
        <f t="shared" si="179"/>
        <v>298.49200220893238</v>
      </c>
      <c r="H189" s="111"/>
      <c r="I189" s="108"/>
      <c r="J189" s="108"/>
      <c r="K189" s="108"/>
      <c r="L189" s="108"/>
      <c r="M189" s="108"/>
      <c r="N189" s="113">
        <f>4.8*10^6*0.009*$AW$5</f>
        <v>25184.116230877178</v>
      </c>
      <c r="O189" s="108"/>
      <c r="P189" s="108"/>
      <c r="Q189" s="108"/>
      <c r="R189" s="108"/>
      <c r="S189" s="108"/>
      <c r="T189" s="108"/>
      <c r="U189" s="110"/>
      <c r="V189" s="111"/>
      <c r="W189" s="111"/>
      <c r="X189" s="111"/>
      <c r="Y189" s="108"/>
      <c r="Z189" s="111"/>
      <c r="AA189" s="108"/>
      <c r="AB189" s="110"/>
      <c r="AC189" s="111"/>
      <c r="AD189" s="111"/>
      <c r="AE189" s="111"/>
      <c r="AF189" s="108"/>
      <c r="AG189" s="111"/>
      <c r="AH189" s="108"/>
      <c r="AI189" s="110"/>
      <c r="AJ189" s="111"/>
      <c r="AK189" s="111"/>
      <c r="AL189" s="111"/>
      <c r="AM189" s="108"/>
      <c r="AN189" s="111"/>
      <c r="AO189" s="108"/>
      <c r="AP189" s="1014">
        <v>0.05</v>
      </c>
      <c r="AQ189" s="829"/>
      <c r="AR189" s="116" t="s">
        <v>424</v>
      </c>
    </row>
    <row r="190" spans="1:44" ht="14.25" customHeight="1" x14ac:dyDescent="0.3">
      <c r="A190" s="953"/>
      <c r="B190" s="1012"/>
      <c r="C190" s="691">
        <v>12</v>
      </c>
      <c r="D190" s="120" t="s">
        <v>60</v>
      </c>
      <c r="E190" s="120">
        <v>2022</v>
      </c>
      <c r="F190" s="692" t="s">
        <v>19</v>
      </c>
      <c r="G190" s="587">
        <f t="shared" si="179"/>
        <v>360.67783600245986</v>
      </c>
      <c r="H190" s="124"/>
      <c r="I190" s="121"/>
      <c r="J190" s="121"/>
      <c r="K190" s="121"/>
      <c r="L190" s="121"/>
      <c r="M190" s="121"/>
      <c r="N190" s="587">
        <f>5.8*10^6*0.01*$AW$5</f>
        <v>33812.007902566584</v>
      </c>
      <c r="O190" s="121"/>
      <c r="P190" s="121"/>
      <c r="Q190" s="121"/>
      <c r="R190" s="121"/>
      <c r="S190" s="121"/>
      <c r="T190" s="121"/>
      <c r="U190" s="123"/>
      <c r="V190" s="124"/>
      <c r="W190" s="124"/>
      <c r="X190" s="124"/>
      <c r="Y190" s="121"/>
      <c r="Z190" s="124"/>
      <c r="AA190" s="121"/>
      <c r="AB190" s="123"/>
      <c r="AC190" s="124"/>
      <c r="AD190" s="124"/>
      <c r="AE190" s="124"/>
      <c r="AF190" s="121"/>
      <c r="AG190" s="124"/>
      <c r="AH190" s="121"/>
      <c r="AI190" s="123"/>
      <c r="AJ190" s="124"/>
      <c r="AK190" s="124"/>
      <c r="AL190" s="124"/>
      <c r="AM190" s="121"/>
      <c r="AN190" s="124"/>
      <c r="AO190" s="121"/>
      <c r="AP190" s="1015">
        <v>0.05</v>
      </c>
      <c r="AQ190" s="1016"/>
      <c r="AR190" s="116" t="s">
        <v>425</v>
      </c>
    </row>
    <row r="191" spans="1:44" ht="14.25" customHeight="1" x14ac:dyDescent="0.3">
      <c r="A191" s="953"/>
      <c r="B191" s="906" t="s">
        <v>430</v>
      </c>
      <c r="C191" s="720">
        <v>12</v>
      </c>
      <c r="D191" s="721" t="s">
        <v>60</v>
      </c>
      <c r="E191" s="721">
        <v>2022</v>
      </c>
      <c r="F191" s="722" t="s">
        <v>19</v>
      </c>
      <c r="G191" s="516">
        <f t="shared" si="179"/>
        <v>154.92664474512051</v>
      </c>
      <c r="H191" s="517"/>
      <c r="I191" s="517"/>
      <c r="J191" s="517"/>
      <c r="K191" s="517"/>
      <c r="L191" s="517"/>
      <c r="M191" s="517"/>
      <c r="N191" s="516">
        <f>0.2*10^6*0.008*$AW$5</f>
        <v>932.74504558804358</v>
      </c>
      <c r="O191" s="517"/>
      <c r="P191" s="517"/>
      <c r="Q191" s="517"/>
      <c r="R191" s="517"/>
      <c r="S191" s="517"/>
      <c r="T191" s="517"/>
      <c r="U191" s="520"/>
      <c r="V191" s="344"/>
      <c r="W191" s="344"/>
      <c r="X191" s="344"/>
      <c r="Y191" s="517"/>
      <c r="Z191" s="344"/>
      <c r="AA191" s="517"/>
      <c r="AB191" s="520"/>
      <c r="AC191" s="344"/>
      <c r="AD191" s="344"/>
      <c r="AE191" s="344"/>
      <c r="AF191" s="517"/>
      <c r="AG191" s="344"/>
      <c r="AH191" s="517"/>
      <c r="AI191" s="520"/>
      <c r="AJ191" s="344"/>
      <c r="AK191" s="344"/>
      <c r="AL191" s="344"/>
      <c r="AM191" s="517"/>
      <c r="AN191" s="344"/>
      <c r="AO191" s="517"/>
      <c r="AP191" s="1004">
        <v>0.05</v>
      </c>
      <c r="AQ191" s="1005"/>
      <c r="AR191" s="104" t="s">
        <v>423</v>
      </c>
    </row>
    <row r="192" spans="1:44" ht="14.25" customHeight="1" x14ac:dyDescent="0.3">
      <c r="A192" s="953"/>
      <c r="B192" s="907"/>
      <c r="C192" s="723">
        <v>12</v>
      </c>
      <c r="D192" s="724" t="s">
        <v>60</v>
      </c>
      <c r="E192" s="724">
        <v>2022</v>
      </c>
      <c r="F192" s="725" t="s">
        <v>19</v>
      </c>
      <c r="G192" s="523">
        <f t="shared" si="179"/>
        <v>232.38996711768081</v>
      </c>
      <c r="H192" s="522"/>
      <c r="I192" s="524"/>
      <c r="J192" s="524"/>
      <c r="K192" s="524"/>
      <c r="L192" s="524"/>
      <c r="M192" s="524"/>
      <c r="N192" s="523">
        <f>0.3*10^6*0.009*$AW$5</f>
        <v>1574.0072644298236</v>
      </c>
      <c r="O192" s="524"/>
      <c r="P192" s="524"/>
      <c r="Q192" s="524"/>
      <c r="R192" s="524"/>
      <c r="S192" s="524"/>
      <c r="T192" s="524"/>
      <c r="U192" s="527"/>
      <c r="V192" s="522"/>
      <c r="W192" s="522"/>
      <c r="X192" s="522"/>
      <c r="Y192" s="524"/>
      <c r="Z192" s="522"/>
      <c r="AA192" s="524"/>
      <c r="AB192" s="527"/>
      <c r="AC192" s="522"/>
      <c r="AD192" s="522"/>
      <c r="AE192" s="522"/>
      <c r="AF192" s="524"/>
      <c r="AG192" s="522"/>
      <c r="AH192" s="524"/>
      <c r="AI192" s="527"/>
      <c r="AJ192" s="522"/>
      <c r="AK192" s="522"/>
      <c r="AL192" s="522"/>
      <c r="AM192" s="524"/>
      <c r="AN192" s="522"/>
      <c r="AO192" s="524"/>
      <c r="AP192" s="1006">
        <v>0.05</v>
      </c>
      <c r="AQ192" s="1007"/>
      <c r="AR192" s="116" t="s">
        <v>424</v>
      </c>
    </row>
    <row r="193" spans="1:44" ht="14.25" customHeight="1" x14ac:dyDescent="0.3">
      <c r="A193" s="953"/>
      <c r="B193" s="908"/>
      <c r="C193" s="726">
        <v>12</v>
      </c>
      <c r="D193" s="727" t="s">
        <v>60</v>
      </c>
      <c r="E193" s="727">
        <v>2022</v>
      </c>
      <c r="F193" s="728" t="s">
        <v>19</v>
      </c>
      <c r="G193" s="533">
        <f t="shared" si="179"/>
        <v>387.31661186280132</v>
      </c>
      <c r="H193" s="532"/>
      <c r="I193" s="534"/>
      <c r="J193" s="534"/>
      <c r="K193" s="534"/>
      <c r="L193" s="534"/>
      <c r="M193" s="534"/>
      <c r="N193" s="533">
        <f>0.5*10^6*0.01*$AW$5</f>
        <v>2914.8282674626362</v>
      </c>
      <c r="O193" s="534"/>
      <c r="P193" s="534"/>
      <c r="Q193" s="534"/>
      <c r="R193" s="534"/>
      <c r="S193" s="534"/>
      <c r="T193" s="534"/>
      <c r="U193" s="538"/>
      <c r="V193" s="532"/>
      <c r="W193" s="532"/>
      <c r="X193" s="532"/>
      <c r="Y193" s="534"/>
      <c r="Z193" s="532"/>
      <c r="AA193" s="534"/>
      <c r="AB193" s="538"/>
      <c r="AC193" s="532"/>
      <c r="AD193" s="532"/>
      <c r="AE193" s="532"/>
      <c r="AF193" s="534"/>
      <c r="AG193" s="532"/>
      <c r="AH193" s="534"/>
      <c r="AI193" s="538"/>
      <c r="AJ193" s="532"/>
      <c r="AK193" s="532"/>
      <c r="AL193" s="532"/>
      <c r="AM193" s="534"/>
      <c r="AN193" s="532"/>
      <c r="AO193" s="534"/>
      <c r="AP193" s="1008">
        <v>0.05</v>
      </c>
      <c r="AQ193" s="1009"/>
      <c r="AR193" s="116" t="s">
        <v>425</v>
      </c>
    </row>
    <row r="194" spans="1:44" ht="14.25" customHeight="1" x14ac:dyDescent="0.3">
      <c r="A194" s="953"/>
      <c r="B194" s="906" t="s">
        <v>431</v>
      </c>
      <c r="C194" s="720">
        <v>12</v>
      </c>
      <c r="D194" s="721" t="s">
        <v>60</v>
      </c>
      <c r="E194" s="721">
        <v>2022</v>
      </c>
      <c r="F194" s="722" t="s">
        <v>19</v>
      </c>
      <c r="G194" s="516">
        <f t="shared" si="179"/>
        <v>26.313344547343899</v>
      </c>
      <c r="H194" s="517"/>
      <c r="I194" s="517"/>
      <c r="J194" s="517"/>
      <c r="K194" s="517"/>
      <c r="L194" s="517"/>
      <c r="M194" s="517"/>
      <c r="N194" s="516">
        <f>0.2*10^6*0.008*$AW$5</f>
        <v>932.74504558804358</v>
      </c>
      <c r="O194" s="517"/>
      <c r="P194" s="517"/>
      <c r="Q194" s="517"/>
      <c r="R194" s="517"/>
      <c r="S194" s="517"/>
      <c r="T194" s="517"/>
      <c r="U194" s="520"/>
      <c r="V194" s="344"/>
      <c r="W194" s="344"/>
      <c r="X194" s="344"/>
      <c r="Y194" s="517"/>
      <c r="Z194" s="344"/>
      <c r="AA194" s="517"/>
      <c r="AB194" s="520"/>
      <c r="AC194" s="344"/>
      <c r="AD194" s="344"/>
      <c r="AE194" s="344"/>
      <c r="AF194" s="517"/>
      <c r="AG194" s="344"/>
      <c r="AH194" s="517"/>
      <c r="AI194" s="520"/>
      <c r="AJ194" s="344"/>
      <c r="AK194" s="344"/>
      <c r="AL194" s="344"/>
      <c r="AM194" s="517"/>
      <c r="AN194" s="344"/>
      <c r="AO194" s="517"/>
      <c r="AP194" s="1004">
        <v>0.05</v>
      </c>
      <c r="AQ194" s="1005"/>
      <c r="AR194" s="104" t="s">
        <v>423</v>
      </c>
    </row>
    <row r="195" spans="1:44" ht="14.25" customHeight="1" x14ac:dyDescent="0.3">
      <c r="A195" s="953"/>
      <c r="B195" s="907"/>
      <c r="C195" s="723">
        <v>12</v>
      </c>
      <c r="D195" s="724" t="s">
        <v>60</v>
      </c>
      <c r="E195" s="724">
        <v>2022</v>
      </c>
      <c r="F195" s="725" t="s">
        <v>19</v>
      </c>
      <c r="G195" s="523">
        <f t="shared" si="179"/>
        <v>52.626689094687798</v>
      </c>
      <c r="H195" s="522"/>
      <c r="I195" s="524"/>
      <c r="J195" s="524"/>
      <c r="K195" s="524"/>
      <c r="L195" s="524"/>
      <c r="M195" s="524"/>
      <c r="N195" s="523">
        <f>0.4*10^6*0.009*$AW$5</f>
        <v>2098.676352573098</v>
      </c>
      <c r="O195" s="524"/>
      <c r="P195" s="524"/>
      <c r="Q195" s="524"/>
      <c r="R195" s="524"/>
      <c r="S195" s="524"/>
      <c r="T195" s="524"/>
      <c r="U195" s="527"/>
      <c r="V195" s="522"/>
      <c r="W195" s="522"/>
      <c r="X195" s="522"/>
      <c r="Y195" s="524"/>
      <c r="Z195" s="522"/>
      <c r="AA195" s="524"/>
      <c r="AB195" s="527"/>
      <c r="AC195" s="522"/>
      <c r="AD195" s="522"/>
      <c r="AE195" s="522"/>
      <c r="AF195" s="524"/>
      <c r="AG195" s="522"/>
      <c r="AH195" s="524"/>
      <c r="AI195" s="527"/>
      <c r="AJ195" s="522"/>
      <c r="AK195" s="522"/>
      <c r="AL195" s="522"/>
      <c r="AM195" s="524"/>
      <c r="AN195" s="522"/>
      <c r="AO195" s="524"/>
      <c r="AP195" s="1006">
        <v>0.05</v>
      </c>
      <c r="AQ195" s="1007"/>
      <c r="AR195" s="116" t="s">
        <v>424</v>
      </c>
    </row>
    <row r="196" spans="1:44" ht="14.25" customHeight="1" x14ac:dyDescent="0.3">
      <c r="A196" s="953"/>
      <c r="B196" s="908"/>
      <c r="C196" s="726">
        <v>12</v>
      </c>
      <c r="D196" s="727" t="s">
        <v>60</v>
      </c>
      <c r="E196" s="727">
        <v>2022</v>
      </c>
      <c r="F196" s="728" t="s">
        <v>19</v>
      </c>
      <c r="G196" s="533">
        <f t="shared" si="179"/>
        <v>65.783361368359749</v>
      </c>
      <c r="H196" s="532"/>
      <c r="I196" s="534"/>
      <c r="J196" s="534"/>
      <c r="K196" s="534"/>
      <c r="L196" s="534"/>
      <c r="M196" s="534"/>
      <c r="N196" s="533">
        <f>0.5*10^6*0.01*$AW$5</f>
        <v>2914.8282674626362</v>
      </c>
      <c r="O196" s="534"/>
      <c r="P196" s="534"/>
      <c r="Q196" s="534"/>
      <c r="R196" s="534"/>
      <c r="S196" s="534"/>
      <c r="T196" s="534"/>
      <c r="U196" s="538"/>
      <c r="V196" s="532"/>
      <c r="W196" s="532"/>
      <c r="X196" s="532"/>
      <c r="Y196" s="534"/>
      <c r="Z196" s="532"/>
      <c r="AA196" s="534"/>
      <c r="AB196" s="538"/>
      <c r="AC196" s="532"/>
      <c r="AD196" s="532"/>
      <c r="AE196" s="532"/>
      <c r="AF196" s="534"/>
      <c r="AG196" s="532"/>
      <c r="AH196" s="534"/>
      <c r="AI196" s="538"/>
      <c r="AJ196" s="532"/>
      <c r="AK196" s="532"/>
      <c r="AL196" s="532"/>
      <c r="AM196" s="534"/>
      <c r="AN196" s="532"/>
      <c r="AO196" s="534"/>
      <c r="AP196" s="1008">
        <v>0.05</v>
      </c>
      <c r="AQ196" s="1009"/>
      <c r="AR196" s="116" t="s">
        <v>425</v>
      </c>
    </row>
    <row r="197" spans="1:44" ht="14.25" customHeight="1" x14ac:dyDescent="0.3">
      <c r="A197" s="953"/>
      <c r="B197" s="906" t="s">
        <v>432</v>
      </c>
      <c r="C197" s="720">
        <v>12</v>
      </c>
      <c r="D197" s="721" t="s">
        <v>60</v>
      </c>
      <c r="E197" s="721">
        <v>2022</v>
      </c>
      <c r="F197" s="722" t="s">
        <v>19</v>
      </c>
      <c r="G197" s="516">
        <f t="shared" si="179"/>
        <v>39.470016821015847</v>
      </c>
      <c r="H197" s="517"/>
      <c r="I197" s="517"/>
      <c r="J197" s="517"/>
      <c r="K197" s="517"/>
      <c r="L197" s="517"/>
      <c r="M197" s="517"/>
      <c r="N197" s="516">
        <f>0.3*10^6*0.008*$AW$5</f>
        <v>1399.1175683820654</v>
      </c>
      <c r="O197" s="517"/>
      <c r="P197" s="517"/>
      <c r="Q197" s="517"/>
      <c r="R197" s="517"/>
      <c r="S197" s="517"/>
      <c r="T197" s="517"/>
      <c r="U197" s="520"/>
      <c r="V197" s="344"/>
      <c r="W197" s="344"/>
      <c r="X197" s="344"/>
      <c r="Y197" s="517"/>
      <c r="Z197" s="344"/>
      <c r="AA197" s="517"/>
      <c r="AB197" s="520"/>
      <c r="AC197" s="344"/>
      <c r="AD197" s="344"/>
      <c r="AE197" s="344"/>
      <c r="AF197" s="517"/>
      <c r="AG197" s="344"/>
      <c r="AH197" s="517"/>
      <c r="AI197" s="520"/>
      <c r="AJ197" s="344"/>
      <c r="AK197" s="344"/>
      <c r="AL197" s="344"/>
      <c r="AM197" s="517"/>
      <c r="AN197" s="344"/>
      <c r="AO197" s="517"/>
      <c r="AP197" s="1004">
        <v>0.05</v>
      </c>
      <c r="AQ197" s="1005"/>
      <c r="AR197" s="104" t="s">
        <v>423</v>
      </c>
    </row>
    <row r="198" spans="1:44" ht="14.25" customHeight="1" x14ac:dyDescent="0.3">
      <c r="A198" s="953"/>
      <c r="B198" s="907"/>
      <c r="C198" s="723">
        <v>12</v>
      </c>
      <c r="D198" s="724" t="s">
        <v>60</v>
      </c>
      <c r="E198" s="724">
        <v>2022</v>
      </c>
      <c r="F198" s="725" t="s">
        <v>19</v>
      </c>
      <c r="G198" s="523">
        <f t="shared" si="179"/>
        <v>52.626689094687798</v>
      </c>
      <c r="H198" s="522"/>
      <c r="I198" s="524"/>
      <c r="J198" s="524"/>
      <c r="K198" s="524"/>
      <c r="L198" s="524"/>
      <c r="M198" s="524"/>
      <c r="N198" s="523">
        <f>0.4*10^6*0.009*$AW$5</f>
        <v>2098.676352573098</v>
      </c>
      <c r="O198" s="524"/>
      <c r="P198" s="524"/>
      <c r="Q198" s="524"/>
      <c r="R198" s="524"/>
      <c r="S198" s="524"/>
      <c r="T198" s="524"/>
      <c r="U198" s="527"/>
      <c r="V198" s="522"/>
      <c r="W198" s="522"/>
      <c r="X198" s="522"/>
      <c r="Y198" s="524"/>
      <c r="Z198" s="522"/>
      <c r="AA198" s="524"/>
      <c r="AB198" s="527"/>
      <c r="AC198" s="522"/>
      <c r="AD198" s="522"/>
      <c r="AE198" s="522"/>
      <c r="AF198" s="524"/>
      <c r="AG198" s="522"/>
      <c r="AH198" s="524"/>
      <c r="AI198" s="527"/>
      <c r="AJ198" s="522"/>
      <c r="AK198" s="522"/>
      <c r="AL198" s="522"/>
      <c r="AM198" s="524"/>
      <c r="AN198" s="522"/>
      <c r="AO198" s="524"/>
      <c r="AP198" s="1006">
        <v>0.05</v>
      </c>
      <c r="AQ198" s="1007"/>
      <c r="AR198" s="116" t="s">
        <v>424</v>
      </c>
    </row>
    <row r="199" spans="1:44" ht="14.25" customHeight="1" x14ac:dyDescent="0.3">
      <c r="A199" s="953"/>
      <c r="B199" s="908"/>
      <c r="C199" s="726">
        <v>12</v>
      </c>
      <c r="D199" s="727" t="s">
        <v>60</v>
      </c>
      <c r="E199" s="727">
        <v>2022</v>
      </c>
      <c r="F199" s="728" t="s">
        <v>19</v>
      </c>
      <c r="G199" s="533">
        <f t="shared" si="179"/>
        <v>65.783361368359749</v>
      </c>
      <c r="H199" s="532"/>
      <c r="I199" s="534"/>
      <c r="J199" s="534"/>
      <c r="K199" s="534"/>
      <c r="L199" s="534"/>
      <c r="M199" s="534"/>
      <c r="N199" s="533">
        <f>0.5*10^6*0.01*$AW$5</f>
        <v>2914.8282674626362</v>
      </c>
      <c r="O199" s="534"/>
      <c r="P199" s="534"/>
      <c r="Q199" s="534"/>
      <c r="R199" s="534"/>
      <c r="S199" s="534"/>
      <c r="T199" s="534"/>
      <c r="U199" s="538"/>
      <c r="V199" s="532"/>
      <c r="W199" s="532"/>
      <c r="X199" s="532"/>
      <c r="Y199" s="534"/>
      <c r="Z199" s="532"/>
      <c r="AA199" s="534"/>
      <c r="AB199" s="538"/>
      <c r="AC199" s="532"/>
      <c r="AD199" s="532"/>
      <c r="AE199" s="532"/>
      <c r="AF199" s="534"/>
      <c r="AG199" s="532"/>
      <c r="AH199" s="534"/>
      <c r="AI199" s="538"/>
      <c r="AJ199" s="532"/>
      <c r="AK199" s="532"/>
      <c r="AL199" s="532"/>
      <c r="AM199" s="534"/>
      <c r="AN199" s="532"/>
      <c r="AO199" s="534"/>
      <c r="AP199" s="1008">
        <v>0.05</v>
      </c>
      <c r="AQ199" s="1009"/>
      <c r="AR199" s="116" t="s">
        <v>425</v>
      </c>
    </row>
    <row r="200" spans="1:44" ht="14.25" customHeight="1" x14ac:dyDescent="0.3">
      <c r="A200" s="953"/>
      <c r="B200" s="907" t="s">
        <v>433</v>
      </c>
      <c r="C200" s="723">
        <v>12</v>
      </c>
      <c r="D200" s="724" t="s">
        <v>60</v>
      </c>
      <c r="E200" s="721">
        <v>2022</v>
      </c>
      <c r="F200" s="722" t="s">
        <v>19</v>
      </c>
      <c r="G200" s="523">
        <f t="shared" si="179"/>
        <v>18.655750138058274</v>
      </c>
      <c r="H200" s="524"/>
      <c r="I200" s="524"/>
      <c r="J200" s="524"/>
      <c r="K200" s="524"/>
      <c r="L200" s="524"/>
      <c r="M200" s="524"/>
      <c r="N200" s="516">
        <f>0.3*10^6*0.008*$AW$5</f>
        <v>1399.1175683820654</v>
      </c>
      <c r="O200" s="524"/>
      <c r="P200" s="524"/>
      <c r="Q200" s="524"/>
      <c r="R200" s="524"/>
      <c r="S200" s="524"/>
      <c r="T200" s="524"/>
      <c r="U200" s="527"/>
      <c r="V200" s="522"/>
      <c r="W200" s="522"/>
      <c r="X200" s="522"/>
      <c r="Y200" s="524"/>
      <c r="Z200" s="522"/>
      <c r="AA200" s="524"/>
      <c r="AB200" s="527"/>
      <c r="AC200" s="522"/>
      <c r="AD200" s="522"/>
      <c r="AE200" s="522"/>
      <c r="AF200" s="524"/>
      <c r="AG200" s="522"/>
      <c r="AH200" s="524"/>
      <c r="AI200" s="527"/>
      <c r="AJ200" s="522"/>
      <c r="AK200" s="522"/>
      <c r="AL200" s="522"/>
      <c r="AM200" s="524"/>
      <c r="AN200" s="522"/>
      <c r="AO200" s="524"/>
      <c r="AP200" s="1004">
        <v>0.05</v>
      </c>
      <c r="AQ200" s="1005"/>
      <c r="AR200" s="104" t="s">
        <v>423</v>
      </c>
    </row>
    <row r="201" spans="1:44" ht="14.25" customHeight="1" x14ac:dyDescent="0.3">
      <c r="A201" s="953"/>
      <c r="B201" s="907"/>
      <c r="C201" s="723">
        <v>12</v>
      </c>
      <c r="D201" s="724" t="s">
        <v>60</v>
      </c>
      <c r="E201" s="724">
        <v>2022</v>
      </c>
      <c r="F201" s="725" t="s">
        <v>19</v>
      </c>
      <c r="G201" s="523">
        <f t="shared" si="179"/>
        <v>31.092916896763782</v>
      </c>
      <c r="H201" s="522"/>
      <c r="I201" s="524"/>
      <c r="J201" s="524"/>
      <c r="K201" s="524"/>
      <c r="L201" s="524"/>
      <c r="M201" s="524"/>
      <c r="N201" s="523">
        <f>0.5*10^6*0.009*$AW$5</f>
        <v>2623.3454407163727</v>
      </c>
      <c r="O201" s="524"/>
      <c r="P201" s="524"/>
      <c r="Q201" s="524"/>
      <c r="R201" s="524"/>
      <c r="S201" s="524"/>
      <c r="T201" s="524"/>
      <c r="U201" s="527"/>
      <c r="V201" s="522"/>
      <c r="W201" s="522"/>
      <c r="X201" s="522"/>
      <c r="Y201" s="524"/>
      <c r="Z201" s="522"/>
      <c r="AA201" s="524"/>
      <c r="AB201" s="527"/>
      <c r="AC201" s="522"/>
      <c r="AD201" s="522"/>
      <c r="AE201" s="522"/>
      <c r="AF201" s="524"/>
      <c r="AG201" s="522"/>
      <c r="AH201" s="524"/>
      <c r="AI201" s="527"/>
      <c r="AJ201" s="522"/>
      <c r="AK201" s="522"/>
      <c r="AL201" s="522"/>
      <c r="AM201" s="524"/>
      <c r="AN201" s="522"/>
      <c r="AO201" s="524"/>
      <c r="AP201" s="1006">
        <v>0.05</v>
      </c>
      <c r="AQ201" s="1007"/>
      <c r="AR201" s="116" t="s">
        <v>424</v>
      </c>
    </row>
    <row r="202" spans="1:44" ht="14.25" customHeight="1" x14ac:dyDescent="0.3">
      <c r="A202" s="953"/>
      <c r="B202" s="908"/>
      <c r="C202" s="726">
        <v>12</v>
      </c>
      <c r="D202" s="727" t="s">
        <v>60</v>
      </c>
      <c r="E202" s="727">
        <v>2022</v>
      </c>
      <c r="F202" s="728" t="s">
        <v>19</v>
      </c>
      <c r="G202" s="533">
        <f t="shared" si="179"/>
        <v>37.311500276116547</v>
      </c>
      <c r="H202" s="532"/>
      <c r="I202" s="534"/>
      <c r="J202" s="534"/>
      <c r="K202" s="534"/>
      <c r="L202" s="534"/>
      <c r="M202" s="534"/>
      <c r="N202" s="533">
        <f>0.6*10^6*0.01*$AW$5</f>
        <v>3497.7939209551637</v>
      </c>
      <c r="O202" s="534"/>
      <c r="P202" s="534"/>
      <c r="Q202" s="534"/>
      <c r="R202" s="534"/>
      <c r="S202" s="534"/>
      <c r="T202" s="534"/>
      <c r="U202" s="538"/>
      <c r="V202" s="532"/>
      <c r="W202" s="532"/>
      <c r="X202" s="532"/>
      <c r="Y202" s="534"/>
      <c r="Z202" s="532"/>
      <c r="AA202" s="534"/>
      <c r="AB202" s="538"/>
      <c r="AC202" s="532"/>
      <c r="AD202" s="532"/>
      <c r="AE202" s="532"/>
      <c r="AF202" s="534"/>
      <c r="AG202" s="532"/>
      <c r="AH202" s="534"/>
      <c r="AI202" s="538"/>
      <c r="AJ202" s="532"/>
      <c r="AK202" s="532"/>
      <c r="AL202" s="532"/>
      <c r="AM202" s="534"/>
      <c r="AN202" s="532"/>
      <c r="AO202" s="534"/>
      <c r="AP202" s="1008">
        <v>0.05</v>
      </c>
      <c r="AQ202" s="1009"/>
      <c r="AR202" s="116" t="s">
        <v>425</v>
      </c>
    </row>
    <row r="203" spans="1:44" ht="14.25" customHeight="1" x14ac:dyDescent="0.3">
      <c r="A203" s="953"/>
      <c r="B203" s="907" t="s">
        <v>434</v>
      </c>
      <c r="C203" s="723">
        <v>12</v>
      </c>
      <c r="D203" s="724" t="s">
        <v>60</v>
      </c>
      <c r="E203" s="721">
        <v>2022</v>
      </c>
      <c r="F203" s="722" t="s">
        <v>19</v>
      </c>
      <c r="G203" s="523">
        <f t="shared" si="179"/>
        <v>24.874333517411024</v>
      </c>
      <c r="H203" s="524"/>
      <c r="I203" s="524"/>
      <c r="J203" s="524"/>
      <c r="K203" s="524"/>
      <c r="L203" s="524"/>
      <c r="M203" s="524"/>
      <c r="N203" s="516">
        <f>0.4*10^6*0.008*$AW$5</f>
        <v>1865.4900911760872</v>
      </c>
      <c r="O203" s="524"/>
      <c r="P203" s="524"/>
      <c r="Q203" s="524"/>
      <c r="R203" s="524"/>
      <c r="S203" s="524"/>
      <c r="T203" s="524"/>
      <c r="U203" s="527"/>
      <c r="V203" s="522"/>
      <c r="W203" s="522"/>
      <c r="X203" s="522"/>
      <c r="Y203" s="524"/>
      <c r="Z203" s="522"/>
      <c r="AA203" s="524"/>
      <c r="AB203" s="527"/>
      <c r="AC203" s="522"/>
      <c r="AD203" s="522"/>
      <c r="AE203" s="522"/>
      <c r="AF203" s="524"/>
      <c r="AG203" s="522"/>
      <c r="AH203" s="524"/>
      <c r="AI203" s="527"/>
      <c r="AJ203" s="522"/>
      <c r="AK203" s="522"/>
      <c r="AL203" s="522"/>
      <c r="AM203" s="524"/>
      <c r="AN203" s="522"/>
      <c r="AO203" s="524"/>
      <c r="AP203" s="1004">
        <v>0.05</v>
      </c>
      <c r="AQ203" s="1005"/>
      <c r="AR203" s="104" t="s">
        <v>423</v>
      </c>
    </row>
    <row r="204" spans="1:44" ht="14.25" customHeight="1" x14ac:dyDescent="0.3">
      <c r="A204" s="953"/>
      <c r="B204" s="907"/>
      <c r="C204" s="723">
        <v>12</v>
      </c>
      <c r="D204" s="724" t="s">
        <v>60</v>
      </c>
      <c r="E204" s="724">
        <v>2022</v>
      </c>
      <c r="F204" s="725" t="s">
        <v>19</v>
      </c>
      <c r="G204" s="523">
        <f t="shared" si="179"/>
        <v>31.092916896763782</v>
      </c>
      <c r="H204" s="522"/>
      <c r="I204" s="524"/>
      <c r="J204" s="524"/>
      <c r="K204" s="524"/>
      <c r="L204" s="524"/>
      <c r="M204" s="524"/>
      <c r="N204" s="523">
        <f>0.5*10^6*0.009*$AW$5</f>
        <v>2623.3454407163727</v>
      </c>
      <c r="O204" s="524"/>
      <c r="P204" s="524"/>
      <c r="Q204" s="524"/>
      <c r="R204" s="524"/>
      <c r="S204" s="524"/>
      <c r="T204" s="524"/>
      <c r="U204" s="527"/>
      <c r="V204" s="522"/>
      <c r="W204" s="522"/>
      <c r="X204" s="522"/>
      <c r="Y204" s="524"/>
      <c r="Z204" s="522"/>
      <c r="AA204" s="524"/>
      <c r="AB204" s="527"/>
      <c r="AC204" s="522"/>
      <c r="AD204" s="522"/>
      <c r="AE204" s="522"/>
      <c r="AF204" s="524"/>
      <c r="AG204" s="522"/>
      <c r="AH204" s="524"/>
      <c r="AI204" s="527"/>
      <c r="AJ204" s="522"/>
      <c r="AK204" s="522"/>
      <c r="AL204" s="522"/>
      <c r="AM204" s="524"/>
      <c r="AN204" s="522"/>
      <c r="AO204" s="524"/>
      <c r="AP204" s="1006">
        <v>0.05</v>
      </c>
      <c r="AQ204" s="1007"/>
      <c r="AR204" s="116" t="s">
        <v>424</v>
      </c>
    </row>
    <row r="205" spans="1:44" ht="14.25" customHeight="1" x14ac:dyDescent="0.3">
      <c r="A205" s="953"/>
      <c r="B205" s="908"/>
      <c r="C205" s="726">
        <v>12</v>
      </c>
      <c r="D205" s="727" t="s">
        <v>60</v>
      </c>
      <c r="E205" s="727">
        <v>2022</v>
      </c>
      <c r="F205" s="728" t="s">
        <v>19</v>
      </c>
      <c r="G205" s="533">
        <f t="shared" si="179"/>
        <v>37.311500276116547</v>
      </c>
      <c r="H205" s="532"/>
      <c r="I205" s="534"/>
      <c r="J205" s="534"/>
      <c r="K205" s="534"/>
      <c r="L205" s="534"/>
      <c r="M205" s="534"/>
      <c r="N205" s="533">
        <f>0.6*10^6*0.01*$AW$5</f>
        <v>3497.7939209551637</v>
      </c>
      <c r="O205" s="534"/>
      <c r="P205" s="534"/>
      <c r="Q205" s="534"/>
      <c r="R205" s="534"/>
      <c r="S205" s="534"/>
      <c r="T205" s="534"/>
      <c r="U205" s="538"/>
      <c r="V205" s="532"/>
      <c r="W205" s="532"/>
      <c r="X205" s="532"/>
      <c r="Y205" s="534"/>
      <c r="Z205" s="532"/>
      <c r="AA205" s="534"/>
      <c r="AB205" s="538"/>
      <c r="AC205" s="532"/>
      <c r="AD205" s="532"/>
      <c r="AE205" s="532"/>
      <c r="AF205" s="534"/>
      <c r="AG205" s="532"/>
      <c r="AH205" s="534"/>
      <c r="AI205" s="538"/>
      <c r="AJ205" s="532"/>
      <c r="AK205" s="532"/>
      <c r="AL205" s="532"/>
      <c r="AM205" s="534"/>
      <c r="AN205" s="532"/>
      <c r="AO205" s="534"/>
      <c r="AP205" s="1008">
        <v>0.05</v>
      </c>
      <c r="AQ205" s="1009"/>
      <c r="AR205" s="116" t="s">
        <v>425</v>
      </c>
    </row>
    <row r="206" spans="1:44" ht="14.25" customHeight="1" x14ac:dyDescent="0.3">
      <c r="A206" s="953"/>
      <c r="B206" s="963" t="s">
        <v>1</v>
      </c>
      <c r="C206" s="1000" t="s">
        <v>246</v>
      </c>
      <c r="D206" s="1001"/>
      <c r="E206" s="1001"/>
      <c r="F206" s="622"/>
      <c r="G206" s="949" t="s">
        <v>418</v>
      </c>
      <c r="H206" s="950"/>
      <c r="I206" s="950"/>
      <c r="J206" s="950"/>
      <c r="K206" s="950"/>
      <c r="L206" s="950"/>
      <c r="M206" s="951"/>
      <c r="N206" s="914" t="s">
        <v>435</v>
      </c>
      <c r="O206" s="915"/>
      <c r="P206" s="915"/>
      <c r="Q206" s="915"/>
      <c r="R206" s="915"/>
      <c r="S206" s="915"/>
      <c r="T206" s="916"/>
      <c r="U206" s="914" t="s">
        <v>249</v>
      </c>
      <c r="V206" s="915"/>
      <c r="W206" s="915"/>
      <c r="X206" s="915"/>
      <c r="Y206" s="915"/>
      <c r="Z206" s="915"/>
      <c r="AA206" s="916"/>
      <c r="AB206" s="914" t="s">
        <v>250</v>
      </c>
      <c r="AC206" s="915"/>
      <c r="AD206" s="915"/>
      <c r="AE206" s="915"/>
      <c r="AF206" s="915"/>
      <c r="AG206" s="915"/>
      <c r="AH206" s="916"/>
      <c r="AI206" s="914" t="s">
        <v>251</v>
      </c>
      <c r="AJ206" s="915"/>
      <c r="AK206" s="915"/>
      <c r="AL206" s="915"/>
      <c r="AM206" s="915"/>
      <c r="AN206" s="915"/>
      <c r="AO206" s="916"/>
      <c r="AP206" s="1002" t="s">
        <v>252</v>
      </c>
      <c r="AQ206" s="1003"/>
      <c r="AR206" s="962" t="s">
        <v>253</v>
      </c>
    </row>
    <row r="207" spans="1:44" ht="14.25" customHeight="1" x14ac:dyDescent="0.3">
      <c r="A207" s="953"/>
      <c r="B207" s="963"/>
      <c r="C207" s="86" t="s">
        <v>254</v>
      </c>
      <c r="D207" s="87" t="s">
        <v>255</v>
      </c>
      <c r="E207" s="85" t="s">
        <v>256</v>
      </c>
      <c r="F207" s="622" t="s">
        <v>19</v>
      </c>
      <c r="G207" s="86">
        <v>2020</v>
      </c>
      <c r="H207" s="87">
        <v>2025</v>
      </c>
      <c r="I207" s="87">
        <v>2030</v>
      </c>
      <c r="J207" s="87">
        <v>2040</v>
      </c>
      <c r="K207" s="87">
        <v>2045</v>
      </c>
      <c r="L207" s="87">
        <v>2050</v>
      </c>
      <c r="M207" s="87">
        <v>2060</v>
      </c>
      <c r="N207" s="86">
        <v>2020</v>
      </c>
      <c r="O207" s="87">
        <v>2025</v>
      </c>
      <c r="P207" s="87">
        <v>2030</v>
      </c>
      <c r="Q207" s="87">
        <v>2040</v>
      </c>
      <c r="R207" s="87">
        <v>2045</v>
      </c>
      <c r="S207" s="87">
        <v>2050</v>
      </c>
      <c r="T207" s="87">
        <v>2060</v>
      </c>
      <c r="U207" s="86">
        <v>2020</v>
      </c>
      <c r="V207" s="87">
        <v>2025</v>
      </c>
      <c r="W207" s="87">
        <v>2030</v>
      </c>
      <c r="X207" s="87">
        <v>2040</v>
      </c>
      <c r="Y207" s="87">
        <v>2045</v>
      </c>
      <c r="Z207" s="87">
        <v>2050</v>
      </c>
      <c r="AA207" s="87">
        <v>2060</v>
      </c>
      <c r="AB207" s="86">
        <v>2020</v>
      </c>
      <c r="AC207" s="87">
        <v>2025</v>
      </c>
      <c r="AD207" s="87">
        <v>2030</v>
      </c>
      <c r="AE207" s="87">
        <v>2040</v>
      </c>
      <c r="AF207" s="87">
        <v>2045</v>
      </c>
      <c r="AG207" s="87">
        <v>2050</v>
      </c>
      <c r="AH207" s="87">
        <v>2060</v>
      </c>
      <c r="AI207" s="86">
        <v>2020</v>
      </c>
      <c r="AJ207" s="87">
        <v>2025</v>
      </c>
      <c r="AK207" s="87">
        <v>2030</v>
      </c>
      <c r="AL207" s="87">
        <v>2040</v>
      </c>
      <c r="AM207" s="87">
        <v>2045</v>
      </c>
      <c r="AN207" s="87">
        <v>2050</v>
      </c>
      <c r="AO207" s="87">
        <v>2060</v>
      </c>
      <c r="AP207" s="86" t="s">
        <v>257</v>
      </c>
      <c r="AQ207" s="622" t="s">
        <v>258</v>
      </c>
      <c r="AR207" s="962"/>
    </row>
    <row r="208" spans="1:44" ht="14.25" customHeight="1" x14ac:dyDescent="0.3">
      <c r="A208" s="953"/>
      <c r="B208" s="877" t="s">
        <v>83</v>
      </c>
      <c r="C208" s="729">
        <v>2</v>
      </c>
      <c r="D208" s="730" t="s">
        <v>23</v>
      </c>
      <c r="E208" s="730">
        <v>2019</v>
      </c>
      <c r="F208" s="703" t="s">
        <v>19</v>
      </c>
      <c r="G208" s="480">
        <f>(412*10^6/1.1297)/11000*(10^-3/(33.33*10^-3))/30</f>
        <v>33.15773327757266</v>
      </c>
      <c r="H208" s="204"/>
      <c r="I208" s="204"/>
      <c r="J208" s="204"/>
      <c r="K208" s="204"/>
      <c r="L208" s="204"/>
      <c r="M208" s="204"/>
      <c r="N208" s="480">
        <f t="shared" ref="N208:N210" si="180">G208*0.04*$AW$5</f>
        <v>0.77319278593964258</v>
      </c>
      <c r="O208" s="204"/>
      <c r="P208" s="204"/>
      <c r="Q208" s="204"/>
      <c r="R208" s="204"/>
      <c r="S208" s="204"/>
      <c r="T208" s="204"/>
      <c r="U208" s="205"/>
      <c r="V208" s="202"/>
      <c r="W208" s="202"/>
      <c r="X208" s="202"/>
      <c r="Y208" s="204"/>
      <c r="Z208" s="202"/>
      <c r="AA208" s="204"/>
      <c r="AB208" s="205"/>
      <c r="AC208" s="202"/>
      <c r="AD208" s="202"/>
      <c r="AE208" s="202"/>
      <c r="AF208" s="207"/>
      <c r="AG208" s="207"/>
      <c r="AH208" s="207"/>
      <c r="AI208" s="205"/>
      <c r="AJ208" s="202"/>
      <c r="AK208" s="202"/>
      <c r="AL208" s="202"/>
      <c r="AM208" s="204"/>
      <c r="AN208" s="202"/>
      <c r="AO208" s="204"/>
      <c r="AP208" s="205"/>
      <c r="AQ208" s="21"/>
      <c r="AR208" s="116"/>
    </row>
    <row r="209" spans="1:44" ht="14.25" customHeight="1" x14ac:dyDescent="0.3">
      <c r="A209" s="953"/>
      <c r="B209" s="878"/>
      <c r="C209" s="731">
        <v>4</v>
      </c>
      <c r="D209" s="732" t="s">
        <v>31</v>
      </c>
      <c r="E209" s="732">
        <v>2022</v>
      </c>
      <c r="F209" s="704" t="s">
        <v>19</v>
      </c>
      <c r="G209" s="212">
        <f>361223561.58/11000*(10^-3/(33.33*10^-3))/30</f>
        <v>32.841789777159534</v>
      </c>
      <c r="H209" s="209">
        <f>361223561.58/11000*(10^-3/(33.33*10^-3))/30</f>
        <v>32.841789777159534</v>
      </c>
      <c r="I209" s="209">
        <f t="shared" ref="I209:L209" si="181">361223561.58/11000*(10^-3/(33.33*10^-3))/30</f>
        <v>32.841789777159534</v>
      </c>
      <c r="J209" s="209">
        <f t="shared" si="181"/>
        <v>32.841789777159534</v>
      </c>
      <c r="K209" s="209">
        <v>32.840000000000003</v>
      </c>
      <c r="L209" s="209">
        <f t="shared" si="181"/>
        <v>32.841789777159534</v>
      </c>
      <c r="M209" s="107">
        <f>K209+((L209-K209)/(2050-2045))*(2060-2045)</f>
        <v>32.845369331478594</v>
      </c>
      <c r="N209" s="212">
        <f t="shared" si="180"/>
        <v>0.76582541757224043</v>
      </c>
      <c r="O209" s="209">
        <f t="shared" ref="O209:Q209" si="182">H209*0.04*$AW$5</f>
        <v>0.76582541757224043</v>
      </c>
      <c r="P209" s="209">
        <f t="shared" si="182"/>
        <v>0.76582541757224043</v>
      </c>
      <c r="Q209" s="209">
        <f t="shared" si="182"/>
        <v>0.76582541757224043</v>
      </c>
      <c r="R209" s="107">
        <f t="shared" ref="R209:R210" si="183">Q209+((S209-Q209)/(2050-2040))*(2045-2040)</f>
        <v>0.76582541757224043</v>
      </c>
      <c r="S209" s="209">
        <f t="shared" ref="S209:S210" si="184">L209*0.04*$AW$5</f>
        <v>0.76582541757224043</v>
      </c>
      <c r="T209" s="107">
        <f>R209+((S209-R209)/(2050-2045))*(2060-2045)</f>
        <v>0.76582541757224043</v>
      </c>
      <c r="U209" s="210"/>
      <c r="V209" s="208"/>
      <c r="W209" s="208"/>
      <c r="X209" s="208"/>
      <c r="Y209" s="209"/>
      <c r="Z209" s="208"/>
      <c r="AA209" s="209"/>
      <c r="AB209" s="210">
        <v>20</v>
      </c>
      <c r="AC209" s="208">
        <v>20</v>
      </c>
      <c r="AD209" s="208">
        <v>20</v>
      </c>
      <c r="AE209" s="208">
        <v>20</v>
      </c>
      <c r="AF209" s="378">
        <f t="shared" ref="AF209:AF210" si="185">AE209+((AG209-AE209)/(2050-2040))*(2045-2040)</f>
        <v>20</v>
      </c>
      <c r="AG209" s="213">
        <v>20</v>
      </c>
      <c r="AH209" s="378">
        <f t="shared" ref="AH209:AH210" si="186">AF209+((AG209-AF209)/(2050-2045))*(2060-2045)</f>
        <v>20</v>
      </c>
      <c r="AI209" s="210"/>
      <c r="AJ209" s="208"/>
      <c r="AK209" s="208"/>
      <c r="AL209" s="208"/>
      <c r="AM209" s="209"/>
      <c r="AN209" s="208"/>
      <c r="AO209" s="209"/>
      <c r="AP209" s="210"/>
      <c r="AQ209" s="24"/>
      <c r="AR209" s="116"/>
    </row>
    <row r="210" spans="1:44" ht="14.25" customHeight="1" x14ac:dyDescent="0.3">
      <c r="A210" s="953"/>
      <c r="B210" s="878"/>
      <c r="C210" s="731">
        <v>1</v>
      </c>
      <c r="D210" s="732" t="s">
        <v>18</v>
      </c>
      <c r="E210" s="732">
        <v>2020</v>
      </c>
      <c r="F210" s="704" t="s">
        <v>19</v>
      </c>
      <c r="G210" s="212">
        <f>37455/1.1297*(10^-3/(33.33*10^-3))/30</f>
        <v>33.158135677248353</v>
      </c>
      <c r="H210" s="107">
        <f>G210+((I210-G210)/(2030-2020))*(2025-2020)</f>
        <v>31.500007573564304</v>
      </c>
      <c r="I210" s="209">
        <f>33709/1.1297*(10^-3/(33.33*10^-3))/30</f>
        <v>29.841879469880251</v>
      </c>
      <c r="J210" s="209">
        <f>25282/1.1297*(10^-3/(33.33*10^-3))/30</f>
        <v>22.381630922231821</v>
      </c>
      <c r="K210" s="107">
        <f t="shared" ref="K210:K212" si="187">J210+((L210-J210)/(2050-2040))*(2045-2040)</f>
        <v>18.651506648407608</v>
      </c>
      <c r="L210" s="209">
        <f>16855/1.1297*(10^-3/(33.33*10^-3))/30</f>
        <v>14.921382374583393</v>
      </c>
      <c r="M210" s="107">
        <v>14.92</v>
      </c>
      <c r="N210" s="212">
        <f t="shared" si="180"/>
        <v>0.77320216934723873</v>
      </c>
      <c r="O210" s="107">
        <f>N210+((P210-N210)/(2030-2020))*(2025-2020)</f>
        <v>0.73453690000569882</v>
      </c>
      <c r="P210" s="209">
        <f>I210*0.04*$AW$5</f>
        <v>0.69587163066415891</v>
      </c>
      <c r="Q210" s="209">
        <f>J210*0.04*$AW$5</f>
        <v>0.52190888387229717</v>
      </c>
      <c r="R210" s="107">
        <f t="shared" si="183"/>
        <v>0.43492751047636635</v>
      </c>
      <c r="S210" s="209">
        <f t="shared" si="184"/>
        <v>0.34794613708043548</v>
      </c>
      <c r="T210" s="107">
        <v>0.35</v>
      </c>
      <c r="U210" s="210"/>
      <c r="V210" s="208"/>
      <c r="W210" s="208"/>
      <c r="X210" s="208"/>
      <c r="Y210" s="209"/>
      <c r="Z210" s="208"/>
      <c r="AA210" s="209"/>
      <c r="AB210" s="210">
        <v>30</v>
      </c>
      <c r="AC210" s="297">
        <f>AB210+((AD210-AB210)/(2030-2020))*(2025-2020)</f>
        <v>30</v>
      </c>
      <c r="AD210" s="208">
        <v>30</v>
      </c>
      <c r="AE210" s="208">
        <v>30</v>
      </c>
      <c r="AF210" s="378">
        <f t="shared" si="185"/>
        <v>30</v>
      </c>
      <c r="AG210" s="213">
        <v>30</v>
      </c>
      <c r="AH210" s="378">
        <f t="shared" si="186"/>
        <v>30</v>
      </c>
      <c r="AI210" s="210"/>
      <c r="AJ210" s="208"/>
      <c r="AK210" s="208"/>
      <c r="AL210" s="208"/>
      <c r="AM210" s="213"/>
      <c r="AN210" s="213"/>
      <c r="AO210" s="213"/>
      <c r="AP210" s="210"/>
      <c r="AQ210" s="24"/>
      <c r="AR210" s="116"/>
    </row>
    <row r="211" spans="1:44" ht="14.25" customHeight="1" x14ac:dyDescent="0.3">
      <c r="A211" s="953"/>
      <c r="B211" s="878"/>
      <c r="C211" s="731">
        <v>11</v>
      </c>
      <c r="D211" s="732" t="s">
        <v>57</v>
      </c>
      <c r="E211" s="732">
        <v>2022</v>
      </c>
      <c r="F211" s="704" t="s">
        <v>19</v>
      </c>
      <c r="G211" s="106">
        <f t="shared" ref="G211:G212" si="188">H211+((I211-H211)/(2030-2025))*(2020-2025)</f>
        <v>154.84764845809008</v>
      </c>
      <c r="H211" s="107">
        <f t="shared" ref="H211:H212" si="189">I211+((J211-I211)/(2040-2030))*(2025-2030)</f>
        <v>123.5348021146919</v>
      </c>
      <c r="I211" s="209">
        <f>109060/1.1827*(10^-3/(33.33*10^-3))/30</f>
        <v>92.221955771293707</v>
      </c>
      <c r="J211" s="209">
        <f>(35000)/1.1827*(10^-3/(33.33*10^-3))/30</f>
        <v>29.596263084497341</v>
      </c>
      <c r="K211" s="107">
        <f t="shared" si="187"/>
        <v>29.596263084497341</v>
      </c>
      <c r="L211" s="209">
        <f>(35000)/1.1827*(10^-3/(33.33*10^-3))/30</f>
        <v>29.596263084497341</v>
      </c>
      <c r="M211" s="107">
        <f t="shared" ref="M211:M212" si="190">K211+((L211-K211)/(2050-2045))*(2060-2045)</f>
        <v>29.596263084497341</v>
      </c>
      <c r="N211" s="106">
        <f t="shared" ref="N211:N212" si="191">G211*0.02*$AW$5</f>
        <v>1.8054172115030322</v>
      </c>
      <c r="O211" s="107">
        <f t="shared" ref="O211:T212" si="192">H211*0.02*$AW$5</f>
        <v>1.440330932877228</v>
      </c>
      <c r="P211" s="107">
        <f t="shared" si="192"/>
        <v>1.0752446542514236</v>
      </c>
      <c r="Q211" s="107">
        <f t="shared" si="192"/>
        <v>0.34507209699981506</v>
      </c>
      <c r="R211" s="107">
        <f t="shared" si="192"/>
        <v>0.34507209699981506</v>
      </c>
      <c r="S211" s="107">
        <f t="shared" si="192"/>
        <v>0.34507209699981506</v>
      </c>
      <c r="T211" s="107">
        <f t="shared" si="192"/>
        <v>0.34507209699981506</v>
      </c>
      <c r="U211" s="210"/>
      <c r="V211" s="208"/>
      <c r="W211" s="208"/>
      <c r="X211" s="208"/>
      <c r="Y211" s="209"/>
      <c r="Z211" s="208"/>
      <c r="AA211" s="209"/>
      <c r="AB211" s="210"/>
      <c r="AC211" s="208"/>
      <c r="AD211" s="208"/>
      <c r="AE211" s="208"/>
      <c r="AF211" s="213"/>
      <c r="AG211" s="213"/>
      <c r="AH211" s="213"/>
      <c r="AI211" s="733">
        <f t="shared" ref="AI211:AI212" si="193">AJ211+((AK211-AJ211)/(2030-2025))*(2020-2025)</f>
        <v>49</v>
      </c>
      <c r="AJ211" s="297">
        <f t="shared" ref="AJ211:AJ212" si="194">AK211+((AL211-AK211)/(2040-2030))*(2025-2030)</f>
        <v>50.5</v>
      </c>
      <c r="AK211" s="208">
        <v>52</v>
      </c>
      <c r="AL211" s="208">
        <v>55</v>
      </c>
      <c r="AM211" s="378">
        <f t="shared" ref="AM211:AM212" si="195">AL211+((AN211-AL211)/(2050-2040))*(2045-2040)</f>
        <v>56</v>
      </c>
      <c r="AN211" s="213">
        <v>57</v>
      </c>
      <c r="AO211" s="378">
        <f t="shared" ref="AO211:AO212" si="196">AM211+((AN211-AM211)/(2050-2045))*(2060-2045)</f>
        <v>59</v>
      </c>
      <c r="AP211" s="210"/>
      <c r="AQ211" s="24"/>
      <c r="AR211" s="116" t="s">
        <v>436</v>
      </c>
    </row>
    <row r="212" spans="1:44" ht="14.25" customHeight="1" x14ac:dyDescent="0.3">
      <c r="A212" s="953"/>
      <c r="B212" s="879"/>
      <c r="C212" s="734">
        <v>11</v>
      </c>
      <c r="D212" s="735" t="s">
        <v>57</v>
      </c>
      <c r="E212" s="735">
        <v>2022</v>
      </c>
      <c r="F212" s="705" t="s">
        <v>19</v>
      </c>
      <c r="G212" s="607">
        <f t="shared" si="188"/>
        <v>221.21092636870011</v>
      </c>
      <c r="H212" s="122">
        <f t="shared" si="189"/>
        <v>176.47828873527413</v>
      </c>
      <c r="I212" s="215">
        <f>155800/1.1827*(10^-3/(33.33*10^-3))/30</f>
        <v>131.74565110184815</v>
      </c>
      <c r="J212" s="215">
        <f>(50000)/1.1827*(10^-3/(33.33*10^-3))/30</f>
        <v>42.2803758349962</v>
      </c>
      <c r="K212" s="122">
        <f t="shared" si="187"/>
        <v>42.2803758349962</v>
      </c>
      <c r="L212" s="215">
        <f>(50000)/1.1827*(10^-3/(33.33*10^-3))/30</f>
        <v>42.2803758349962</v>
      </c>
      <c r="M212" s="122">
        <f t="shared" si="190"/>
        <v>42.2803758349962</v>
      </c>
      <c r="N212" s="106">
        <f t="shared" si="191"/>
        <v>2.5791674450043316</v>
      </c>
      <c r="O212" s="107">
        <f t="shared" si="192"/>
        <v>2.0576156183960399</v>
      </c>
      <c r="P212" s="107">
        <f t="shared" si="192"/>
        <v>1.536063791787748</v>
      </c>
      <c r="Q212" s="107">
        <f t="shared" si="192"/>
        <v>0.49296013857116433</v>
      </c>
      <c r="R212" s="107">
        <f t="shared" si="192"/>
        <v>0.49296013857116433</v>
      </c>
      <c r="S212" s="107">
        <f t="shared" si="192"/>
        <v>0.49296013857116433</v>
      </c>
      <c r="T212" s="107">
        <f t="shared" si="192"/>
        <v>0.49296013857116433</v>
      </c>
      <c r="U212" s="216"/>
      <c r="V212" s="214"/>
      <c r="W212" s="214"/>
      <c r="X212" s="214"/>
      <c r="Y212" s="215"/>
      <c r="Z212" s="214"/>
      <c r="AA212" s="215"/>
      <c r="AB212" s="216"/>
      <c r="AC212" s="214"/>
      <c r="AD212" s="214"/>
      <c r="AE212" s="214"/>
      <c r="AF212" s="660"/>
      <c r="AG212" s="660"/>
      <c r="AH212" s="660"/>
      <c r="AI212" s="736">
        <f t="shared" si="193"/>
        <v>49</v>
      </c>
      <c r="AJ212" s="306">
        <f t="shared" si="194"/>
        <v>50.5</v>
      </c>
      <c r="AK212" s="214">
        <v>52</v>
      </c>
      <c r="AL212" s="214">
        <v>55</v>
      </c>
      <c r="AM212" s="386">
        <f t="shared" si="195"/>
        <v>56</v>
      </c>
      <c r="AN212" s="660">
        <v>57</v>
      </c>
      <c r="AO212" s="386">
        <f t="shared" si="196"/>
        <v>59</v>
      </c>
      <c r="AP212" s="216"/>
      <c r="AQ212" s="27"/>
      <c r="AR212" s="116" t="s">
        <v>437</v>
      </c>
    </row>
    <row r="213" spans="1:44" ht="14.25" customHeight="1" x14ac:dyDescent="0.3">
      <c r="A213" s="953"/>
      <c r="B213" s="217" t="s">
        <v>267</v>
      </c>
      <c r="C213" s="222"/>
      <c r="D213" s="218"/>
      <c r="E213" s="218"/>
      <c r="F213" s="223"/>
      <c r="G213" s="219">
        <f>MIN(G208:G212)</f>
        <v>32.841789777159534</v>
      </c>
      <c r="H213" s="220">
        <f t="shared" ref="H213:T213" si="197">MIN(H208:H212)</f>
        <v>31.500007573564304</v>
      </c>
      <c r="I213" s="220">
        <f t="shared" si="197"/>
        <v>29.841879469880251</v>
      </c>
      <c r="J213" s="220">
        <f t="shared" si="197"/>
        <v>22.381630922231821</v>
      </c>
      <c r="K213" s="220">
        <f t="shared" si="197"/>
        <v>18.651506648407608</v>
      </c>
      <c r="L213" s="220">
        <f t="shared" si="197"/>
        <v>14.921382374583393</v>
      </c>
      <c r="M213" s="220">
        <f t="shared" si="197"/>
        <v>14.92</v>
      </c>
      <c r="N213" s="219">
        <f t="shared" si="197"/>
        <v>0.76582541757224043</v>
      </c>
      <c r="O213" s="220">
        <f t="shared" si="197"/>
        <v>0.73453690000569882</v>
      </c>
      <c r="P213" s="220">
        <f t="shared" si="197"/>
        <v>0.69587163066415891</v>
      </c>
      <c r="Q213" s="220">
        <f t="shared" si="197"/>
        <v>0.34507209699981506</v>
      </c>
      <c r="R213" s="220">
        <f t="shared" si="197"/>
        <v>0.34507209699981506</v>
      </c>
      <c r="S213" s="220">
        <f t="shared" si="197"/>
        <v>0.34507209699981506</v>
      </c>
      <c r="T213" s="220">
        <f t="shared" si="197"/>
        <v>0.34507209699981506</v>
      </c>
      <c r="U213" s="222"/>
      <c r="V213" s="218"/>
      <c r="W213" s="218"/>
      <c r="X213" s="218"/>
      <c r="Y213" s="220"/>
      <c r="Z213" s="218"/>
      <c r="AA213" s="220"/>
      <c r="AB213" s="222">
        <f t="shared" ref="AB213:AO213" si="198">MIN(AB208:AB212)</f>
        <v>20</v>
      </c>
      <c r="AC213" s="218">
        <f t="shared" si="198"/>
        <v>20</v>
      </c>
      <c r="AD213" s="218">
        <f t="shared" si="198"/>
        <v>20</v>
      </c>
      <c r="AE213" s="218">
        <f t="shared" si="198"/>
        <v>20</v>
      </c>
      <c r="AF213" s="490">
        <f t="shared" si="198"/>
        <v>20</v>
      </c>
      <c r="AG213" s="490">
        <f t="shared" si="198"/>
        <v>20</v>
      </c>
      <c r="AH213" s="490">
        <f t="shared" si="198"/>
        <v>20</v>
      </c>
      <c r="AI213" s="222">
        <f t="shared" si="198"/>
        <v>49</v>
      </c>
      <c r="AJ213" s="218">
        <f t="shared" si="198"/>
        <v>50.5</v>
      </c>
      <c r="AK213" s="218">
        <f t="shared" si="198"/>
        <v>52</v>
      </c>
      <c r="AL213" s="218">
        <f t="shared" si="198"/>
        <v>55</v>
      </c>
      <c r="AM213" s="490">
        <f t="shared" si="198"/>
        <v>56</v>
      </c>
      <c r="AN213" s="490">
        <f t="shared" si="198"/>
        <v>57</v>
      </c>
      <c r="AO213" s="490">
        <f t="shared" si="198"/>
        <v>59</v>
      </c>
      <c r="AP213" s="222"/>
      <c r="AQ213" s="223"/>
      <c r="AR213" s="104"/>
    </row>
    <row r="214" spans="1:44" ht="14.25" customHeight="1" x14ac:dyDescent="0.3">
      <c r="A214" s="953"/>
      <c r="B214" s="224" t="s">
        <v>268</v>
      </c>
      <c r="C214" s="229"/>
      <c r="D214" s="225"/>
      <c r="E214" s="225"/>
      <c r="F214" s="230"/>
      <c r="G214" s="226">
        <f>MEDIAN(G208:G212)</f>
        <v>33.158135677248353</v>
      </c>
      <c r="H214" s="227">
        <f t="shared" ref="H214:T214" si="199">MEDIAN(H208:H212)</f>
        <v>78.188295945925717</v>
      </c>
      <c r="I214" s="227">
        <f t="shared" si="199"/>
        <v>62.53187277422662</v>
      </c>
      <c r="J214" s="227">
        <f t="shared" si="199"/>
        <v>31.219026430828436</v>
      </c>
      <c r="K214" s="227">
        <f t="shared" si="199"/>
        <v>31.21813154224867</v>
      </c>
      <c r="L214" s="227">
        <f t="shared" si="199"/>
        <v>31.219026430828436</v>
      </c>
      <c r="M214" s="227">
        <f t="shared" si="199"/>
        <v>31.220816207987966</v>
      </c>
      <c r="N214" s="226">
        <f t="shared" si="199"/>
        <v>0.77320216934723873</v>
      </c>
      <c r="O214" s="227">
        <f t="shared" si="199"/>
        <v>1.1030781752247343</v>
      </c>
      <c r="P214" s="227">
        <f t="shared" si="199"/>
        <v>0.92053503591183206</v>
      </c>
      <c r="Q214" s="227">
        <f t="shared" si="199"/>
        <v>0.50743451122173078</v>
      </c>
      <c r="R214" s="227">
        <f t="shared" si="199"/>
        <v>0.46394382452376537</v>
      </c>
      <c r="S214" s="227">
        <f t="shared" si="199"/>
        <v>0.42045313782579991</v>
      </c>
      <c r="T214" s="227">
        <f t="shared" si="199"/>
        <v>0.42148006928558213</v>
      </c>
      <c r="U214" s="229"/>
      <c r="V214" s="225"/>
      <c r="W214" s="225"/>
      <c r="X214" s="225"/>
      <c r="Y214" s="227"/>
      <c r="Z214" s="225"/>
      <c r="AA214" s="227"/>
      <c r="AB214" s="229">
        <f t="shared" ref="AB214:AO214" si="200">MEDIAN(AB208:AB212)</f>
        <v>25</v>
      </c>
      <c r="AC214" s="225">
        <f t="shared" si="200"/>
        <v>25</v>
      </c>
      <c r="AD214" s="225">
        <f t="shared" si="200"/>
        <v>25</v>
      </c>
      <c r="AE214" s="225">
        <f t="shared" si="200"/>
        <v>25</v>
      </c>
      <c r="AF214" s="494">
        <f t="shared" si="200"/>
        <v>25</v>
      </c>
      <c r="AG214" s="494">
        <f t="shared" si="200"/>
        <v>25</v>
      </c>
      <c r="AH214" s="494">
        <f t="shared" si="200"/>
        <v>25</v>
      </c>
      <c r="AI214" s="229">
        <f t="shared" si="200"/>
        <v>49</v>
      </c>
      <c r="AJ214" s="225">
        <f t="shared" si="200"/>
        <v>50.5</v>
      </c>
      <c r="AK214" s="225">
        <f t="shared" si="200"/>
        <v>52</v>
      </c>
      <c r="AL214" s="225">
        <f t="shared" si="200"/>
        <v>55</v>
      </c>
      <c r="AM214" s="494">
        <f t="shared" si="200"/>
        <v>56</v>
      </c>
      <c r="AN214" s="494">
        <f t="shared" si="200"/>
        <v>57</v>
      </c>
      <c r="AO214" s="494">
        <f t="shared" si="200"/>
        <v>59</v>
      </c>
      <c r="AP214" s="229"/>
      <c r="AQ214" s="230"/>
      <c r="AR214" s="104"/>
    </row>
    <row r="215" spans="1:44" ht="14.25" customHeight="1" x14ac:dyDescent="0.3">
      <c r="A215" s="953"/>
      <c r="B215" s="231" t="s">
        <v>269</v>
      </c>
      <c r="C215" s="234"/>
      <c r="D215" s="232"/>
      <c r="E215" s="232"/>
      <c r="F215" s="235"/>
      <c r="G215" s="599">
        <f>MAX(G208:G212)</f>
        <v>221.21092636870011</v>
      </c>
      <c r="H215" s="233">
        <f t="shared" ref="H215:T215" si="201">MAX(H208:H212)</f>
        <v>176.47828873527413</v>
      </c>
      <c r="I215" s="233">
        <f t="shared" si="201"/>
        <v>131.74565110184815</v>
      </c>
      <c r="J215" s="233">
        <f t="shared" si="201"/>
        <v>42.2803758349962</v>
      </c>
      <c r="K215" s="233">
        <f t="shared" si="201"/>
        <v>42.2803758349962</v>
      </c>
      <c r="L215" s="233">
        <f t="shared" si="201"/>
        <v>42.2803758349962</v>
      </c>
      <c r="M215" s="233">
        <f t="shared" si="201"/>
        <v>42.2803758349962</v>
      </c>
      <c r="N215" s="599">
        <f t="shared" si="201"/>
        <v>2.5791674450043316</v>
      </c>
      <c r="O215" s="233">
        <f t="shared" si="201"/>
        <v>2.0576156183960399</v>
      </c>
      <c r="P215" s="233">
        <f t="shared" si="201"/>
        <v>1.536063791787748</v>
      </c>
      <c r="Q215" s="233">
        <f t="shared" si="201"/>
        <v>0.76582541757224043</v>
      </c>
      <c r="R215" s="233">
        <f t="shared" si="201"/>
        <v>0.76582541757224043</v>
      </c>
      <c r="S215" s="233">
        <f t="shared" si="201"/>
        <v>0.76582541757224043</v>
      </c>
      <c r="T215" s="233">
        <f t="shared" si="201"/>
        <v>0.76582541757224043</v>
      </c>
      <c r="U215" s="234"/>
      <c r="V215" s="232"/>
      <c r="W215" s="232"/>
      <c r="X215" s="232"/>
      <c r="Y215" s="233"/>
      <c r="Z215" s="232"/>
      <c r="AA215" s="233"/>
      <c r="AB215" s="234">
        <f t="shared" ref="AB215:AO215" si="202">MAX(AB208:AB212)</f>
        <v>30</v>
      </c>
      <c r="AC215" s="232">
        <f t="shared" si="202"/>
        <v>30</v>
      </c>
      <c r="AD215" s="232">
        <f t="shared" si="202"/>
        <v>30</v>
      </c>
      <c r="AE215" s="232">
        <f t="shared" si="202"/>
        <v>30</v>
      </c>
      <c r="AF215" s="498">
        <f t="shared" si="202"/>
        <v>30</v>
      </c>
      <c r="AG215" s="498">
        <f t="shared" si="202"/>
        <v>30</v>
      </c>
      <c r="AH215" s="498">
        <f t="shared" si="202"/>
        <v>30</v>
      </c>
      <c r="AI215" s="234">
        <f t="shared" si="202"/>
        <v>49</v>
      </c>
      <c r="AJ215" s="232">
        <f t="shared" si="202"/>
        <v>50.5</v>
      </c>
      <c r="AK215" s="232">
        <f t="shared" si="202"/>
        <v>52</v>
      </c>
      <c r="AL215" s="232">
        <f t="shared" si="202"/>
        <v>55</v>
      </c>
      <c r="AM215" s="498">
        <f t="shared" si="202"/>
        <v>56</v>
      </c>
      <c r="AN215" s="498">
        <f t="shared" si="202"/>
        <v>57</v>
      </c>
      <c r="AO215" s="498">
        <f t="shared" si="202"/>
        <v>59</v>
      </c>
      <c r="AP215" s="234"/>
      <c r="AQ215" s="235"/>
      <c r="AR215" s="104"/>
    </row>
    <row r="216" spans="1:44" ht="14.25" customHeight="1" x14ac:dyDescent="0.3">
      <c r="A216" s="953"/>
      <c r="B216" s="967" t="s">
        <v>85</v>
      </c>
      <c r="C216" s="737">
        <v>4</v>
      </c>
      <c r="D216" s="623" t="s">
        <v>31</v>
      </c>
      <c r="E216" s="623">
        <v>2022</v>
      </c>
      <c r="F216" s="280" t="s">
        <v>19</v>
      </c>
      <c r="G216" s="508">
        <f t="shared" ref="G216:L216" si="203">(31700578.34/75000)*(1/1000)*(1/(2*10^-3))*(1/30)</f>
        <v>7.0445729644444439</v>
      </c>
      <c r="H216" s="281">
        <f t="shared" si="203"/>
        <v>7.0445729644444439</v>
      </c>
      <c r="I216" s="281">
        <f t="shared" si="203"/>
        <v>7.0445729644444439</v>
      </c>
      <c r="J216" s="281">
        <f t="shared" si="203"/>
        <v>7.0445729644444439</v>
      </c>
      <c r="K216" s="281">
        <f t="shared" si="203"/>
        <v>7.0445729644444439</v>
      </c>
      <c r="L216" s="281">
        <f t="shared" si="203"/>
        <v>7.0445729644444439</v>
      </c>
      <c r="M216" s="93">
        <f t="shared" ref="M216:M218" si="204">K216+((L216-K216)/(2050-2045))*(2060-2045)</f>
        <v>7.0445729644444439</v>
      </c>
      <c r="N216" s="508">
        <f>G216*0.05*$AW$5</f>
        <v>0.20533720408965728</v>
      </c>
      <c r="O216" s="281">
        <f t="shared" ref="O216:Q216" si="205">H216*0.05*$AW$5</f>
        <v>0.20533720408965728</v>
      </c>
      <c r="P216" s="281">
        <f t="shared" si="205"/>
        <v>0.20533720408965728</v>
      </c>
      <c r="Q216" s="281">
        <f t="shared" si="205"/>
        <v>0.20533720408965728</v>
      </c>
      <c r="R216" s="93">
        <f>Q216+((S216-Q216)/(2050-2040))*(2045-2040)</f>
        <v>0.20533720408965728</v>
      </c>
      <c r="S216" s="281">
        <f>L216*0.05*$AW$5</f>
        <v>0.20533720408965728</v>
      </c>
      <c r="T216" s="93">
        <f>R216+((S216-R216)/(2050-2045))*(2060-2045)</f>
        <v>0.20533720408965728</v>
      </c>
      <c r="U216" s="278"/>
      <c r="V216" s="279"/>
      <c r="W216" s="279"/>
      <c r="X216" s="279"/>
      <c r="Y216" s="281"/>
      <c r="Z216" s="279"/>
      <c r="AA216" s="281"/>
      <c r="AB216" s="278">
        <v>15</v>
      </c>
      <c r="AC216" s="279">
        <v>15</v>
      </c>
      <c r="AD216" s="279">
        <v>15</v>
      </c>
      <c r="AE216" s="279">
        <v>15</v>
      </c>
      <c r="AF216" s="101">
        <f>AE216+((AG216-AE216)/(2050-2040))*(2045-2040)</f>
        <v>15</v>
      </c>
      <c r="AG216" s="625">
        <v>15</v>
      </c>
      <c r="AH216" s="101">
        <f>AF216+((AG216-AF216)/(2050-2045))*(2060-2045)</f>
        <v>15</v>
      </c>
      <c r="AI216" s="278"/>
      <c r="AJ216" s="279"/>
      <c r="AK216" s="279"/>
      <c r="AL216" s="279"/>
      <c r="AM216" s="625"/>
      <c r="AN216" s="625"/>
      <c r="AO216" s="625"/>
      <c r="AP216" s="278"/>
      <c r="AQ216" s="7"/>
      <c r="AR216" s="104"/>
    </row>
    <row r="217" spans="1:44" ht="14.25" customHeight="1" x14ac:dyDescent="0.3">
      <c r="A217" s="953"/>
      <c r="B217" s="955"/>
      <c r="C217" s="738">
        <v>11</v>
      </c>
      <c r="D217" s="626" t="s">
        <v>57</v>
      </c>
      <c r="E217" s="626">
        <v>2022</v>
      </c>
      <c r="F217" s="291" t="s">
        <v>19</v>
      </c>
      <c r="G217" s="106">
        <f t="shared" ref="G217:G218" si="206">H217+((I217-H217)/(2030-2025))*(2020-2025)</f>
        <v>30.410642315605525</v>
      </c>
      <c r="H217" s="107">
        <f t="shared" ref="H217:H218" si="207">I217+((J217-I217)/(2040-2030))*(2025-2030)</f>
        <v>24.92178912657478</v>
      </c>
      <c r="I217" s="282">
        <f>(1379/1.1827)*(1/1000)*(1/(2*10^-3))*(1/30)</f>
        <v>19.432935937544034</v>
      </c>
      <c r="J217" s="282">
        <f>((600)/1.1827)*(1/1000)*(1/(2*10^-3))*(1/30)</f>
        <v>8.4552295594825395</v>
      </c>
      <c r="K217" s="107">
        <f t="shared" ref="K217:K218" si="208">J217+((L217-J217)/(2050-2040))*(2045-2040)</f>
        <v>8.4552295594825395</v>
      </c>
      <c r="L217" s="282">
        <f>((600)/1.1827)*(1/1000)*(1/(2*10^-3))*(1/30)</f>
        <v>8.4552295594825395</v>
      </c>
      <c r="M217" s="107">
        <f t="shared" si="204"/>
        <v>8.4552295594825395</v>
      </c>
      <c r="N217" s="106">
        <f t="shared" ref="N217:N218" si="209">G217*0.02*$AW$5</f>
        <v>0.35456719941288956</v>
      </c>
      <c r="O217" s="107">
        <f t="shared" ref="O217:T218" si="210">H217*0.02*$AW$5</f>
        <v>0.29057094168753256</v>
      </c>
      <c r="P217" s="107">
        <f t="shared" si="210"/>
        <v>0.22657468396217553</v>
      </c>
      <c r="Q217" s="107">
        <f t="shared" si="210"/>
        <v>9.858216851146144E-2</v>
      </c>
      <c r="R217" s="107">
        <f t="shared" si="210"/>
        <v>9.858216851146144E-2</v>
      </c>
      <c r="S217" s="107">
        <f t="shared" si="210"/>
        <v>9.858216851146144E-2</v>
      </c>
      <c r="T217" s="107">
        <f t="shared" si="210"/>
        <v>9.858216851146144E-2</v>
      </c>
      <c r="U217" s="289"/>
      <c r="V217" s="290"/>
      <c r="W217" s="290"/>
      <c r="X217" s="290"/>
      <c r="Y217" s="282"/>
      <c r="Z217" s="290"/>
      <c r="AA217" s="282"/>
      <c r="AB217" s="289"/>
      <c r="AC217" s="290"/>
      <c r="AD217" s="290"/>
      <c r="AE217" s="290"/>
      <c r="AF217" s="288"/>
      <c r="AG217" s="288"/>
      <c r="AH217" s="288"/>
      <c r="AI217" s="733">
        <f t="shared" ref="AI217:AI218" si="211">AJ217+((AK217-AJ217)/(2030-2025))*(2020-2025)</f>
        <v>37</v>
      </c>
      <c r="AJ217" s="297">
        <f t="shared" ref="AJ217:AJ218" si="212">AK217+((AL217-AK217)/(2040-2030))*(2025-2030)</f>
        <v>38.5</v>
      </c>
      <c r="AK217" s="290">
        <v>40</v>
      </c>
      <c r="AL217" s="290">
        <v>43</v>
      </c>
      <c r="AM217" s="377">
        <f t="shared" ref="AM217:AM218" si="213">AL217+((AN217-AL217)/(2050-2040))*(2045-2040)</f>
        <v>44.5</v>
      </c>
      <c r="AN217" s="288">
        <v>46</v>
      </c>
      <c r="AO217" s="378">
        <f t="shared" ref="AO217:AO218" si="214">AM217+((AN217-AM217)/(2050-2045))*(2060-2045)</f>
        <v>49</v>
      </c>
      <c r="AP217" s="289"/>
      <c r="AQ217" s="11"/>
      <c r="AR217" s="116" t="s">
        <v>436</v>
      </c>
    </row>
    <row r="218" spans="1:44" ht="14.25" customHeight="1" x14ac:dyDescent="0.3">
      <c r="A218" s="953"/>
      <c r="B218" s="968"/>
      <c r="C218" s="739">
        <v>11</v>
      </c>
      <c r="D218" s="651" t="s">
        <v>57</v>
      </c>
      <c r="E218" s="651">
        <v>2022</v>
      </c>
      <c r="F218" s="301" t="s">
        <v>19</v>
      </c>
      <c r="G218" s="607">
        <f t="shared" si="206"/>
        <v>45.601871424142502</v>
      </c>
      <c r="H218" s="122">
        <f t="shared" si="207"/>
        <v>37.372114652912828</v>
      </c>
      <c r="I218" s="302">
        <f>(2068/1.1827)*(1/1000)*(1/(2*10^-3))*(1/30)</f>
        <v>29.142357881683154</v>
      </c>
      <c r="J218" s="302">
        <f>((900)/1.1827)*(1/1000)*(1/(2*10^-3))*(1/30)</f>
        <v>12.682844339223811</v>
      </c>
      <c r="K218" s="122">
        <f t="shared" si="208"/>
        <v>12.682844339223811</v>
      </c>
      <c r="L218" s="302">
        <f>((900)/1.1827)*(1/1000)*(1/(2*10^-3))*(1/30)</f>
        <v>12.682844339223811</v>
      </c>
      <c r="M218" s="122">
        <f t="shared" si="204"/>
        <v>12.682844339223811</v>
      </c>
      <c r="N218" s="106">
        <f t="shared" si="209"/>
        <v>0.53168649550514879</v>
      </c>
      <c r="O218" s="107">
        <f t="shared" si="210"/>
        <v>0.43573318482065965</v>
      </c>
      <c r="P218" s="107">
        <f t="shared" si="210"/>
        <v>0.3397798741361705</v>
      </c>
      <c r="Q218" s="107">
        <f t="shared" si="210"/>
        <v>0.14787325276719218</v>
      </c>
      <c r="R218" s="107">
        <f t="shared" si="210"/>
        <v>0.14787325276719218</v>
      </c>
      <c r="S218" s="107">
        <f t="shared" si="210"/>
        <v>0.14787325276719218</v>
      </c>
      <c r="T218" s="107">
        <f t="shared" si="210"/>
        <v>0.14787325276719218</v>
      </c>
      <c r="U218" s="299"/>
      <c r="V218" s="300"/>
      <c r="W218" s="300"/>
      <c r="X218" s="300"/>
      <c r="Y218" s="302"/>
      <c r="Z218" s="300"/>
      <c r="AA218" s="302"/>
      <c r="AB218" s="299"/>
      <c r="AC218" s="300"/>
      <c r="AD218" s="300"/>
      <c r="AE218" s="300"/>
      <c r="AF218" s="308"/>
      <c r="AG218" s="308"/>
      <c r="AH218" s="308"/>
      <c r="AI218" s="736">
        <f t="shared" si="211"/>
        <v>37</v>
      </c>
      <c r="AJ218" s="306">
        <f t="shared" si="212"/>
        <v>38.5</v>
      </c>
      <c r="AK218" s="300">
        <v>40</v>
      </c>
      <c r="AL218" s="300">
        <v>43</v>
      </c>
      <c r="AM218" s="712">
        <f t="shared" si="213"/>
        <v>44.5</v>
      </c>
      <c r="AN218" s="308">
        <v>46</v>
      </c>
      <c r="AO218" s="386">
        <f t="shared" si="214"/>
        <v>49</v>
      </c>
      <c r="AP218" s="299"/>
      <c r="AQ218" s="18"/>
      <c r="AR218" s="116" t="s">
        <v>437</v>
      </c>
    </row>
    <row r="219" spans="1:44" ht="14.25" customHeight="1" x14ac:dyDescent="0.3">
      <c r="A219" s="953"/>
      <c r="B219" s="310" t="s">
        <v>267</v>
      </c>
      <c r="C219" s="317"/>
      <c r="D219" s="318"/>
      <c r="E219" s="318"/>
      <c r="F219" s="321"/>
      <c r="G219" s="312">
        <f>MIN(G216:G218)</f>
        <v>7.0445729644444439</v>
      </c>
      <c r="H219" s="313">
        <f t="shared" ref="H219:T219" si="215">MIN(H216:H218)</f>
        <v>7.0445729644444439</v>
      </c>
      <c r="I219" s="313">
        <f t="shared" si="215"/>
        <v>7.0445729644444439</v>
      </c>
      <c r="J219" s="313">
        <f t="shared" si="215"/>
        <v>7.0445729644444439</v>
      </c>
      <c r="K219" s="313">
        <f t="shared" si="215"/>
        <v>7.0445729644444439</v>
      </c>
      <c r="L219" s="313">
        <f t="shared" si="215"/>
        <v>7.0445729644444439</v>
      </c>
      <c r="M219" s="313">
        <f t="shared" si="215"/>
        <v>7.0445729644444439</v>
      </c>
      <c r="N219" s="312">
        <f t="shared" si="215"/>
        <v>0.20533720408965728</v>
      </c>
      <c r="O219" s="313">
        <f t="shared" si="215"/>
        <v>0.20533720408965728</v>
      </c>
      <c r="P219" s="313">
        <f t="shared" si="215"/>
        <v>0.20533720408965728</v>
      </c>
      <c r="Q219" s="313">
        <f t="shared" si="215"/>
        <v>9.858216851146144E-2</v>
      </c>
      <c r="R219" s="313">
        <f t="shared" si="215"/>
        <v>9.858216851146144E-2</v>
      </c>
      <c r="S219" s="313">
        <f t="shared" si="215"/>
        <v>9.858216851146144E-2</v>
      </c>
      <c r="T219" s="313">
        <f t="shared" si="215"/>
        <v>9.858216851146144E-2</v>
      </c>
      <c r="U219" s="317"/>
      <c r="V219" s="318"/>
      <c r="W219" s="318"/>
      <c r="X219" s="318"/>
      <c r="Y219" s="313"/>
      <c r="Z219" s="318"/>
      <c r="AA219" s="313"/>
      <c r="AB219" s="317">
        <f t="shared" ref="AB219:AO219" si="216">MIN(AB216:AB218)</f>
        <v>15</v>
      </c>
      <c r="AC219" s="318">
        <f t="shared" si="216"/>
        <v>15</v>
      </c>
      <c r="AD219" s="318">
        <f t="shared" si="216"/>
        <v>15</v>
      </c>
      <c r="AE219" s="318">
        <f t="shared" si="216"/>
        <v>15</v>
      </c>
      <c r="AF219" s="319">
        <f t="shared" si="216"/>
        <v>15</v>
      </c>
      <c r="AG219" s="319">
        <f t="shared" si="216"/>
        <v>15</v>
      </c>
      <c r="AH219" s="319">
        <f t="shared" si="216"/>
        <v>15</v>
      </c>
      <c r="AI219" s="317">
        <f t="shared" si="216"/>
        <v>37</v>
      </c>
      <c r="AJ219" s="318">
        <f t="shared" si="216"/>
        <v>38.5</v>
      </c>
      <c r="AK219" s="318">
        <f t="shared" si="216"/>
        <v>40</v>
      </c>
      <c r="AL219" s="318">
        <f t="shared" si="216"/>
        <v>43</v>
      </c>
      <c r="AM219" s="740">
        <f t="shared" si="216"/>
        <v>44.5</v>
      </c>
      <c r="AN219" s="319">
        <f t="shared" si="216"/>
        <v>46</v>
      </c>
      <c r="AO219" s="319">
        <f t="shared" si="216"/>
        <v>49</v>
      </c>
      <c r="AP219" s="317"/>
      <c r="AQ219" s="321"/>
      <c r="AR219" s="104"/>
    </row>
    <row r="220" spans="1:44" ht="14.25" customHeight="1" x14ac:dyDescent="0.3">
      <c r="A220" s="953"/>
      <c r="B220" s="322" t="s">
        <v>268</v>
      </c>
      <c r="C220" s="328"/>
      <c r="D220" s="311"/>
      <c r="E220" s="311"/>
      <c r="F220" s="331"/>
      <c r="G220" s="323">
        <f>MEDIAN(G216:G218)</f>
        <v>30.410642315605525</v>
      </c>
      <c r="H220" s="324">
        <f t="shared" ref="H220:T220" si="217">MEDIAN(H216:H218)</f>
        <v>24.92178912657478</v>
      </c>
      <c r="I220" s="324">
        <f t="shared" si="217"/>
        <v>19.432935937544034</v>
      </c>
      <c r="J220" s="324">
        <f t="shared" si="217"/>
        <v>8.4552295594825395</v>
      </c>
      <c r="K220" s="324">
        <f t="shared" si="217"/>
        <v>8.4552295594825395</v>
      </c>
      <c r="L220" s="324">
        <f t="shared" si="217"/>
        <v>8.4552295594825395</v>
      </c>
      <c r="M220" s="324">
        <f t="shared" si="217"/>
        <v>8.4552295594825395</v>
      </c>
      <c r="N220" s="323">
        <f t="shared" si="217"/>
        <v>0.35456719941288956</v>
      </c>
      <c r="O220" s="324">
        <f t="shared" si="217"/>
        <v>0.29057094168753256</v>
      </c>
      <c r="P220" s="324">
        <f t="shared" si="217"/>
        <v>0.22657468396217553</v>
      </c>
      <c r="Q220" s="324">
        <f t="shared" si="217"/>
        <v>0.14787325276719218</v>
      </c>
      <c r="R220" s="324">
        <f t="shared" si="217"/>
        <v>0.14787325276719218</v>
      </c>
      <c r="S220" s="324">
        <f t="shared" si="217"/>
        <v>0.14787325276719218</v>
      </c>
      <c r="T220" s="324">
        <f t="shared" si="217"/>
        <v>0.14787325276719218</v>
      </c>
      <c r="U220" s="328"/>
      <c r="V220" s="311"/>
      <c r="W220" s="311"/>
      <c r="X220" s="311"/>
      <c r="Y220" s="324"/>
      <c r="Z220" s="311"/>
      <c r="AA220" s="324"/>
      <c r="AB220" s="328">
        <f t="shared" ref="AB220:AO220" si="218">MEDIAN(AB216:AB218)</f>
        <v>15</v>
      </c>
      <c r="AC220" s="311">
        <f t="shared" si="218"/>
        <v>15</v>
      </c>
      <c r="AD220" s="311">
        <f t="shared" si="218"/>
        <v>15</v>
      </c>
      <c r="AE220" s="311">
        <f t="shared" si="218"/>
        <v>15</v>
      </c>
      <c r="AF220" s="329">
        <f t="shared" si="218"/>
        <v>15</v>
      </c>
      <c r="AG220" s="329">
        <f t="shared" si="218"/>
        <v>15</v>
      </c>
      <c r="AH220" s="329">
        <f t="shared" si="218"/>
        <v>15</v>
      </c>
      <c r="AI220" s="328">
        <f t="shared" si="218"/>
        <v>37</v>
      </c>
      <c r="AJ220" s="311">
        <f t="shared" si="218"/>
        <v>38.5</v>
      </c>
      <c r="AK220" s="311">
        <f t="shared" si="218"/>
        <v>40</v>
      </c>
      <c r="AL220" s="311">
        <f t="shared" si="218"/>
        <v>43</v>
      </c>
      <c r="AM220" s="741">
        <f t="shared" si="218"/>
        <v>44.5</v>
      </c>
      <c r="AN220" s="329">
        <f t="shared" si="218"/>
        <v>46</v>
      </c>
      <c r="AO220" s="329">
        <f t="shared" si="218"/>
        <v>49</v>
      </c>
      <c r="AP220" s="328"/>
      <c r="AQ220" s="331"/>
      <c r="AR220" s="104"/>
    </row>
    <row r="221" spans="1:44" ht="14.25" customHeight="1" x14ac:dyDescent="0.3">
      <c r="A221" s="953"/>
      <c r="B221" s="332" t="s">
        <v>269</v>
      </c>
      <c r="C221" s="339"/>
      <c r="D221" s="333"/>
      <c r="E221" s="333"/>
      <c r="F221" s="342"/>
      <c r="G221" s="334">
        <f>MAX(G216:G218)</f>
        <v>45.601871424142502</v>
      </c>
      <c r="H221" s="335">
        <f t="shared" ref="H221:T221" si="219">MAX(H216:H218)</f>
        <v>37.372114652912828</v>
      </c>
      <c r="I221" s="335">
        <f t="shared" si="219"/>
        <v>29.142357881683154</v>
      </c>
      <c r="J221" s="335">
        <f>MAX(J216:J218)</f>
        <v>12.682844339223811</v>
      </c>
      <c r="K221" s="335">
        <f t="shared" si="219"/>
        <v>12.682844339223811</v>
      </c>
      <c r="L221" s="335">
        <f t="shared" si="219"/>
        <v>12.682844339223811</v>
      </c>
      <c r="M221" s="335">
        <f t="shared" si="219"/>
        <v>12.682844339223811</v>
      </c>
      <c r="N221" s="334">
        <f t="shared" si="219"/>
        <v>0.53168649550514879</v>
      </c>
      <c r="O221" s="335">
        <f t="shared" si="219"/>
        <v>0.43573318482065965</v>
      </c>
      <c r="P221" s="335">
        <f t="shared" si="219"/>
        <v>0.3397798741361705</v>
      </c>
      <c r="Q221" s="335">
        <f t="shared" si="219"/>
        <v>0.20533720408965728</v>
      </c>
      <c r="R221" s="335">
        <f t="shared" si="219"/>
        <v>0.20533720408965728</v>
      </c>
      <c r="S221" s="335">
        <f t="shared" si="219"/>
        <v>0.20533720408965728</v>
      </c>
      <c r="T221" s="335">
        <f t="shared" si="219"/>
        <v>0.20533720408965728</v>
      </c>
      <c r="U221" s="339"/>
      <c r="V221" s="333"/>
      <c r="W221" s="333"/>
      <c r="X221" s="333"/>
      <c r="Y221" s="335"/>
      <c r="Z221" s="333"/>
      <c r="AA221" s="335"/>
      <c r="AB221" s="339">
        <f t="shared" ref="AB221:AO221" si="220">MAX(AB216:AB218)</f>
        <v>15</v>
      </c>
      <c r="AC221" s="333">
        <f t="shared" si="220"/>
        <v>15</v>
      </c>
      <c r="AD221" s="333">
        <f t="shared" si="220"/>
        <v>15</v>
      </c>
      <c r="AE221" s="333">
        <f t="shared" si="220"/>
        <v>15</v>
      </c>
      <c r="AF221" s="340">
        <f t="shared" si="220"/>
        <v>15</v>
      </c>
      <c r="AG221" s="340">
        <f t="shared" si="220"/>
        <v>15</v>
      </c>
      <c r="AH221" s="340">
        <f t="shared" si="220"/>
        <v>15</v>
      </c>
      <c r="AI221" s="339">
        <f t="shared" si="220"/>
        <v>37</v>
      </c>
      <c r="AJ221" s="333">
        <f t="shared" si="220"/>
        <v>38.5</v>
      </c>
      <c r="AK221" s="333">
        <f t="shared" si="220"/>
        <v>40</v>
      </c>
      <c r="AL221" s="333">
        <f t="shared" si="220"/>
        <v>43</v>
      </c>
      <c r="AM221" s="742">
        <f t="shared" si="220"/>
        <v>44.5</v>
      </c>
      <c r="AN221" s="340">
        <f t="shared" si="220"/>
        <v>46</v>
      </c>
      <c r="AO221" s="340">
        <f t="shared" si="220"/>
        <v>49</v>
      </c>
      <c r="AP221" s="339"/>
      <c r="AQ221" s="342"/>
      <c r="AR221" s="104"/>
    </row>
    <row r="222" spans="1:44" ht="14.25" customHeight="1" x14ac:dyDescent="0.3">
      <c r="A222" s="953"/>
      <c r="B222" s="919" t="s">
        <v>438</v>
      </c>
      <c r="C222" s="247">
        <v>4</v>
      </c>
      <c r="D222" s="243" t="s">
        <v>31</v>
      </c>
      <c r="E222" s="243">
        <v>2022</v>
      </c>
      <c r="F222" s="710" t="s">
        <v>19</v>
      </c>
      <c r="G222" s="244">
        <f>74461941.34/53000*(10^-3/(5.2*10^-3))/30</f>
        <v>9.0060403168843717</v>
      </c>
      <c r="H222" s="245">
        <f t="shared" ref="H222:L222" si="221">74461941.34/53000*(10^-3/(5.2*10^-3))/30</f>
        <v>9.0060403168843717</v>
      </c>
      <c r="I222" s="245">
        <f t="shared" si="221"/>
        <v>9.0060403168843717</v>
      </c>
      <c r="J222" s="245">
        <f t="shared" si="221"/>
        <v>9.0060403168843717</v>
      </c>
      <c r="K222" s="245">
        <v>9.01</v>
      </c>
      <c r="L222" s="245">
        <f t="shared" si="221"/>
        <v>9.0060403168843717</v>
      </c>
      <c r="M222" s="93">
        <f t="shared" ref="M222:M224" si="222">K222+((L222-K222)/(2050-2045))*(2060-2045)</f>
        <v>8.9981209506531155</v>
      </c>
      <c r="N222" s="244">
        <f>G222*0.04*$AW$5</f>
        <v>0.21000848714850179</v>
      </c>
      <c r="O222" s="245">
        <f t="shared" ref="O222:Q222" si="223">H222*0.04*$AW$5</f>
        <v>0.21000848714850179</v>
      </c>
      <c r="P222" s="245">
        <f t="shared" si="223"/>
        <v>0.21000848714850179</v>
      </c>
      <c r="Q222" s="245">
        <f t="shared" si="223"/>
        <v>0.21000848714850179</v>
      </c>
      <c r="R222" s="93">
        <f>Q222+((S222-Q222)/(2050-2040))*(2045-2040)</f>
        <v>0.21000848714850179</v>
      </c>
      <c r="S222" s="245">
        <f>L222*0.04*$AW$5</f>
        <v>0.21000848714850179</v>
      </c>
      <c r="T222" s="93">
        <f>R222+((S222-R222)/(2050-2045))*(2060-2045)</f>
        <v>0.21000848714850179</v>
      </c>
      <c r="U222" s="247"/>
      <c r="V222" s="243"/>
      <c r="W222" s="243"/>
      <c r="X222" s="243"/>
      <c r="Y222" s="245"/>
      <c r="Z222" s="243"/>
      <c r="AA222" s="245"/>
      <c r="AB222" s="247">
        <v>20</v>
      </c>
      <c r="AC222" s="243">
        <v>20</v>
      </c>
      <c r="AD222" s="243">
        <v>20</v>
      </c>
      <c r="AE222" s="243">
        <v>20</v>
      </c>
      <c r="AF222" s="101">
        <f>AE222+((AG222-AE222)/(2050-2040))*(2045-2040)</f>
        <v>20</v>
      </c>
      <c r="AG222" s="669">
        <v>20</v>
      </c>
      <c r="AH222" s="101">
        <f>AF222+((AG222-AF222)/(2050-2045))*(2060-2045)</f>
        <v>20</v>
      </c>
      <c r="AI222" s="247"/>
      <c r="AJ222" s="243"/>
      <c r="AK222" s="243"/>
      <c r="AL222" s="243"/>
      <c r="AM222" s="669"/>
      <c r="AN222" s="669"/>
      <c r="AO222" s="669"/>
      <c r="AP222" s="247"/>
      <c r="AQ222" s="33"/>
      <c r="AR222" s="104"/>
    </row>
    <row r="223" spans="1:44" ht="14.25" customHeight="1" x14ac:dyDescent="0.3">
      <c r="A223" s="953"/>
      <c r="B223" s="970"/>
      <c r="C223" s="743">
        <v>11</v>
      </c>
      <c r="D223" s="744" t="s">
        <v>57</v>
      </c>
      <c r="E223" s="744">
        <v>2022</v>
      </c>
      <c r="F223" s="710" t="s">
        <v>19</v>
      </c>
      <c r="G223" s="106">
        <f t="shared" ref="G223:G224" si="224">H223+((I223-H223)/(2030-2025))*(2020-2025)</f>
        <v>24.639406139363853</v>
      </c>
      <c r="H223" s="107">
        <f t="shared" ref="H223:H224" si="225">I223+((J223-I223)/(2040-2030))*(2025-2030)</f>
        <v>19.699058867909795</v>
      </c>
      <c r="I223" s="245">
        <f>2723/1.1827*(10^-3/(5.2*10^-3))/30</f>
        <v>14.758711596455736</v>
      </c>
      <c r="J223" s="245">
        <f>(900)/1.1827*(10^-3/(5.2*10^-3))/30</f>
        <v>4.8780170535476186</v>
      </c>
      <c r="K223" s="107">
        <f t="shared" ref="K223:K224" si="226">J223+((L223-J223)/(2050-2040))*(2045-2040)</f>
        <v>4.8780170535476186</v>
      </c>
      <c r="L223" s="245">
        <f>(900)/1.1827*(10^-3/(5.2*10^-3))/30</f>
        <v>4.8780170535476186</v>
      </c>
      <c r="M223" s="107">
        <f t="shared" si="222"/>
        <v>4.8780170535476186</v>
      </c>
      <c r="N223" s="106">
        <f t="shared" ref="N223:N224" si="227">G223*0.02*$AW$5</f>
        <v>0.28727855003404074</v>
      </c>
      <c r="O223" s="107">
        <f t="shared" ref="O223:T224" si="228">H223*0.02*$AW$5</f>
        <v>0.22967749452237596</v>
      </c>
      <c r="P223" s="107">
        <f t="shared" si="228"/>
        <v>0.17207643901071118</v>
      </c>
      <c r="Q223" s="107">
        <f t="shared" si="228"/>
        <v>5.6874327987381602E-2</v>
      </c>
      <c r="R223" s="107">
        <f t="shared" si="228"/>
        <v>5.6874327987381602E-2</v>
      </c>
      <c r="S223" s="107">
        <f t="shared" si="228"/>
        <v>5.6874327987381602E-2</v>
      </c>
      <c r="T223" s="107">
        <f t="shared" si="228"/>
        <v>5.6874327987381602E-2</v>
      </c>
      <c r="U223" s="247"/>
      <c r="V223" s="243"/>
      <c r="W223" s="243"/>
      <c r="X223" s="243"/>
      <c r="Y223" s="245"/>
      <c r="Z223" s="243"/>
      <c r="AA223" s="245"/>
      <c r="AB223" s="247"/>
      <c r="AC223" s="243"/>
      <c r="AD223" s="243"/>
      <c r="AE223" s="243"/>
      <c r="AF223" s="669"/>
      <c r="AG223" s="669"/>
      <c r="AH223" s="669"/>
      <c r="AI223" s="733">
        <f t="shared" ref="AI223:AI224" si="229">AJ223+((AK223-AJ223)/(2030-2025))*(2020-2025)</f>
        <v>44</v>
      </c>
      <c r="AJ223" s="297">
        <f t="shared" ref="AJ223:AJ224" si="230">AK223+((AL223-AK223)/(2040-2030))*(2025-2030)</f>
        <v>45.5</v>
      </c>
      <c r="AK223" s="243">
        <v>47</v>
      </c>
      <c r="AL223" s="243">
        <v>50</v>
      </c>
      <c r="AM223" s="378">
        <f t="shared" ref="AM223:AM224" si="231">AL223+((AN223-AL223)/(2050-2040))*(2045-2040)</f>
        <v>51</v>
      </c>
      <c r="AN223" s="669">
        <v>52</v>
      </c>
      <c r="AO223" s="378">
        <f t="shared" ref="AO223:AO224" si="232">AM223+((AN223-AM223)/(2050-2045))*(2060-2045)</f>
        <v>54</v>
      </c>
      <c r="AP223" s="247"/>
      <c r="AQ223" s="33"/>
      <c r="AR223" s="116" t="s">
        <v>436</v>
      </c>
    </row>
    <row r="224" spans="1:44" ht="14.25" customHeight="1" x14ac:dyDescent="0.3">
      <c r="A224" s="953"/>
      <c r="B224" s="971"/>
      <c r="C224" s="743">
        <v>11</v>
      </c>
      <c r="D224" s="744" t="s">
        <v>57</v>
      </c>
      <c r="E224" s="744">
        <v>2022</v>
      </c>
      <c r="F224" s="710" t="s">
        <v>19</v>
      </c>
      <c r="G224" s="106">
        <f t="shared" si="224"/>
        <v>47.902127465837609</v>
      </c>
      <c r="H224" s="107">
        <f t="shared" si="225"/>
        <v>38.297853889297187</v>
      </c>
      <c r="I224" s="245">
        <f>5294/1.1827*(10^-3/(5.2*10^-3))/30</f>
        <v>28.693580312756765</v>
      </c>
      <c r="J224" s="245">
        <f>(1750)/1.1827*(10^-3/(5.2*10^-3))/30</f>
        <v>9.4850331596759254</v>
      </c>
      <c r="K224" s="122">
        <f t="shared" si="226"/>
        <v>9.4850331596759254</v>
      </c>
      <c r="L224" s="245">
        <f>(1750)/1.1827*(10^-3/(5.2*10^-3))/30</f>
        <v>9.4850331596759254</v>
      </c>
      <c r="M224" s="122">
        <f t="shared" si="222"/>
        <v>9.4850331596759254</v>
      </c>
      <c r="N224" s="106">
        <f t="shared" si="227"/>
        <v>0.5585059008360872</v>
      </c>
      <c r="O224" s="107">
        <f t="shared" si="228"/>
        <v>0.44652666839870925</v>
      </c>
      <c r="P224" s="107">
        <f t="shared" si="228"/>
        <v>0.3345474359613313</v>
      </c>
      <c r="Q224" s="107">
        <f t="shared" si="228"/>
        <v>0.11058897108657534</v>
      </c>
      <c r="R224" s="107">
        <f t="shared" si="228"/>
        <v>0.11058897108657534</v>
      </c>
      <c r="S224" s="107">
        <f t="shared" si="228"/>
        <v>0.11058897108657534</v>
      </c>
      <c r="T224" s="107">
        <f t="shared" si="228"/>
        <v>0.11058897108657534</v>
      </c>
      <c r="U224" s="247"/>
      <c r="V224" s="243"/>
      <c r="W224" s="243"/>
      <c r="X224" s="243"/>
      <c r="Y224" s="245"/>
      <c r="Z224" s="243"/>
      <c r="AA224" s="245"/>
      <c r="AB224" s="247"/>
      <c r="AC224" s="243"/>
      <c r="AD224" s="243"/>
      <c r="AE224" s="243"/>
      <c r="AF224" s="669"/>
      <c r="AG224" s="669"/>
      <c r="AH224" s="669"/>
      <c r="AI224" s="733">
        <f t="shared" si="229"/>
        <v>44</v>
      </c>
      <c r="AJ224" s="297">
        <f t="shared" si="230"/>
        <v>45.5</v>
      </c>
      <c r="AK224" s="243">
        <v>47</v>
      </c>
      <c r="AL224" s="243">
        <v>50</v>
      </c>
      <c r="AM224" s="386">
        <f t="shared" si="231"/>
        <v>51</v>
      </c>
      <c r="AN224" s="669">
        <v>52</v>
      </c>
      <c r="AO224" s="386">
        <f t="shared" si="232"/>
        <v>54</v>
      </c>
      <c r="AP224" s="247"/>
      <c r="AQ224" s="33"/>
      <c r="AR224" s="116" t="s">
        <v>437</v>
      </c>
    </row>
    <row r="225" spans="1:44" ht="14.25" customHeight="1" x14ac:dyDescent="0.3">
      <c r="A225" s="953"/>
      <c r="B225" s="251" t="s">
        <v>267</v>
      </c>
      <c r="C225" s="256"/>
      <c r="D225" s="252"/>
      <c r="E225" s="252"/>
      <c r="F225" s="259"/>
      <c r="G225" s="253">
        <f>MIN(G222:G224)</f>
        <v>9.0060403168843717</v>
      </c>
      <c r="H225" s="254">
        <f t="shared" ref="H225:T225" si="233">MIN(H222:H224)</f>
        <v>9.0060403168843717</v>
      </c>
      <c r="I225" s="254">
        <f t="shared" si="233"/>
        <v>9.0060403168843717</v>
      </c>
      <c r="J225" s="254">
        <f t="shared" si="233"/>
        <v>4.8780170535476186</v>
      </c>
      <c r="K225" s="254">
        <f t="shared" si="233"/>
        <v>4.8780170535476186</v>
      </c>
      <c r="L225" s="254">
        <f t="shared" si="233"/>
        <v>4.8780170535476186</v>
      </c>
      <c r="M225" s="254">
        <f t="shared" si="233"/>
        <v>4.8780170535476186</v>
      </c>
      <c r="N225" s="253">
        <f t="shared" si="233"/>
        <v>0.21000848714850179</v>
      </c>
      <c r="O225" s="254">
        <f t="shared" si="233"/>
        <v>0.21000848714850179</v>
      </c>
      <c r="P225" s="254">
        <f t="shared" si="233"/>
        <v>0.17207643901071118</v>
      </c>
      <c r="Q225" s="254">
        <f t="shared" si="233"/>
        <v>5.6874327987381602E-2</v>
      </c>
      <c r="R225" s="254">
        <f t="shared" si="233"/>
        <v>5.6874327987381602E-2</v>
      </c>
      <c r="S225" s="254">
        <f t="shared" si="233"/>
        <v>5.6874327987381602E-2</v>
      </c>
      <c r="T225" s="254">
        <f t="shared" si="233"/>
        <v>5.6874327987381602E-2</v>
      </c>
      <c r="U225" s="256"/>
      <c r="V225" s="252"/>
      <c r="W225" s="252"/>
      <c r="X225" s="252"/>
      <c r="Y225" s="254"/>
      <c r="Z225" s="252"/>
      <c r="AA225" s="254"/>
      <c r="AB225" s="256">
        <f t="shared" ref="AB225:AO225" si="234">MIN(AB222:AB224)</f>
        <v>20</v>
      </c>
      <c r="AC225" s="252">
        <f t="shared" si="234"/>
        <v>20</v>
      </c>
      <c r="AD225" s="252">
        <f t="shared" si="234"/>
        <v>20</v>
      </c>
      <c r="AE225" s="252">
        <f t="shared" si="234"/>
        <v>20</v>
      </c>
      <c r="AF225" s="257">
        <f t="shared" si="234"/>
        <v>20</v>
      </c>
      <c r="AG225" s="257">
        <f t="shared" si="234"/>
        <v>20</v>
      </c>
      <c r="AH225" s="257">
        <f t="shared" si="234"/>
        <v>20</v>
      </c>
      <c r="AI225" s="256">
        <f t="shared" si="234"/>
        <v>44</v>
      </c>
      <c r="AJ225" s="252">
        <f t="shared" si="234"/>
        <v>45.5</v>
      </c>
      <c r="AK225" s="252">
        <f t="shared" si="234"/>
        <v>47</v>
      </c>
      <c r="AL225" s="252">
        <f t="shared" si="234"/>
        <v>50</v>
      </c>
      <c r="AM225" s="257">
        <f t="shared" si="234"/>
        <v>51</v>
      </c>
      <c r="AN225" s="257">
        <f t="shared" si="234"/>
        <v>52</v>
      </c>
      <c r="AO225" s="257">
        <f t="shared" si="234"/>
        <v>54</v>
      </c>
      <c r="AP225" s="256"/>
      <c r="AQ225" s="259"/>
      <c r="AR225" s="104"/>
    </row>
    <row r="226" spans="1:44" ht="14.25" customHeight="1" x14ac:dyDescent="0.3">
      <c r="A226" s="953"/>
      <c r="B226" s="260" t="s">
        <v>268</v>
      </c>
      <c r="C226" s="265"/>
      <c r="D226" s="261"/>
      <c r="E226" s="261"/>
      <c r="F226" s="268"/>
      <c r="G226" s="262">
        <f>MEDIAN(G222:G224)</f>
        <v>24.639406139363853</v>
      </c>
      <c r="H226" s="263">
        <f t="shared" ref="H226:T226" si="235">MEDIAN(H222:H224)</f>
        <v>19.699058867909795</v>
      </c>
      <c r="I226" s="263">
        <f t="shared" si="235"/>
        <v>14.758711596455736</v>
      </c>
      <c r="J226" s="263">
        <f t="shared" si="235"/>
        <v>9.0060403168843717</v>
      </c>
      <c r="K226" s="263">
        <f t="shared" si="235"/>
        <v>9.01</v>
      </c>
      <c r="L226" s="263">
        <f t="shared" si="235"/>
        <v>9.0060403168843717</v>
      </c>
      <c r="M226" s="263">
        <f t="shared" si="235"/>
        <v>8.9981209506531155</v>
      </c>
      <c r="N226" s="262">
        <f t="shared" si="235"/>
        <v>0.28727855003404074</v>
      </c>
      <c r="O226" s="263">
        <f t="shared" si="235"/>
        <v>0.22967749452237596</v>
      </c>
      <c r="P226" s="263">
        <f t="shared" si="235"/>
        <v>0.21000848714850179</v>
      </c>
      <c r="Q226" s="263">
        <f t="shared" si="235"/>
        <v>0.11058897108657534</v>
      </c>
      <c r="R226" s="263">
        <f t="shared" si="235"/>
        <v>0.11058897108657534</v>
      </c>
      <c r="S226" s="263">
        <f t="shared" si="235"/>
        <v>0.11058897108657534</v>
      </c>
      <c r="T226" s="263">
        <f t="shared" si="235"/>
        <v>0.11058897108657534</v>
      </c>
      <c r="U226" s="265"/>
      <c r="V226" s="261"/>
      <c r="W226" s="261"/>
      <c r="X226" s="261"/>
      <c r="Y226" s="263"/>
      <c r="Z226" s="261"/>
      <c r="AA226" s="263"/>
      <c r="AB226" s="265">
        <f t="shared" ref="AB226:AO226" si="236">MEDIAN(AB222:AB224)</f>
        <v>20</v>
      </c>
      <c r="AC226" s="261">
        <f t="shared" si="236"/>
        <v>20</v>
      </c>
      <c r="AD226" s="261">
        <f t="shared" si="236"/>
        <v>20</v>
      </c>
      <c r="AE226" s="261">
        <f t="shared" si="236"/>
        <v>20</v>
      </c>
      <c r="AF226" s="266">
        <f t="shared" si="236"/>
        <v>20</v>
      </c>
      <c r="AG226" s="266">
        <f t="shared" si="236"/>
        <v>20</v>
      </c>
      <c r="AH226" s="266">
        <f t="shared" si="236"/>
        <v>20</v>
      </c>
      <c r="AI226" s="265">
        <f t="shared" si="236"/>
        <v>44</v>
      </c>
      <c r="AJ226" s="261">
        <f t="shared" si="236"/>
        <v>45.5</v>
      </c>
      <c r="AK226" s="261">
        <f t="shared" si="236"/>
        <v>47</v>
      </c>
      <c r="AL226" s="261">
        <f t="shared" si="236"/>
        <v>50</v>
      </c>
      <c r="AM226" s="261">
        <f t="shared" si="236"/>
        <v>51</v>
      </c>
      <c r="AN226" s="261">
        <f t="shared" si="236"/>
        <v>52</v>
      </c>
      <c r="AO226" s="261">
        <f t="shared" si="236"/>
        <v>54</v>
      </c>
      <c r="AP226" s="265"/>
      <c r="AQ226" s="268"/>
      <c r="AR226" s="104"/>
    </row>
    <row r="227" spans="1:44" ht="14.25" customHeight="1" x14ac:dyDescent="0.3">
      <c r="A227" s="954"/>
      <c r="B227" s="269" t="s">
        <v>269</v>
      </c>
      <c r="C227" s="273"/>
      <c r="D227" s="274"/>
      <c r="E227" s="274"/>
      <c r="F227" s="277"/>
      <c r="G227" s="270">
        <f>MAX(G222:G224)</f>
        <v>47.902127465837609</v>
      </c>
      <c r="H227" s="271">
        <f t="shared" ref="H227:T227" si="237">MAX(H222:H224)</f>
        <v>38.297853889297187</v>
      </c>
      <c r="I227" s="271">
        <f t="shared" si="237"/>
        <v>28.693580312756765</v>
      </c>
      <c r="J227" s="271">
        <f t="shared" si="237"/>
        <v>9.4850331596759254</v>
      </c>
      <c r="K227" s="271">
        <f t="shared" si="237"/>
        <v>9.4850331596759254</v>
      </c>
      <c r="L227" s="271">
        <f t="shared" si="237"/>
        <v>9.4850331596759254</v>
      </c>
      <c r="M227" s="271">
        <f t="shared" si="237"/>
        <v>9.4850331596759254</v>
      </c>
      <c r="N227" s="270">
        <f t="shared" si="237"/>
        <v>0.5585059008360872</v>
      </c>
      <c r="O227" s="271">
        <f t="shared" si="237"/>
        <v>0.44652666839870925</v>
      </c>
      <c r="P227" s="271">
        <f t="shared" si="237"/>
        <v>0.3345474359613313</v>
      </c>
      <c r="Q227" s="271">
        <f t="shared" si="237"/>
        <v>0.21000848714850179</v>
      </c>
      <c r="R227" s="271">
        <f t="shared" si="237"/>
        <v>0.21000848714850179</v>
      </c>
      <c r="S227" s="271">
        <f t="shared" si="237"/>
        <v>0.21000848714850179</v>
      </c>
      <c r="T227" s="271">
        <f t="shared" si="237"/>
        <v>0.21000848714850179</v>
      </c>
      <c r="U227" s="273"/>
      <c r="V227" s="274"/>
      <c r="W227" s="274"/>
      <c r="X227" s="274"/>
      <c r="Y227" s="271"/>
      <c r="Z227" s="274"/>
      <c r="AA227" s="271"/>
      <c r="AB227" s="273">
        <f t="shared" ref="AB227:AO227" si="238">MAX(AB222:AB224)</f>
        <v>20</v>
      </c>
      <c r="AC227" s="274">
        <f t="shared" si="238"/>
        <v>20</v>
      </c>
      <c r="AD227" s="274">
        <f t="shared" si="238"/>
        <v>20</v>
      </c>
      <c r="AE227" s="274">
        <f t="shared" si="238"/>
        <v>20</v>
      </c>
      <c r="AF227" s="275">
        <f t="shared" si="238"/>
        <v>20</v>
      </c>
      <c r="AG227" s="275">
        <f t="shared" si="238"/>
        <v>20</v>
      </c>
      <c r="AH227" s="275">
        <f t="shared" si="238"/>
        <v>20</v>
      </c>
      <c r="AI227" s="273">
        <f t="shared" si="238"/>
        <v>44</v>
      </c>
      <c r="AJ227" s="274">
        <f t="shared" si="238"/>
        <v>45.5</v>
      </c>
      <c r="AK227" s="274">
        <f t="shared" si="238"/>
        <v>47</v>
      </c>
      <c r="AL227" s="274">
        <f t="shared" si="238"/>
        <v>50</v>
      </c>
      <c r="AM227" s="274">
        <f t="shared" si="238"/>
        <v>51</v>
      </c>
      <c r="AN227" s="274">
        <f t="shared" si="238"/>
        <v>52</v>
      </c>
      <c r="AO227" s="274">
        <f t="shared" si="238"/>
        <v>54</v>
      </c>
      <c r="AP227" s="273"/>
      <c r="AQ227" s="277"/>
      <c r="AR227" s="104"/>
    </row>
    <row r="228" spans="1:44" ht="14.25" customHeight="1" x14ac:dyDescent="0.3">
      <c r="A228" s="745"/>
      <c r="G228" s="615" t="s">
        <v>439</v>
      </c>
      <c r="H228" s="615"/>
      <c r="I228" s="615"/>
      <c r="J228" s="615"/>
      <c r="K228" s="615"/>
      <c r="L228" s="615"/>
    </row>
    <row r="229" spans="1:44" ht="14.25" customHeight="1" x14ac:dyDescent="0.3">
      <c r="A229" s="745"/>
    </row>
    <row r="230" spans="1:44" ht="14.25" customHeight="1" x14ac:dyDescent="0.3">
      <c r="A230" s="745"/>
      <c r="B230" s="746" t="s">
        <v>440</v>
      </c>
    </row>
    <row r="231" spans="1:44" ht="14.25" customHeight="1" x14ac:dyDescent="0.3">
      <c r="A231" s="745"/>
      <c r="B231" s="746"/>
    </row>
    <row r="232" spans="1:44" x14ac:dyDescent="0.3">
      <c r="A232" s="745"/>
    </row>
    <row r="233" spans="1:44" x14ac:dyDescent="0.3">
      <c r="A233" s="745"/>
    </row>
    <row r="234" spans="1:44" x14ac:dyDescent="0.3">
      <c r="A234" s="745"/>
      <c r="C234" t="s">
        <v>325</v>
      </c>
      <c r="D234" s="12"/>
      <c r="E234" s="12"/>
      <c r="F234" s="14"/>
      <c r="G234" s="14"/>
      <c r="O234" s="618">
        <v>2</v>
      </c>
      <c r="P234" s="618" t="s">
        <v>23</v>
      </c>
      <c r="Q234" s="618">
        <v>2019</v>
      </c>
      <c r="R234" s="617" t="s">
        <v>19</v>
      </c>
      <c r="Y234" s="14"/>
      <c r="AF234" s="14"/>
      <c r="AM234" s="14"/>
    </row>
    <row r="235" spans="1:44" x14ac:dyDescent="0.3">
      <c r="A235" s="745"/>
      <c r="C235" s="616">
        <v>1</v>
      </c>
      <c r="D235" s="616" t="s">
        <v>18</v>
      </c>
      <c r="E235" s="616">
        <v>2020</v>
      </c>
      <c r="F235" s="617" t="s">
        <v>19</v>
      </c>
      <c r="G235" s="617"/>
      <c r="O235" t="s">
        <v>372</v>
      </c>
    </row>
    <row r="236" spans="1:44" x14ac:dyDescent="0.3">
      <c r="A236" s="745"/>
      <c r="C236" t="s">
        <v>326</v>
      </c>
      <c r="N236" t="s">
        <v>441</v>
      </c>
    </row>
    <row r="237" spans="1:44" x14ac:dyDescent="0.3">
      <c r="A237" s="745"/>
    </row>
    <row r="248" spans="22:22" x14ac:dyDescent="0.3">
      <c r="V248" t="s">
        <v>442</v>
      </c>
    </row>
    <row r="272" spans="3:8" x14ac:dyDescent="0.3">
      <c r="C272" s="616">
        <v>12</v>
      </c>
      <c r="D272" s="616" t="s">
        <v>60</v>
      </c>
      <c r="E272" s="616">
        <v>2022</v>
      </c>
      <c r="F272" s="617" t="s">
        <v>19</v>
      </c>
      <c r="G272" s="82"/>
      <c r="H272" s="83"/>
    </row>
    <row r="273" spans="3:28" x14ac:dyDescent="0.3">
      <c r="C273" t="s">
        <v>404</v>
      </c>
    </row>
    <row r="277" spans="3:28" x14ac:dyDescent="0.3">
      <c r="AA277" t="s">
        <v>443</v>
      </c>
      <c r="AB277" t="s">
        <v>444</v>
      </c>
    </row>
    <row r="282" spans="3:28" x14ac:dyDescent="0.3">
      <c r="L282" s="747" t="s">
        <v>445</v>
      </c>
      <c r="M282" s="747"/>
      <c r="N282" s="747"/>
    </row>
    <row r="286" spans="3:28" x14ac:dyDescent="0.3">
      <c r="N286" t="s">
        <v>446</v>
      </c>
    </row>
    <row r="287" spans="3:28" x14ac:dyDescent="0.3">
      <c r="O287" s="997" t="s">
        <v>447</v>
      </c>
      <c r="P287" s="997"/>
      <c r="Q287" s="997"/>
      <c r="S287" t="s">
        <v>399</v>
      </c>
      <c r="T287" t="s">
        <v>400</v>
      </c>
      <c r="U287" t="s">
        <v>401</v>
      </c>
      <c r="W287" t="s">
        <v>448</v>
      </c>
    </row>
    <row r="288" spans="3:28" ht="15" customHeight="1" x14ac:dyDescent="0.3">
      <c r="M288" s="998" t="s">
        <v>449</v>
      </c>
      <c r="N288" s="999" t="s">
        <v>450</v>
      </c>
      <c r="O288" t="s">
        <v>451</v>
      </c>
      <c r="P288">
        <v>0.34</v>
      </c>
      <c r="Q288" t="s">
        <v>452</v>
      </c>
      <c r="S288">
        <v>1.4</v>
      </c>
      <c r="T288">
        <v>1.5</v>
      </c>
      <c r="U288">
        <v>1.8</v>
      </c>
      <c r="W288" t="s">
        <v>453</v>
      </c>
      <c r="X288">
        <v>33.33</v>
      </c>
      <c r="Y288" t="s">
        <v>454</v>
      </c>
    </row>
    <row r="289" spans="3:25" x14ac:dyDescent="0.3">
      <c r="M289" s="998"/>
      <c r="N289" s="999"/>
      <c r="O289" t="s">
        <v>400</v>
      </c>
      <c r="P289">
        <v>0.82499999999999996</v>
      </c>
      <c r="Q289" t="s">
        <v>452</v>
      </c>
      <c r="S289">
        <v>2</v>
      </c>
      <c r="T289">
        <v>2.2000000000000002</v>
      </c>
      <c r="U289">
        <v>2.7</v>
      </c>
      <c r="W289" t="s">
        <v>455</v>
      </c>
      <c r="X289">
        <v>7.9</v>
      </c>
      <c r="Y289" t="s">
        <v>456</v>
      </c>
    </row>
    <row r="290" spans="3:25" x14ac:dyDescent="0.3">
      <c r="M290" s="998"/>
      <c r="N290" s="999"/>
      <c r="O290" t="s">
        <v>457</v>
      </c>
      <c r="P290">
        <v>1.2</v>
      </c>
      <c r="Q290" t="s">
        <v>452</v>
      </c>
      <c r="S290">
        <v>2.5</v>
      </c>
      <c r="T290">
        <v>2.8</v>
      </c>
      <c r="U290">
        <v>3.4</v>
      </c>
      <c r="W290" t="s">
        <v>458</v>
      </c>
      <c r="X290">
        <v>15</v>
      </c>
      <c r="Y290" t="s">
        <v>459</v>
      </c>
    </row>
    <row r="291" spans="3:25" x14ac:dyDescent="0.3">
      <c r="M291" s="998" t="s">
        <v>460</v>
      </c>
      <c r="N291" s="999"/>
      <c r="O291" t="s">
        <v>400</v>
      </c>
      <c r="P291">
        <v>0.82499999999999996</v>
      </c>
      <c r="Q291" t="s">
        <v>452</v>
      </c>
      <c r="S291">
        <v>3.4</v>
      </c>
      <c r="T291">
        <v>3.7</v>
      </c>
      <c r="U291">
        <v>4.5999999999999996</v>
      </c>
    </row>
    <row r="292" spans="3:25" x14ac:dyDescent="0.3">
      <c r="M292" s="998"/>
      <c r="N292" s="999"/>
      <c r="O292" t="s">
        <v>457</v>
      </c>
      <c r="P292">
        <v>1.2</v>
      </c>
      <c r="Q292" t="s">
        <v>452</v>
      </c>
      <c r="S292">
        <v>4.3</v>
      </c>
      <c r="T292">
        <v>4.8</v>
      </c>
      <c r="U292">
        <v>5.8</v>
      </c>
    </row>
    <row r="293" spans="3:25" x14ac:dyDescent="0.3">
      <c r="N293" s="748"/>
      <c r="R293" s="747" t="s">
        <v>381</v>
      </c>
      <c r="S293" s="747" t="s">
        <v>461</v>
      </c>
      <c r="T293" s="747"/>
      <c r="U293" s="747"/>
    </row>
    <row r="294" spans="3:25" x14ac:dyDescent="0.3">
      <c r="S294" s="749">
        <f>S288*10^6*(1/($X$290*$X$289*((PI()*($P$288)^2)/4)))*(1/3600)*(1/33.33)*10^3</f>
        <v>1084.4865132158436</v>
      </c>
      <c r="T294" s="749">
        <f>T288*10^6*(1/($X$290*$X$289*((PI()*($P$288)^2)/4)))*(1/3600)*(1/33.33)*10^3</f>
        <v>1161.9498355884039</v>
      </c>
      <c r="U294" s="749">
        <f>U288*10^6*(1/($X$290*$X$289*((PI()*($P$288)^2)/4)))*(1/3600)*(1/33.33)*10^3</f>
        <v>1394.339802706085</v>
      </c>
    </row>
    <row r="295" spans="3:25" x14ac:dyDescent="0.3">
      <c r="S295" s="749">
        <f>S289*10^6*(1/($X$290*$X$289*((PI()*($P$289)^2)/4)))*(1/3600)*(1/33.33)*10^3</f>
        <v>263.133445473439</v>
      </c>
      <c r="T295" s="749">
        <f>T289*10^6*(1/($X$290*$X$289*((PI()*($P$289)^2)/4)))*(1/3600)*(1/33.33)*10^3</f>
        <v>289.44679002078288</v>
      </c>
      <c r="U295" s="749">
        <f>U289*10^6*(1/($X$290*$X$289*((PI()*($P$289)^2)/4)))*(1/3600)*(1/33.33)*10^3</f>
        <v>355.23015138914263</v>
      </c>
    </row>
    <row r="296" spans="3:25" x14ac:dyDescent="0.3">
      <c r="S296" s="749">
        <f>S290*10^6*(1/($X$290*$X$289*((PI()*($P$290)^2)/4)))*(1/3600)*(1/33.33)*10^3</f>
        <v>155.46458448381892</v>
      </c>
      <c r="T296" s="749">
        <f>T290*10^6*(1/($X$290*$X$289*((PI()*($P$290)^2)/4)))*(1/3600)*(1/33.33)*10^3</f>
        <v>174.12033462187716</v>
      </c>
      <c r="U296" s="749">
        <f>U290*10^6*(1/($X$290*$X$289*((PI()*($P$290)^2)/4)))*(1/3600)*(1/33.33)*10^3</f>
        <v>211.43183489799372</v>
      </c>
    </row>
    <row r="297" spans="3:25" x14ac:dyDescent="0.3">
      <c r="S297" s="749">
        <f>S291*10^6*(1/($X$290*$X$289*((PI()*($P$291)^2)/4)))*(1/3600)*(1/33.33)*10^3</f>
        <v>447.32685730484621</v>
      </c>
      <c r="T297" s="749">
        <f>T291*10^6*(1/($X$290*$X$289*((PI()*($P$291)^2)/4)))*(1/3600)*(1/33.33)*10^3</f>
        <v>486.79687412586208</v>
      </c>
      <c r="U297" s="749">
        <f>U291*10^6*(1/($X$290*$X$289*((PI()*($P$291)^2)/4)))*(1/3600)*(1/33.33)*10^3</f>
        <v>605.2069245889096</v>
      </c>
    </row>
    <row r="298" spans="3:25" x14ac:dyDescent="0.3">
      <c r="S298" s="749">
        <f>S292*10^6*(1/($X$290*$X$289*((PI()*($P$292)^2)/4)))*(1/3600)*(1/33.33)*10^3</f>
        <v>267.39908531216849</v>
      </c>
      <c r="T298" s="749">
        <f>T292*10^6*(1/($X$290*$X$289*((PI()*($P$292)^2)/4)))*(1/3600)*(1/33.33)*10^3</f>
        <v>298.49200220893238</v>
      </c>
      <c r="U298" s="749">
        <f>U292*10^6*(1/($X$290*$X$289*((PI()*($P$292)^2)/4)))*(1/3600)*(1/33.33)*10^3</f>
        <v>360.67783600245986</v>
      </c>
    </row>
    <row r="299" spans="3:25" x14ac:dyDescent="0.3">
      <c r="N299" t="s">
        <v>462</v>
      </c>
    </row>
    <row r="300" spans="3:25" x14ac:dyDescent="0.3">
      <c r="O300" s="997" t="s">
        <v>447</v>
      </c>
      <c r="P300" s="997"/>
      <c r="Q300" s="997"/>
      <c r="S300" t="s">
        <v>399</v>
      </c>
      <c r="T300" t="s">
        <v>400</v>
      </c>
      <c r="U300" t="s">
        <v>401</v>
      </c>
      <c r="W300" t="s">
        <v>448</v>
      </c>
    </row>
    <row r="301" spans="3:25" ht="15" customHeight="1" x14ac:dyDescent="0.3">
      <c r="C301" t="s">
        <v>328</v>
      </c>
      <c r="M301" s="998" t="s">
        <v>449</v>
      </c>
      <c r="N301" s="999" t="s">
        <v>463</v>
      </c>
      <c r="O301" t="s">
        <v>451</v>
      </c>
      <c r="P301">
        <v>0.34</v>
      </c>
      <c r="Q301" t="s">
        <v>452</v>
      </c>
      <c r="S301">
        <v>0.2</v>
      </c>
      <c r="T301">
        <v>0.3</v>
      </c>
      <c r="U301">
        <v>0.5</v>
      </c>
      <c r="W301" t="s">
        <v>453</v>
      </c>
      <c r="X301">
        <v>33.33</v>
      </c>
      <c r="Y301" t="s">
        <v>454</v>
      </c>
    </row>
    <row r="302" spans="3:25" x14ac:dyDescent="0.3">
      <c r="C302" s="618">
        <v>4</v>
      </c>
      <c r="D302" s="618" t="s">
        <v>31</v>
      </c>
      <c r="E302" s="618">
        <v>2022</v>
      </c>
      <c r="F302" s="617" t="s">
        <v>19</v>
      </c>
      <c r="G302" s="617"/>
      <c r="M302" s="998"/>
      <c r="N302" s="999"/>
      <c r="O302" t="s">
        <v>400</v>
      </c>
      <c r="P302">
        <v>0.82499999999999996</v>
      </c>
      <c r="Q302" t="s">
        <v>452</v>
      </c>
      <c r="S302">
        <v>0.2</v>
      </c>
      <c r="T302">
        <v>0.4</v>
      </c>
      <c r="U302">
        <v>0.5</v>
      </c>
      <c r="W302" t="s">
        <v>455</v>
      </c>
      <c r="X302">
        <v>7.9</v>
      </c>
      <c r="Y302" t="s">
        <v>456</v>
      </c>
    </row>
    <row r="303" spans="3:25" x14ac:dyDescent="0.3">
      <c r="M303" s="998"/>
      <c r="N303" s="999"/>
      <c r="O303" t="s">
        <v>457</v>
      </c>
      <c r="P303">
        <v>1.2</v>
      </c>
      <c r="Q303" t="s">
        <v>452</v>
      </c>
      <c r="S303">
        <v>0.3</v>
      </c>
      <c r="T303">
        <v>0.5</v>
      </c>
      <c r="U303">
        <v>0.6</v>
      </c>
      <c r="W303" t="s">
        <v>458</v>
      </c>
      <c r="X303">
        <v>15</v>
      </c>
      <c r="Y303" t="s">
        <v>459</v>
      </c>
    </row>
    <row r="304" spans="3:25" x14ac:dyDescent="0.3">
      <c r="M304" s="998" t="s">
        <v>460</v>
      </c>
      <c r="N304" s="999"/>
      <c r="O304" t="s">
        <v>400</v>
      </c>
      <c r="P304">
        <v>0.82499999999999996</v>
      </c>
      <c r="Q304" t="s">
        <v>452</v>
      </c>
      <c r="S304">
        <v>0.3</v>
      </c>
      <c r="T304">
        <v>0.4</v>
      </c>
      <c r="U304">
        <v>0.5</v>
      </c>
    </row>
    <row r="305" spans="3:21" x14ac:dyDescent="0.3">
      <c r="M305" s="998"/>
      <c r="N305" s="999"/>
      <c r="O305" t="s">
        <v>457</v>
      </c>
      <c r="P305">
        <v>1.2</v>
      </c>
      <c r="Q305" t="s">
        <v>452</v>
      </c>
      <c r="S305">
        <v>0.4</v>
      </c>
      <c r="T305">
        <v>0.5</v>
      </c>
      <c r="U305">
        <v>0.6</v>
      </c>
    </row>
    <row r="306" spans="3:21" x14ac:dyDescent="0.3">
      <c r="R306" s="747" t="s">
        <v>381</v>
      </c>
      <c r="S306" s="747" t="s">
        <v>461</v>
      </c>
      <c r="T306" s="747"/>
      <c r="U306" s="747"/>
    </row>
    <row r="307" spans="3:21" x14ac:dyDescent="0.3">
      <c r="S307" s="749">
        <f>S301*10^6*(1/($X$290*$X$289*((PI()*($P$288)^2)/4)))*(1/3600)*(1/33.33)*10^3</f>
        <v>154.92664474512051</v>
      </c>
      <c r="T307" s="749">
        <f>T301*10^6*(1/($X$290*$X$289*((PI()*($P$288)^2)/4)))*(1/3600)*(1/33.33)*10^3</f>
        <v>232.38996711768081</v>
      </c>
      <c r="U307" s="749">
        <f>U301*10^6*(1/($X$290*$X$289*((PI()*($P$288)^2)/4)))*(1/3600)*(1/33.33)*10^3</f>
        <v>387.31661186280132</v>
      </c>
    </row>
    <row r="308" spans="3:21" x14ac:dyDescent="0.3">
      <c r="S308" s="749">
        <f>S302*10^6*(1/($X$290*$X$289*((PI()*($P$289)^2)/4)))*(1/3600)*(1/33.33)*10^3</f>
        <v>26.313344547343899</v>
      </c>
      <c r="T308" s="749">
        <f>T302*10^6*(1/($X$290*$X$289*((PI()*($P$289)^2)/4)))*(1/3600)*(1/33.33)*10^3</f>
        <v>52.626689094687798</v>
      </c>
      <c r="U308" s="749">
        <f>U302*10^6*(1/($X$290*$X$289*((PI()*($P$289)^2)/4)))*(1/3600)*(1/33.33)*10^3</f>
        <v>65.783361368359749</v>
      </c>
    </row>
    <row r="309" spans="3:21" x14ac:dyDescent="0.3">
      <c r="S309" s="749">
        <f>S303*10^6*(1/($X$290*$X$289*((PI()*($P$290)^2)/4)))*(1/3600)*(1/33.33)*10^3</f>
        <v>18.655750138058274</v>
      </c>
      <c r="T309" s="749">
        <f>T303*10^6*(1/($X$290*$X$289*((PI()*($P$290)^2)/4)))*(1/3600)*(1/33.33)*10^3</f>
        <v>31.092916896763782</v>
      </c>
      <c r="U309" s="749">
        <f>U303*10^6*(1/($X$290*$X$289*((PI()*($P$290)^2)/4)))*(1/3600)*(1/33.33)*10^3</f>
        <v>37.311500276116547</v>
      </c>
    </row>
    <row r="310" spans="3:21" x14ac:dyDescent="0.3">
      <c r="C310" t="s">
        <v>464</v>
      </c>
      <c r="S310" s="749">
        <f>S304*10^6*(1/($X$290*$X$289*((PI()*($P$291)^2)/4)))*(1/3600)*(1/33.33)*10^3</f>
        <v>39.470016821015847</v>
      </c>
      <c r="T310" s="749">
        <f t="shared" ref="T310:U310" si="239">T304*10^6*(1/($X$290*$X$289*((PI()*($P$291)^2)/4)))*(1/3600)*(1/33.33)*10^3</f>
        <v>52.626689094687798</v>
      </c>
      <c r="U310" s="749">
        <f t="shared" si="239"/>
        <v>65.783361368359749</v>
      </c>
    </row>
    <row r="311" spans="3:21" x14ac:dyDescent="0.3">
      <c r="S311" s="749">
        <f>S305*10^6*(1/($X$290*$X$289*((PI()*($P$292)^2)/4)))*(1/3600)*(1/33.33)*10^3</f>
        <v>24.874333517411024</v>
      </c>
      <c r="T311" s="749">
        <f t="shared" ref="T311:U311" si="240">T305*10^6*(1/($X$290*$X$289*((PI()*($P$292)^2)/4)))*(1/3600)*(1/33.33)*10^3</f>
        <v>31.092916896763782</v>
      </c>
      <c r="U311" s="749">
        <f t="shared" si="240"/>
        <v>37.311500276116547</v>
      </c>
    </row>
    <row r="315" spans="3:21" x14ac:dyDescent="0.3">
      <c r="C315" s="685">
        <v>3</v>
      </c>
      <c r="D315" s="685" t="s">
        <v>28</v>
      </c>
      <c r="E315" s="685">
        <v>2021</v>
      </c>
      <c r="F315" s="617" t="s">
        <v>19</v>
      </c>
    </row>
    <row r="316" spans="3:21" x14ac:dyDescent="0.3">
      <c r="C316" t="s">
        <v>373</v>
      </c>
    </row>
    <row r="318" spans="3:21" x14ac:dyDescent="0.3">
      <c r="N318" t="s">
        <v>465</v>
      </c>
    </row>
    <row r="319" spans="3:21" x14ac:dyDescent="0.3">
      <c r="N319" s="81" t="s">
        <v>466</v>
      </c>
      <c r="O319" s="81"/>
    </row>
    <row r="347" spans="3:6" x14ac:dyDescent="0.3">
      <c r="C347" s="616">
        <v>11</v>
      </c>
      <c r="D347" s="616" t="s">
        <v>57</v>
      </c>
      <c r="E347" s="616">
        <v>2022</v>
      </c>
      <c r="F347" s="617" t="s">
        <v>19</v>
      </c>
    </row>
    <row r="348" spans="3:6" x14ac:dyDescent="0.3">
      <c r="C348" t="s">
        <v>403</v>
      </c>
    </row>
    <row r="397" spans="1:1" x14ac:dyDescent="0.3">
      <c r="A397" t="s">
        <v>467</v>
      </c>
    </row>
    <row r="398" spans="1:1" x14ac:dyDescent="0.3">
      <c r="A398" t="s">
        <v>468</v>
      </c>
    </row>
    <row r="428" spans="3:3" x14ac:dyDescent="0.3">
      <c r="C428" t="s">
        <v>469</v>
      </c>
    </row>
  </sheetData>
  <mergeCells count="268">
    <mergeCell ref="A1:A56"/>
    <mergeCell ref="B1:B2"/>
    <mergeCell ref="C1:F1"/>
    <mergeCell ref="G1:M1"/>
    <mergeCell ref="N1:T1"/>
    <mergeCell ref="U1:AA1"/>
    <mergeCell ref="AB1:AH1"/>
    <mergeCell ref="AI1:AO1"/>
    <mergeCell ref="AP1:AQ1"/>
    <mergeCell ref="B11:B13"/>
    <mergeCell ref="AP11:AQ11"/>
    <mergeCell ref="AP12:AQ12"/>
    <mergeCell ref="AP13:AQ13"/>
    <mergeCell ref="B14:B16"/>
    <mergeCell ref="AP14:AQ14"/>
    <mergeCell ref="AP15:AQ15"/>
    <mergeCell ref="AP16:AQ16"/>
    <mergeCell ref="B17:B19"/>
    <mergeCell ref="AP17:AQ17"/>
    <mergeCell ref="AP18:AQ18"/>
    <mergeCell ref="AP19:AQ19"/>
    <mergeCell ref="B20:B22"/>
    <mergeCell ref="AP20:AQ20"/>
    <mergeCell ref="AP21:AQ21"/>
    <mergeCell ref="AR1:AR2"/>
    <mergeCell ref="B3:B4"/>
    <mergeCell ref="AP3:AQ3"/>
    <mergeCell ref="AP4:AQ4"/>
    <mergeCell ref="B5:B7"/>
    <mergeCell ref="AP5:AQ5"/>
    <mergeCell ref="AP6:AQ6"/>
    <mergeCell ref="AP7:AQ7"/>
    <mergeCell ref="B8:B10"/>
    <mergeCell ref="AP8:AQ8"/>
    <mergeCell ref="AP9:AQ9"/>
    <mergeCell ref="AP10:AQ10"/>
    <mergeCell ref="AP22:AQ22"/>
    <mergeCell ref="B23:B25"/>
    <mergeCell ref="AP23:AQ23"/>
    <mergeCell ref="AP24:AQ24"/>
    <mergeCell ref="AP25:AQ25"/>
    <mergeCell ref="B26:B28"/>
    <mergeCell ref="AP26:AQ26"/>
    <mergeCell ref="AP27:AQ27"/>
    <mergeCell ref="AP28:AQ28"/>
    <mergeCell ref="B29:B31"/>
    <mergeCell ref="AP29:AQ29"/>
    <mergeCell ref="AP30:AQ30"/>
    <mergeCell ref="AP31:AQ31"/>
    <mergeCell ref="B32:B34"/>
    <mergeCell ref="AP32:AQ32"/>
    <mergeCell ref="AP33:AQ33"/>
    <mergeCell ref="AP34:AQ34"/>
    <mergeCell ref="B35:B36"/>
    <mergeCell ref="C35:E35"/>
    <mergeCell ref="G35:M35"/>
    <mergeCell ref="N35:T35"/>
    <mergeCell ref="U35:AA35"/>
    <mergeCell ref="AB35:AH35"/>
    <mergeCell ref="AI35:AO35"/>
    <mergeCell ref="AP35:AQ35"/>
    <mergeCell ref="AR35:AR36"/>
    <mergeCell ref="B37:B41"/>
    <mergeCell ref="B45:B47"/>
    <mergeCell ref="B51:B53"/>
    <mergeCell ref="A58:A113"/>
    <mergeCell ref="B58:B59"/>
    <mergeCell ref="C58:F58"/>
    <mergeCell ref="G58:M58"/>
    <mergeCell ref="N58:T58"/>
    <mergeCell ref="U58:AA58"/>
    <mergeCell ref="AB58:AH58"/>
    <mergeCell ref="AI58:AO58"/>
    <mergeCell ref="AP58:AQ58"/>
    <mergeCell ref="AR58:AR59"/>
    <mergeCell ref="B60:B61"/>
    <mergeCell ref="AP60:AQ60"/>
    <mergeCell ref="AP61:AQ61"/>
    <mergeCell ref="B62:B64"/>
    <mergeCell ref="AP62:AQ62"/>
    <mergeCell ref="AP63:AQ63"/>
    <mergeCell ref="AP64:AQ64"/>
    <mergeCell ref="B65:B67"/>
    <mergeCell ref="AP65:AQ65"/>
    <mergeCell ref="AP66:AQ66"/>
    <mergeCell ref="AP67:AQ67"/>
    <mergeCell ref="B68:B70"/>
    <mergeCell ref="AP68:AQ68"/>
    <mergeCell ref="AP69:AQ69"/>
    <mergeCell ref="AP70:AQ70"/>
    <mergeCell ref="B71:B73"/>
    <mergeCell ref="AP71:AQ71"/>
    <mergeCell ref="AP72:AQ72"/>
    <mergeCell ref="AP73:AQ73"/>
    <mergeCell ref="B74:B76"/>
    <mergeCell ref="AP74:AQ74"/>
    <mergeCell ref="AP75:AQ75"/>
    <mergeCell ref="AP76:AQ76"/>
    <mergeCell ref="B77:B79"/>
    <mergeCell ref="AP77:AQ77"/>
    <mergeCell ref="AP78:AQ78"/>
    <mergeCell ref="AP79:AQ79"/>
    <mergeCell ref="B80:B82"/>
    <mergeCell ref="AP80:AQ80"/>
    <mergeCell ref="AP81:AQ81"/>
    <mergeCell ref="AP82:AQ82"/>
    <mergeCell ref="B83:B85"/>
    <mergeCell ref="AP83:AQ83"/>
    <mergeCell ref="AP84:AQ84"/>
    <mergeCell ref="AP85:AQ85"/>
    <mergeCell ref="B86:B88"/>
    <mergeCell ref="AP86:AQ86"/>
    <mergeCell ref="AP87:AQ87"/>
    <mergeCell ref="AP88:AQ88"/>
    <mergeCell ref="B89:B91"/>
    <mergeCell ref="AP89:AQ89"/>
    <mergeCell ref="AP90:AQ90"/>
    <mergeCell ref="AP91:AQ91"/>
    <mergeCell ref="B92:B93"/>
    <mergeCell ref="C92:E92"/>
    <mergeCell ref="G92:M92"/>
    <mergeCell ref="N92:T92"/>
    <mergeCell ref="U92:AA92"/>
    <mergeCell ref="AB92:AH92"/>
    <mergeCell ref="AI92:AO92"/>
    <mergeCell ref="AP92:AQ92"/>
    <mergeCell ref="AR92:AR93"/>
    <mergeCell ref="B94:B98"/>
    <mergeCell ref="B102:B104"/>
    <mergeCell ref="B108:B110"/>
    <mergeCell ref="A115:A170"/>
    <mergeCell ref="B115:B116"/>
    <mergeCell ref="C115:F115"/>
    <mergeCell ref="G115:M115"/>
    <mergeCell ref="N115:T115"/>
    <mergeCell ref="U115:AA115"/>
    <mergeCell ref="B122:B124"/>
    <mergeCell ref="B131:B133"/>
    <mergeCell ref="B140:B142"/>
    <mergeCell ref="B149:B150"/>
    <mergeCell ref="C149:E149"/>
    <mergeCell ref="G149:M149"/>
    <mergeCell ref="N149:T149"/>
    <mergeCell ref="U149:AA149"/>
    <mergeCell ref="AB115:AH115"/>
    <mergeCell ref="AI115:AO115"/>
    <mergeCell ref="AP115:AQ115"/>
    <mergeCell ref="AR115:AR116"/>
    <mergeCell ref="B117:B118"/>
    <mergeCell ref="AP117:AQ117"/>
    <mergeCell ref="AP118:AQ118"/>
    <mergeCell ref="B119:B121"/>
    <mergeCell ref="AP119:AQ119"/>
    <mergeCell ref="AP120:AQ120"/>
    <mergeCell ref="AP121:AQ121"/>
    <mergeCell ref="AP122:AQ122"/>
    <mergeCell ref="AP123:AQ123"/>
    <mergeCell ref="AP124:AQ124"/>
    <mergeCell ref="B125:B127"/>
    <mergeCell ref="AP125:AQ125"/>
    <mergeCell ref="AP126:AQ126"/>
    <mergeCell ref="AP127:AQ127"/>
    <mergeCell ref="B128:B130"/>
    <mergeCell ref="AP128:AQ128"/>
    <mergeCell ref="AP129:AQ129"/>
    <mergeCell ref="AP130:AQ130"/>
    <mergeCell ref="AP131:AQ131"/>
    <mergeCell ref="AP132:AQ132"/>
    <mergeCell ref="AP133:AQ133"/>
    <mergeCell ref="B134:B136"/>
    <mergeCell ref="AP134:AQ134"/>
    <mergeCell ref="AP135:AQ135"/>
    <mergeCell ref="AP136:AQ136"/>
    <mergeCell ref="B137:B139"/>
    <mergeCell ref="AP137:AQ137"/>
    <mergeCell ref="AP138:AQ138"/>
    <mergeCell ref="AP139:AQ139"/>
    <mergeCell ref="AP140:AQ140"/>
    <mergeCell ref="AP141:AQ141"/>
    <mergeCell ref="AP142:AQ142"/>
    <mergeCell ref="B143:B145"/>
    <mergeCell ref="AP143:AQ143"/>
    <mergeCell ref="AP144:AQ144"/>
    <mergeCell ref="AP145:AQ145"/>
    <mergeCell ref="B146:B148"/>
    <mergeCell ref="AP146:AQ146"/>
    <mergeCell ref="AP147:AQ147"/>
    <mergeCell ref="AP148:AQ148"/>
    <mergeCell ref="AB149:AH149"/>
    <mergeCell ref="AI149:AO149"/>
    <mergeCell ref="AP149:AQ149"/>
    <mergeCell ref="AR149:AR150"/>
    <mergeCell ref="B151:B155"/>
    <mergeCell ref="B159:B161"/>
    <mergeCell ref="B165:B167"/>
    <mergeCell ref="A172:A227"/>
    <mergeCell ref="B172:B173"/>
    <mergeCell ref="C172:F172"/>
    <mergeCell ref="G172:M172"/>
    <mergeCell ref="N172:T172"/>
    <mergeCell ref="U172:AA172"/>
    <mergeCell ref="AB172:AH172"/>
    <mergeCell ref="AI172:AO172"/>
    <mergeCell ref="AP172:AQ172"/>
    <mergeCell ref="AR172:AR173"/>
    <mergeCell ref="B174:B175"/>
    <mergeCell ref="AP174:AQ174"/>
    <mergeCell ref="AP175:AQ175"/>
    <mergeCell ref="B176:B178"/>
    <mergeCell ref="AP176:AQ176"/>
    <mergeCell ref="AP177:AQ177"/>
    <mergeCell ref="AP178:AQ178"/>
    <mergeCell ref="B179:B181"/>
    <mergeCell ref="AP179:AQ179"/>
    <mergeCell ref="AP180:AQ180"/>
    <mergeCell ref="AP181:AQ181"/>
    <mergeCell ref="B182:B184"/>
    <mergeCell ref="AP182:AQ182"/>
    <mergeCell ref="AP183:AQ183"/>
    <mergeCell ref="AP184:AQ184"/>
    <mergeCell ref="B185:B187"/>
    <mergeCell ref="AP185:AQ185"/>
    <mergeCell ref="AP186:AQ186"/>
    <mergeCell ref="AP187:AQ187"/>
    <mergeCell ref="B188:B190"/>
    <mergeCell ref="AP188:AQ188"/>
    <mergeCell ref="AP189:AQ189"/>
    <mergeCell ref="AP190:AQ190"/>
    <mergeCell ref="B191:B193"/>
    <mergeCell ref="AP191:AQ191"/>
    <mergeCell ref="AP192:AQ192"/>
    <mergeCell ref="AP193:AQ193"/>
    <mergeCell ref="B194:B196"/>
    <mergeCell ref="AP194:AQ194"/>
    <mergeCell ref="AP195:AQ195"/>
    <mergeCell ref="AP196:AQ196"/>
    <mergeCell ref="B197:B199"/>
    <mergeCell ref="AP197:AQ197"/>
    <mergeCell ref="AP198:AQ198"/>
    <mergeCell ref="AP199:AQ199"/>
    <mergeCell ref="B200:B202"/>
    <mergeCell ref="AP200:AQ200"/>
    <mergeCell ref="AP201:AQ201"/>
    <mergeCell ref="AP202:AQ202"/>
    <mergeCell ref="B203:B205"/>
    <mergeCell ref="AP203:AQ203"/>
    <mergeCell ref="AP204:AQ204"/>
    <mergeCell ref="AP205:AQ205"/>
    <mergeCell ref="B206:B207"/>
    <mergeCell ref="C206:E206"/>
    <mergeCell ref="G206:M206"/>
    <mergeCell ref="N206:T206"/>
    <mergeCell ref="U206:AA206"/>
    <mergeCell ref="AB206:AH206"/>
    <mergeCell ref="AI206:AO206"/>
    <mergeCell ref="AP206:AQ206"/>
    <mergeCell ref="AR206:AR207"/>
    <mergeCell ref="B208:B212"/>
    <mergeCell ref="B216:B218"/>
    <mergeCell ref="B222:B224"/>
    <mergeCell ref="O287:Q287"/>
    <mergeCell ref="M288:M290"/>
    <mergeCell ref="N288:N292"/>
    <mergeCell ref="M291:M292"/>
    <mergeCell ref="O300:Q300"/>
    <mergeCell ref="M301:M303"/>
    <mergeCell ref="N301:N305"/>
    <mergeCell ref="M304:M305"/>
  </mergeCells>
  <hyperlinks>
    <hyperlink ref="F3" r:id="rId1" xr:uid="{00000000-0004-0000-0600-000000000000}"/>
    <hyperlink ref="F4" r:id="rId2" xr:uid="{00000000-0004-0000-0600-000001000000}"/>
    <hyperlink ref="F5:F31" r:id="rId3" display="Link" xr:uid="{00000000-0004-0000-0600-000002000000}"/>
    <hyperlink ref="F5" r:id="rId4" xr:uid="{00000000-0004-0000-0600-000003000000}"/>
    <hyperlink ref="F6" r:id="rId5" xr:uid="{00000000-0004-0000-0600-000004000000}"/>
    <hyperlink ref="F7" r:id="rId6" xr:uid="{00000000-0004-0000-0600-000005000000}"/>
    <hyperlink ref="F8:F10" r:id="rId7" display="Link" xr:uid="{00000000-0004-0000-0600-000006000000}"/>
    <hyperlink ref="F8" r:id="rId8" xr:uid="{00000000-0004-0000-0600-000007000000}"/>
    <hyperlink ref="F9" r:id="rId9" xr:uid="{00000000-0004-0000-0600-000008000000}"/>
    <hyperlink ref="F10" r:id="rId10" xr:uid="{00000000-0004-0000-0600-000009000000}"/>
    <hyperlink ref="F11:F13" r:id="rId11" display="Link" xr:uid="{00000000-0004-0000-0600-00000A000000}"/>
    <hyperlink ref="F11" r:id="rId12" xr:uid="{00000000-0004-0000-0600-00000B000000}"/>
    <hyperlink ref="F12" r:id="rId13" xr:uid="{00000000-0004-0000-0600-00000C000000}"/>
    <hyperlink ref="F13" r:id="rId14" xr:uid="{00000000-0004-0000-0600-00000D000000}"/>
    <hyperlink ref="F14:F16" r:id="rId15" display="Link" xr:uid="{00000000-0004-0000-0600-00000E000000}"/>
    <hyperlink ref="F14" r:id="rId16" xr:uid="{00000000-0004-0000-0600-00000F000000}"/>
    <hyperlink ref="F15" r:id="rId17" xr:uid="{00000000-0004-0000-0600-000010000000}"/>
    <hyperlink ref="F16" r:id="rId18" xr:uid="{00000000-0004-0000-0600-000011000000}"/>
    <hyperlink ref="F17:F19" r:id="rId19" display="Link" xr:uid="{00000000-0004-0000-0600-000012000000}"/>
    <hyperlink ref="F17" r:id="rId20" xr:uid="{00000000-0004-0000-0600-000013000000}"/>
    <hyperlink ref="F18" r:id="rId21" xr:uid="{00000000-0004-0000-0600-000014000000}"/>
    <hyperlink ref="F19" r:id="rId22" xr:uid="{00000000-0004-0000-0600-000015000000}"/>
    <hyperlink ref="F20:F34" r:id="rId23" display="Link" xr:uid="{00000000-0004-0000-0600-000016000000}"/>
    <hyperlink ref="F20" r:id="rId24" xr:uid="{00000000-0004-0000-0600-000017000000}"/>
    <hyperlink ref="F21" r:id="rId25" xr:uid="{00000000-0004-0000-0600-000018000000}"/>
    <hyperlink ref="F22" r:id="rId26" xr:uid="{00000000-0004-0000-0600-000019000000}"/>
    <hyperlink ref="F23:F25" r:id="rId27" display="Link" xr:uid="{00000000-0004-0000-0600-00001A000000}"/>
    <hyperlink ref="F23" r:id="rId28" xr:uid="{00000000-0004-0000-0600-00001B000000}"/>
    <hyperlink ref="F24" r:id="rId29" xr:uid="{00000000-0004-0000-0600-00001C000000}"/>
    <hyperlink ref="F25" r:id="rId30" xr:uid="{00000000-0004-0000-0600-00001D000000}"/>
    <hyperlink ref="F26:F28" r:id="rId31" display="Link" xr:uid="{00000000-0004-0000-0600-00001E000000}"/>
    <hyperlink ref="F26" r:id="rId32" xr:uid="{00000000-0004-0000-0600-00001F000000}"/>
    <hyperlink ref="F27" r:id="rId33" xr:uid="{00000000-0004-0000-0600-000020000000}"/>
    <hyperlink ref="F28" r:id="rId34" xr:uid="{00000000-0004-0000-0600-000021000000}"/>
    <hyperlink ref="F29:F31" r:id="rId35" display="Link" xr:uid="{00000000-0004-0000-0600-000022000000}"/>
    <hyperlink ref="F29" r:id="rId36" xr:uid="{00000000-0004-0000-0600-000023000000}"/>
    <hyperlink ref="F30" r:id="rId37" xr:uid="{00000000-0004-0000-0600-000024000000}"/>
    <hyperlink ref="F31" r:id="rId38" xr:uid="{00000000-0004-0000-0600-000025000000}"/>
    <hyperlink ref="F32:F34" r:id="rId39" display="Link" xr:uid="{00000000-0004-0000-0600-000026000000}"/>
    <hyperlink ref="F32" r:id="rId40" xr:uid="{00000000-0004-0000-0600-000027000000}"/>
    <hyperlink ref="F33" r:id="rId41" xr:uid="{00000000-0004-0000-0600-000028000000}"/>
    <hyperlink ref="F34" r:id="rId42" xr:uid="{00000000-0004-0000-0600-000029000000}"/>
    <hyperlink ref="F37" r:id="rId43" xr:uid="{00000000-0004-0000-0600-00002A000000}"/>
    <hyperlink ref="F38" r:id="rId44" xr:uid="{00000000-0004-0000-0600-00002B000000}"/>
    <hyperlink ref="F39" r:id="rId45" xr:uid="{00000000-0004-0000-0600-00002C000000}"/>
    <hyperlink ref="F40" r:id="rId46" xr:uid="{00000000-0004-0000-0600-00002D000000}"/>
    <hyperlink ref="F41" r:id="rId47" xr:uid="{00000000-0004-0000-0600-00002E000000}"/>
    <hyperlink ref="F45" r:id="rId48" xr:uid="{00000000-0004-0000-0600-00002F000000}"/>
    <hyperlink ref="F46" r:id="rId49" xr:uid="{00000000-0004-0000-0600-000030000000}"/>
    <hyperlink ref="F47" r:id="rId50" xr:uid="{00000000-0004-0000-0600-000031000000}"/>
    <hyperlink ref="F51" r:id="rId51" xr:uid="{00000000-0004-0000-0600-000032000000}"/>
    <hyperlink ref="F52" r:id="rId52" xr:uid="{00000000-0004-0000-0600-000033000000}"/>
    <hyperlink ref="F53" r:id="rId53" xr:uid="{00000000-0004-0000-0600-000034000000}"/>
    <hyperlink ref="F60" r:id="rId54" xr:uid="{00000000-0004-0000-0600-000035000000}"/>
    <hyperlink ref="F61" r:id="rId55" xr:uid="{00000000-0004-0000-0600-000036000000}"/>
    <hyperlink ref="F62:F88" r:id="rId56" display="Link" xr:uid="{00000000-0004-0000-0600-000037000000}"/>
    <hyperlink ref="F62" r:id="rId57" xr:uid="{00000000-0004-0000-0600-000038000000}"/>
    <hyperlink ref="F63" r:id="rId58" xr:uid="{00000000-0004-0000-0600-000039000000}"/>
    <hyperlink ref="F64" r:id="rId59" xr:uid="{00000000-0004-0000-0600-00003A000000}"/>
    <hyperlink ref="F65:F67" r:id="rId60" display="Link" xr:uid="{00000000-0004-0000-0600-00003B000000}"/>
    <hyperlink ref="F65" r:id="rId61" xr:uid="{00000000-0004-0000-0600-00003C000000}"/>
    <hyperlink ref="F66" r:id="rId62" xr:uid="{00000000-0004-0000-0600-00003D000000}"/>
    <hyperlink ref="F67" r:id="rId63" xr:uid="{00000000-0004-0000-0600-00003E000000}"/>
    <hyperlink ref="F68:F70" r:id="rId64" display="Link" xr:uid="{00000000-0004-0000-0600-00003F000000}"/>
    <hyperlink ref="F68" r:id="rId65" xr:uid="{00000000-0004-0000-0600-000040000000}"/>
    <hyperlink ref="F69" r:id="rId66" xr:uid="{00000000-0004-0000-0600-000041000000}"/>
    <hyperlink ref="F70" r:id="rId67" xr:uid="{00000000-0004-0000-0600-000042000000}"/>
    <hyperlink ref="F71:F73" r:id="rId68" display="Link" xr:uid="{00000000-0004-0000-0600-000043000000}"/>
    <hyperlink ref="F71" r:id="rId69" xr:uid="{00000000-0004-0000-0600-000044000000}"/>
    <hyperlink ref="F72" r:id="rId70" xr:uid="{00000000-0004-0000-0600-000045000000}"/>
    <hyperlink ref="F73" r:id="rId71" xr:uid="{00000000-0004-0000-0600-000046000000}"/>
    <hyperlink ref="F74:F76" r:id="rId72" display="Link" xr:uid="{00000000-0004-0000-0600-000047000000}"/>
    <hyperlink ref="F74" r:id="rId73" xr:uid="{00000000-0004-0000-0600-000048000000}"/>
    <hyperlink ref="F75" r:id="rId74" xr:uid="{00000000-0004-0000-0600-000049000000}"/>
    <hyperlink ref="F76" r:id="rId75" xr:uid="{00000000-0004-0000-0600-00004A000000}"/>
    <hyperlink ref="F77:F91" r:id="rId76" display="Link" xr:uid="{00000000-0004-0000-0600-00004B000000}"/>
    <hyperlink ref="F77" r:id="rId77" xr:uid="{00000000-0004-0000-0600-00004C000000}"/>
    <hyperlink ref="F78" r:id="rId78" xr:uid="{00000000-0004-0000-0600-00004D000000}"/>
    <hyperlink ref="F79" r:id="rId79" xr:uid="{00000000-0004-0000-0600-00004E000000}"/>
    <hyperlink ref="F80:F82" r:id="rId80" display="Link" xr:uid="{00000000-0004-0000-0600-00004F000000}"/>
    <hyperlink ref="F80" r:id="rId81" xr:uid="{00000000-0004-0000-0600-000050000000}"/>
    <hyperlink ref="F81" r:id="rId82" xr:uid="{00000000-0004-0000-0600-000051000000}"/>
    <hyperlink ref="F82" r:id="rId83" xr:uid="{00000000-0004-0000-0600-000052000000}"/>
    <hyperlink ref="F83:F85" r:id="rId84" display="Link" xr:uid="{00000000-0004-0000-0600-000053000000}"/>
    <hyperlink ref="F83" r:id="rId85" xr:uid="{00000000-0004-0000-0600-000054000000}"/>
    <hyperlink ref="F84" r:id="rId86" xr:uid="{00000000-0004-0000-0600-000055000000}"/>
    <hyperlink ref="F85" r:id="rId87" xr:uid="{00000000-0004-0000-0600-000056000000}"/>
    <hyperlink ref="F86:F88" r:id="rId88" display="Link" xr:uid="{00000000-0004-0000-0600-000057000000}"/>
    <hyperlink ref="F86" r:id="rId89" xr:uid="{00000000-0004-0000-0600-000058000000}"/>
    <hyperlink ref="F87" r:id="rId90" xr:uid="{00000000-0004-0000-0600-000059000000}"/>
    <hyperlink ref="F88" r:id="rId91" xr:uid="{00000000-0004-0000-0600-00005A000000}"/>
    <hyperlink ref="F89:F91" r:id="rId92" display="Link" xr:uid="{00000000-0004-0000-0600-00005B000000}"/>
    <hyperlink ref="F89" r:id="rId93" xr:uid="{00000000-0004-0000-0600-00005C000000}"/>
    <hyperlink ref="F90" r:id="rId94" xr:uid="{00000000-0004-0000-0600-00005D000000}"/>
    <hyperlink ref="F91" r:id="rId95" xr:uid="{00000000-0004-0000-0600-00005E000000}"/>
    <hyperlink ref="F94" r:id="rId96" xr:uid="{00000000-0004-0000-0600-00005F000000}"/>
    <hyperlink ref="F95" r:id="rId97" xr:uid="{00000000-0004-0000-0600-000060000000}"/>
    <hyperlink ref="F96" r:id="rId98" xr:uid="{00000000-0004-0000-0600-000061000000}"/>
    <hyperlink ref="F97" r:id="rId99" xr:uid="{00000000-0004-0000-0600-000062000000}"/>
    <hyperlink ref="F98" r:id="rId100" xr:uid="{00000000-0004-0000-0600-000063000000}"/>
    <hyperlink ref="F102" r:id="rId101" xr:uid="{00000000-0004-0000-0600-000064000000}"/>
    <hyperlink ref="F103" r:id="rId102" xr:uid="{00000000-0004-0000-0600-000065000000}"/>
    <hyperlink ref="F104" r:id="rId103" xr:uid="{00000000-0004-0000-0600-000066000000}"/>
    <hyperlink ref="F108" r:id="rId104" xr:uid="{00000000-0004-0000-0600-000067000000}"/>
    <hyperlink ref="F109" r:id="rId105" xr:uid="{00000000-0004-0000-0600-000068000000}"/>
    <hyperlink ref="F110" r:id="rId106" xr:uid="{00000000-0004-0000-0600-000069000000}"/>
    <hyperlink ref="F117" r:id="rId107" xr:uid="{00000000-0004-0000-0600-00006A000000}"/>
    <hyperlink ref="F118" r:id="rId108" xr:uid="{00000000-0004-0000-0600-00006B000000}"/>
    <hyperlink ref="F119:F145" r:id="rId109" display="Link" xr:uid="{00000000-0004-0000-0600-00006C000000}"/>
    <hyperlink ref="F119" r:id="rId110" xr:uid="{00000000-0004-0000-0600-00006D000000}"/>
    <hyperlink ref="F120" r:id="rId111" xr:uid="{00000000-0004-0000-0600-00006E000000}"/>
    <hyperlink ref="F121" r:id="rId112" xr:uid="{00000000-0004-0000-0600-00006F000000}"/>
    <hyperlink ref="F122:F124" r:id="rId113" display="Link" xr:uid="{00000000-0004-0000-0600-000070000000}"/>
    <hyperlink ref="F122" r:id="rId114" xr:uid="{00000000-0004-0000-0600-000071000000}"/>
    <hyperlink ref="F123" r:id="rId115" xr:uid="{00000000-0004-0000-0600-000072000000}"/>
    <hyperlink ref="F124" r:id="rId116" xr:uid="{00000000-0004-0000-0600-000073000000}"/>
    <hyperlink ref="F125:F127" r:id="rId117" display="Link" xr:uid="{00000000-0004-0000-0600-000074000000}"/>
    <hyperlink ref="F125" r:id="rId118" xr:uid="{00000000-0004-0000-0600-000075000000}"/>
    <hyperlink ref="F126" r:id="rId119" xr:uid="{00000000-0004-0000-0600-000076000000}"/>
    <hyperlink ref="F127" r:id="rId120" xr:uid="{00000000-0004-0000-0600-000077000000}"/>
    <hyperlink ref="F128:F130" r:id="rId121" display="Link" xr:uid="{00000000-0004-0000-0600-000078000000}"/>
    <hyperlink ref="F128" r:id="rId122" xr:uid="{00000000-0004-0000-0600-000079000000}"/>
    <hyperlink ref="F129" r:id="rId123" xr:uid="{00000000-0004-0000-0600-00007A000000}"/>
    <hyperlink ref="F130" r:id="rId124" xr:uid="{00000000-0004-0000-0600-00007B000000}"/>
    <hyperlink ref="F131:F133" r:id="rId125" display="Link" xr:uid="{00000000-0004-0000-0600-00007C000000}"/>
    <hyperlink ref="F131" r:id="rId126" xr:uid="{00000000-0004-0000-0600-00007D000000}"/>
    <hyperlink ref="F132" r:id="rId127" xr:uid="{00000000-0004-0000-0600-00007E000000}"/>
    <hyperlink ref="F133" r:id="rId128" xr:uid="{00000000-0004-0000-0600-00007F000000}"/>
    <hyperlink ref="F134:F148" r:id="rId129" display="Link" xr:uid="{00000000-0004-0000-0600-000080000000}"/>
    <hyperlink ref="F134" r:id="rId130" xr:uid="{00000000-0004-0000-0600-000081000000}"/>
    <hyperlink ref="F135" r:id="rId131" xr:uid="{00000000-0004-0000-0600-000082000000}"/>
    <hyperlink ref="F136" r:id="rId132" xr:uid="{00000000-0004-0000-0600-000083000000}"/>
    <hyperlink ref="F137:F139" r:id="rId133" display="Link" xr:uid="{00000000-0004-0000-0600-000084000000}"/>
    <hyperlink ref="F137" r:id="rId134" xr:uid="{00000000-0004-0000-0600-000085000000}"/>
    <hyperlink ref="F138" r:id="rId135" xr:uid="{00000000-0004-0000-0600-000086000000}"/>
    <hyperlink ref="F139" r:id="rId136" xr:uid="{00000000-0004-0000-0600-000087000000}"/>
    <hyperlink ref="F140:F142" r:id="rId137" display="Link" xr:uid="{00000000-0004-0000-0600-000088000000}"/>
    <hyperlink ref="F140" r:id="rId138" xr:uid="{00000000-0004-0000-0600-000089000000}"/>
    <hyperlink ref="F141" r:id="rId139" xr:uid="{00000000-0004-0000-0600-00008A000000}"/>
    <hyperlink ref="F142" r:id="rId140" xr:uid="{00000000-0004-0000-0600-00008B000000}"/>
    <hyperlink ref="F143:F145" r:id="rId141" display="Link" xr:uid="{00000000-0004-0000-0600-00008C000000}"/>
    <hyperlink ref="F143" r:id="rId142" xr:uid="{00000000-0004-0000-0600-00008D000000}"/>
    <hyperlink ref="F144" r:id="rId143" xr:uid="{00000000-0004-0000-0600-00008E000000}"/>
    <hyperlink ref="F145" r:id="rId144" xr:uid="{00000000-0004-0000-0600-00008F000000}"/>
    <hyperlink ref="F146:F148" r:id="rId145" display="Link" xr:uid="{00000000-0004-0000-0600-000090000000}"/>
    <hyperlink ref="F146" r:id="rId146" xr:uid="{00000000-0004-0000-0600-000091000000}"/>
    <hyperlink ref="F147" r:id="rId147" xr:uid="{00000000-0004-0000-0600-000092000000}"/>
    <hyperlink ref="F148" r:id="rId148" xr:uid="{00000000-0004-0000-0600-000093000000}"/>
    <hyperlink ref="F151" r:id="rId149" xr:uid="{00000000-0004-0000-0600-000094000000}"/>
    <hyperlink ref="F152" r:id="rId150" xr:uid="{00000000-0004-0000-0600-000095000000}"/>
    <hyperlink ref="F153" r:id="rId151" xr:uid="{00000000-0004-0000-0600-000096000000}"/>
    <hyperlink ref="F154" r:id="rId152" xr:uid="{00000000-0004-0000-0600-000097000000}"/>
    <hyperlink ref="F155" r:id="rId153" xr:uid="{00000000-0004-0000-0600-000098000000}"/>
    <hyperlink ref="F159" r:id="rId154" xr:uid="{00000000-0004-0000-0600-000099000000}"/>
    <hyperlink ref="F160" r:id="rId155" xr:uid="{00000000-0004-0000-0600-00009A000000}"/>
    <hyperlink ref="F161" r:id="rId156" xr:uid="{00000000-0004-0000-0600-00009B000000}"/>
    <hyperlink ref="F165" r:id="rId157" xr:uid="{00000000-0004-0000-0600-00009C000000}"/>
    <hyperlink ref="F166" r:id="rId158" xr:uid="{00000000-0004-0000-0600-00009D000000}"/>
    <hyperlink ref="F167" r:id="rId159" xr:uid="{00000000-0004-0000-0600-00009E000000}"/>
    <hyperlink ref="F174" r:id="rId160" xr:uid="{00000000-0004-0000-0600-00009F000000}"/>
    <hyperlink ref="F175" r:id="rId161" xr:uid="{00000000-0004-0000-0600-0000A0000000}"/>
    <hyperlink ref="F176:F202" r:id="rId162" display="Link" xr:uid="{00000000-0004-0000-0600-0000A1000000}"/>
    <hyperlink ref="F176" r:id="rId163" xr:uid="{00000000-0004-0000-0600-0000A2000000}"/>
    <hyperlink ref="F177" r:id="rId164" xr:uid="{00000000-0004-0000-0600-0000A3000000}"/>
    <hyperlink ref="F178" r:id="rId165" xr:uid="{00000000-0004-0000-0600-0000A4000000}"/>
    <hyperlink ref="F179:F181" r:id="rId166" display="Link" xr:uid="{00000000-0004-0000-0600-0000A5000000}"/>
    <hyperlink ref="F179" r:id="rId167" xr:uid="{00000000-0004-0000-0600-0000A6000000}"/>
    <hyperlink ref="F180" r:id="rId168" xr:uid="{00000000-0004-0000-0600-0000A7000000}"/>
    <hyperlink ref="F181" r:id="rId169" xr:uid="{00000000-0004-0000-0600-0000A8000000}"/>
    <hyperlink ref="F182:F184" r:id="rId170" display="Link" xr:uid="{00000000-0004-0000-0600-0000A9000000}"/>
    <hyperlink ref="F182" r:id="rId171" xr:uid="{00000000-0004-0000-0600-0000AA000000}"/>
    <hyperlink ref="F183" r:id="rId172" xr:uid="{00000000-0004-0000-0600-0000AB000000}"/>
    <hyperlink ref="F184" r:id="rId173" xr:uid="{00000000-0004-0000-0600-0000AC000000}"/>
    <hyperlink ref="F185:F187" r:id="rId174" display="Link" xr:uid="{00000000-0004-0000-0600-0000AD000000}"/>
    <hyperlink ref="F185" r:id="rId175" xr:uid="{00000000-0004-0000-0600-0000AE000000}"/>
    <hyperlink ref="F186" r:id="rId176" xr:uid="{00000000-0004-0000-0600-0000AF000000}"/>
    <hyperlink ref="F187" r:id="rId177" xr:uid="{00000000-0004-0000-0600-0000B0000000}"/>
    <hyperlink ref="F188:F190" r:id="rId178" display="Link" xr:uid="{00000000-0004-0000-0600-0000B1000000}"/>
    <hyperlink ref="F188" r:id="rId179" xr:uid="{00000000-0004-0000-0600-0000B2000000}"/>
    <hyperlink ref="F189" r:id="rId180" xr:uid="{00000000-0004-0000-0600-0000B3000000}"/>
    <hyperlink ref="F190" r:id="rId181" xr:uid="{00000000-0004-0000-0600-0000B4000000}"/>
    <hyperlink ref="F191:F205" r:id="rId182" display="Link" xr:uid="{00000000-0004-0000-0600-0000B5000000}"/>
    <hyperlink ref="F191" r:id="rId183" xr:uid="{00000000-0004-0000-0600-0000B6000000}"/>
    <hyperlink ref="F192" r:id="rId184" xr:uid="{00000000-0004-0000-0600-0000B7000000}"/>
    <hyperlink ref="F193" r:id="rId185" xr:uid="{00000000-0004-0000-0600-0000B8000000}"/>
    <hyperlink ref="F194:F196" r:id="rId186" display="Link" xr:uid="{00000000-0004-0000-0600-0000B9000000}"/>
    <hyperlink ref="F194" r:id="rId187" xr:uid="{00000000-0004-0000-0600-0000BA000000}"/>
    <hyperlink ref="F195" r:id="rId188" xr:uid="{00000000-0004-0000-0600-0000BB000000}"/>
    <hyperlink ref="F196" r:id="rId189" xr:uid="{00000000-0004-0000-0600-0000BC000000}"/>
    <hyperlink ref="F197:F199" r:id="rId190" display="Link" xr:uid="{00000000-0004-0000-0600-0000BD000000}"/>
    <hyperlink ref="F197" r:id="rId191" xr:uid="{00000000-0004-0000-0600-0000BE000000}"/>
    <hyperlink ref="F198" r:id="rId192" xr:uid="{00000000-0004-0000-0600-0000BF000000}"/>
    <hyperlink ref="F199" r:id="rId193" xr:uid="{00000000-0004-0000-0600-0000C0000000}"/>
    <hyperlink ref="F200:F202" r:id="rId194" display="Link" xr:uid="{00000000-0004-0000-0600-0000C1000000}"/>
    <hyperlink ref="F200" r:id="rId195" xr:uid="{00000000-0004-0000-0600-0000C2000000}"/>
    <hyperlink ref="F201" r:id="rId196" xr:uid="{00000000-0004-0000-0600-0000C3000000}"/>
    <hyperlink ref="F202" r:id="rId197" xr:uid="{00000000-0004-0000-0600-0000C4000000}"/>
    <hyperlink ref="F203:F205" r:id="rId198" display="Link" xr:uid="{00000000-0004-0000-0600-0000C5000000}"/>
    <hyperlink ref="F203" r:id="rId199" xr:uid="{00000000-0004-0000-0600-0000C6000000}"/>
    <hyperlink ref="F204" r:id="rId200" xr:uid="{00000000-0004-0000-0600-0000C7000000}"/>
    <hyperlink ref="F205" r:id="rId201" xr:uid="{00000000-0004-0000-0600-0000C8000000}"/>
    <hyperlink ref="F208" r:id="rId202" xr:uid="{00000000-0004-0000-0600-0000C9000000}"/>
    <hyperlink ref="F209" r:id="rId203" xr:uid="{00000000-0004-0000-0600-0000CA000000}"/>
    <hyperlink ref="F210" r:id="rId204" xr:uid="{00000000-0004-0000-0600-0000CB000000}"/>
    <hyperlink ref="F211" r:id="rId205" xr:uid="{00000000-0004-0000-0600-0000CC000000}"/>
    <hyperlink ref="F212" r:id="rId206" xr:uid="{00000000-0004-0000-0600-0000CD000000}"/>
    <hyperlink ref="F216" r:id="rId207" xr:uid="{00000000-0004-0000-0600-0000CE000000}"/>
    <hyperlink ref="F217" r:id="rId208" xr:uid="{00000000-0004-0000-0600-0000CF000000}"/>
    <hyperlink ref="F218" r:id="rId209" xr:uid="{00000000-0004-0000-0600-0000D0000000}"/>
    <hyperlink ref="F222" r:id="rId210" xr:uid="{00000000-0004-0000-0600-0000D1000000}"/>
    <hyperlink ref="F223" r:id="rId211" xr:uid="{00000000-0004-0000-0600-0000D2000000}"/>
    <hyperlink ref="F224" r:id="rId212" xr:uid="{00000000-0004-0000-0600-0000D3000000}"/>
    <hyperlink ref="R234" r:id="rId213" xr:uid="{00000000-0004-0000-0600-0000D4000000}"/>
    <hyperlink ref="F235" r:id="rId214" xr:uid="{00000000-0004-0000-0600-0000D5000000}"/>
    <hyperlink ref="F272" r:id="rId215" xr:uid="{00000000-0004-0000-0600-0000D6000000}"/>
    <hyperlink ref="F302" r:id="rId216" xr:uid="{00000000-0004-0000-0600-0000D7000000}"/>
    <hyperlink ref="F315" r:id="rId217" xr:uid="{00000000-0004-0000-0600-0000D8000000}"/>
    <hyperlink ref="F347" r:id="rId218" xr:uid="{00000000-0004-0000-0600-0000D9000000}"/>
  </hyperlinks>
  <pageMargins left="0.7" right="0.7" top="0.78740157500000008" bottom="0.78740157500000008" header="0.3" footer="0.3"/>
  <pageSetup paperSize="9" orientation="portrait" horizontalDpi="0" verticalDpi="0"/>
  <drawing r:id="rId219"/>
  <legacyDrawing r:id="rId22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BE362"/>
  <sheetViews>
    <sheetView zoomScale="91" workbookViewId="0">
      <selection activeCell="BD2" sqref="BD2:BE5"/>
    </sheetView>
  </sheetViews>
  <sheetFormatPr baseColWidth="10" defaultRowHeight="14.4" x14ac:dyDescent="0.3"/>
  <sheetData>
    <row r="1" spans="1:57" x14ac:dyDescent="0.3">
      <c r="A1" s="914" t="s">
        <v>245</v>
      </c>
      <c r="B1" s="914" t="s">
        <v>1</v>
      </c>
      <c r="C1" s="949" t="s">
        <v>246</v>
      </c>
      <c r="D1" s="950"/>
      <c r="E1" s="950"/>
      <c r="F1" s="951"/>
      <c r="G1" s="949" t="s">
        <v>247</v>
      </c>
      <c r="H1" s="950"/>
      <c r="I1" s="950"/>
      <c r="J1" s="950"/>
      <c r="K1" s="950"/>
      <c r="L1" s="950"/>
      <c r="M1" s="951"/>
      <c r="N1" s="949" t="s">
        <v>470</v>
      </c>
      <c r="O1" s="950"/>
      <c r="P1" s="950"/>
      <c r="Q1" s="950"/>
      <c r="R1" s="950"/>
      <c r="S1" s="950"/>
      <c r="T1" s="951"/>
      <c r="U1" s="914" t="s">
        <v>248</v>
      </c>
      <c r="V1" s="915"/>
      <c r="W1" s="915"/>
      <c r="X1" s="915"/>
      <c r="Y1" s="915"/>
      <c r="Z1" s="915"/>
      <c r="AA1" s="916"/>
      <c r="AB1" s="914" t="s">
        <v>249</v>
      </c>
      <c r="AC1" s="915"/>
      <c r="AD1" s="915"/>
      <c r="AE1" s="915"/>
      <c r="AF1" s="915"/>
      <c r="AG1" s="915"/>
      <c r="AH1" s="916"/>
      <c r="AI1" s="914" t="s">
        <v>251</v>
      </c>
      <c r="AJ1" s="915"/>
      <c r="AK1" s="915"/>
      <c r="AL1" s="915"/>
      <c r="AM1" s="915"/>
      <c r="AN1" s="915"/>
      <c r="AO1" s="916"/>
      <c r="AP1" s="914" t="s">
        <v>250</v>
      </c>
      <c r="AQ1" s="915"/>
      <c r="AR1" s="915"/>
      <c r="AS1" s="915"/>
      <c r="AT1" s="915"/>
      <c r="AU1" s="915"/>
      <c r="AV1" s="916"/>
      <c r="AW1" s="962" t="s">
        <v>253</v>
      </c>
    </row>
    <row r="2" spans="1:57" x14ac:dyDescent="0.3">
      <c r="A2" s="946"/>
      <c r="B2" s="946"/>
      <c r="C2" s="86" t="s">
        <v>254</v>
      </c>
      <c r="D2" s="87" t="s">
        <v>255</v>
      </c>
      <c r="E2" s="85" t="s">
        <v>256</v>
      </c>
      <c r="F2" s="622" t="s">
        <v>19</v>
      </c>
      <c r="G2" s="88">
        <v>2020</v>
      </c>
      <c r="H2" s="85">
        <v>2025</v>
      </c>
      <c r="I2" s="85">
        <v>2030</v>
      </c>
      <c r="J2" s="85">
        <v>2040</v>
      </c>
      <c r="K2" s="85">
        <v>2045</v>
      </c>
      <c r="L2" s="85">
        <v>2050</v>
      </c>
      <c r="M2" s="85">
        <v>2060</v>
      </c>
      <c r="N2" s="88">
        <v>2020</v>
      </c>
      <c r="O2" s="85">
        <v>2025</v>
      </c>
      <c r="P2" s="85">
        <v>2030</v>
      </c>
      <c r="Q2" s="85">
        <v>2040</v>
      </c>
      <c r="R2" s="85">
        <v>2045</v>
      </c>
      <c r="S2" s="85">
        <v>2050</v>
      </c>
      <c r="T2" s="85">
        <v>2060</v>
      </c>
      <c r="U2" s="88">
        <v>2020</v>
      </c>
      <c r="V2" s="85">
        <v>2025</v>
      </c>
      <c r="W2" s="85">
        <v>2030</v>
      </c>
      <c r="X2" s="85">
        <v>2040</v>
      </c>
      <c r="Y2" s="85">
        <v>2045</v>
      </c>
      <c r="Z2" s="85">
        <v>2050</v>
      </c>
      <c r="AA2" s="85">
        <v>2060</v>
      </c>
      <c r="AB2" s="88">
        <v>2020</v>
      </c>
      <c r="AC2" s="85">
        <v>2025</v>
      </c>
      <c r="AD2" s="85">
        <v>2030</v>
      </c>
      <c r="AE2" s="85">
        <v>2040</v>
      </c>
      <c r="AF2" s="85">
        <v>2045</v>
      </c>
      <c r="AG2" s="85">
        <v>2050</v>
      </c>
      <c r="AH2" s="85">
        <v>2060</v>
      </c>
      <c r="AI2" s="88">
        <v>2020</v>
      </c>
      <c r="AJ2" s="85">
        <v>2025</v>
      </c>
      <c r="AK2" s="85">
        <v>2030</v>
      </c>
      <c r="AL2" s="85">
        <v>2040</v>
      </c>
      <c r="AM2" s="85">
        <v>2045</v>
      </c>
      <c r="AN2" s="85">
        <v>2050</v>
      </c>
      <c r="AO2" s="85">
        <v>2060</v>
      </c>
      <c r="AP2" s="88">
        <v>2020</v>
      </c>
      <c r="AQ2" s="85">
        <v>2025</v>
      </c>
      <c r="AR2" s="85">
        <v>2030</v>
      </c>
      <c r="AS2" s="85">
        <v>2040</v>
      </c>
      <c r="AT2" s="85">
        <v>2045</v>
      </c>
      <c r="AU2" s="85">
        <v>2050</v>
      </c>
      <c r="AV2" s="89">
        <v>2060</v>
      </c>
      <c r="AW2" s="979"/>
      <c r="BD2" t="s">
        <v>123</v>
      </c>
    </row>
    <row r="3" spans="1:57" ht="15" customHeight="1" x14ac:dyDescent="0.3">
      <c r="A3" s="935" t="s">
        <v>259</v>
      </c>
      <c r="B3" s="986" t="s">
        <v>471</v>
      </c>
      <c r="C3" s="687">
        <v>2</v>
      </c>
      <c r="D3" s="90" t="s">
        <v>23</v>
      </c>
      <c r="E3" s="90">
        <v>2019</v>
      </c>
      <c r="F3" s="688" t="s">
        <v>19</v>
      </c>
      <c r="G3" s="96"/>
      <c r="H3" s="97"/>
      <c r="I3" s="97"/>
      <c r="J3" s="97"/>
      <c r="K3" s="97"/>
      <c r="L3" s="94">
        <f>1820/1.1297</f>
        <v>1611.0471806674338</v>
      </c>
      <c r="M3" s="97"/>
      <c r="N3" s="447"/>
      <c r="O3" s="94"/>
      <c r="P3" s="94"/>
      <c r="Q3" s="94"/>
      <c r="R3" s="97"/>
      <c r="S3" s="94">
        <f>0.25/1.1297</f>
        <v>0.22129768965212004</v>
      </c>
      <c r="T3" s="97"/>
      <c r="U3" s="96"/>
      <c r="V3" s="97"/>
      <c r="W3" s="97"/>
      <c r="X3" s="97"/>
      <c r="Y3" s="97"/>
      <c r="Z3" s="94">
        <f>73/1.1297</f>
        <v>64.61892537841905</v>
      </c>
      <c r="AA3" s="97"/>
      <c r="AB3" s="96"/>
      <c r="AC3" s="97"/>
      <c r="AD3" s="97"/>
      <c r="AE3" s="97"/>
      <c r="AF3" s="97"/>
      <c r="AG3" s="97">
        <v>0</v>
      </c>
      <c r="AH3" s="97"/>
      <c r="AI3" s="96"/>
      <c r="AJ3" s="97"/>
      <c r="AK3" s="97"/>
      <c r="AL3" s="97"/>
      <c r="AM3" s="97"/>
      <c r="AN3" s="97"/>
      <c r="AO3" s="97"/>
      <c r="AP3" s="96"/>
      <c r="AQ3" s="97"/>
      <c r="AR3" s="97"/>
      <c r="AS3" s="97"/>
      <c r="AT3" s="97"/>
      <c r="AU3" s="97">
        <v>20</v>
      </c>
      <c r="AV3" s="43"/>
      <c r="AW3" s="104" t="s">
        <v>472</v>
      </c>
      <c r="BD3" t="s">
        <v>128</v>
      </c>
      <c r="BE3" s="76">
        <v>1.3486719798104709</v>
      </c>
    </row>
    <row r="4" spans="1:57" x14ac:dyDescent="0.3">
      <c r="A4" s="936"/>
      <c r="B4" s="1018"/>
      <c r="C4" s="689">
        <v>4</v>
      </c>
      <c r="D4" s="105" t="s">
        <v>31</v>
      </c>
      <c r="E4" s="105">
        <v>2022</v>
      </c>
      <c r="F4" s="690" t="s">
        <v>19</v>
      </c>
      <c r="G4" s="110"/>
      <c r="H4" s="111"/>
      <c r="I4" s="111"/>
      <c r="J4" s="111"/>
      <c r="K4" s="111"/>
      <c r="L4" s="108"/>
      <c r="M4" s="111"/>
      <c r="N4" s="113">
        <v>3</v>
      </c>
      <c r="O4" s="108">
        <v>2.5</v>
      </c>
      <c r="P4" s="108">
        <v>2</v>
      </c>
      <c r="Q4" s="108">
        <v>1.5</v>
      </c>
      <c r="R4" s="108">
        <v>1.35</v>
      </c>
      <c r="S4" s="108">
        <v>1.2</v>
      </c>
      <c r="T4" s="107">
        <f>R4+((S4-R4)/(2050-2045))*(2060-2045)</f>
        <v>0.89999999999999969</v>
      </c>
      <c r="U4" s="110">
        <v>0</v>
      </c>
      <c r="V4" s="111">
        <v>0</v>
      </c>
      <c r="W4" s="111">
        <v>0</v>
      </c>
      <c r="X4" s="111">
        <v>0</v>
      </c>
      <c r="Y4" s="117">
        <v>0</v>
      </c>
      <c r="Z4" s="111">
        <v>0</v>
      </c>
      <c r="AA4" s="378">
        <f>Y4+((Z4-Y4)/(2050-2045))*(2060-2045)</f>
        <v>0</v>
      </c>
      <c r="AB4" s="110">
        <v>0</v>
      </c>
      <c r="AC4" s="111">
        <v>0</v>
      </c>
      <c r="AD4" s="111">
        <v>0</v>
      </c>
      <c r="AE4" s="111">
        <v>0</v>
      </c>
      <c r="AF4" s="117">
        <v>0</v>
      </c>
      <c r="AG4" s="111">
        <v>0</v>
      </c>
      <c r="AH4" s="378">
        <f>AF4+((AG4-AF4)/(2050-2045))*(2060-2045)</f>
        <v>0</v>
      </c>
      <c r="AI4" s="110"/>
      <c r="AJ4" s="111"/>
      <c r="AK4" s="111"/>
      <c r="AL4" s="111"/>
      <c r="AM4" s="111"/>
      <c r="AN4" s="111"/>
      <c r="AO4" s="111"/>
      <c r="AP4" s="110">
        <v>100</v>
      </c>
      <c r="AQ4" s="111">
        <v>100</v>
      </c>
      <c r="AR4" s="111">
        <v>100</v>
      </c>
      <c r="AS4" s="111">
        <v>100</v>
      </c>
      <c r="AT4" s="111">
        <v>100</v>
      </c>
      <c r="AU4" s="111">
        <v>100</v>
      </c>
      <c r="AV4" s="118">
        <f>AT4+((AU4-AT4)/(2050-2045))*(2060-2045)</f>
        <v>100</v>
      </c>
      <c r="AW4" s="104" t="s">
        <v>473</v>
      </c>
      <c r="BD4" t="s">
        <v>132</v>
      </c>
      <c r="BE4" s="76">
        <v>1.3374192380309164</v>
      </c>
    </row>
    <row r="5" spans="1:57" x14ac:dyDescent="0.3">
      <c r="A5" s="936"/>
      <c r="B5" s="1018"/>
      <c r="C5" s="689">
        <v>14</v>
      </c>
      <c r="D5" s="750" t="s">
        <v>66</v>
      </c>
      <c r="E5" s="105">
        <v>2014</v>
      </c>
      <c r="F5" s="690" t="s">
        <v>19</v>
      </c>
      <c r="G5" s="110"/>
      <c r="H5" s="111"/>
      <c r="I5" s="111"/>
      <c r="J5" s="111"/>
      <c r="K5" s="111"/>
      <c r="L5" s="108"/>
      <c r="M5" s="111"/>
      <c r="N5" s="113"/>
      <c r="O5" s="108"/>
      <c r="P5" s="108">
        <v>0.5</v>
      </c>
      <c r="Q5" s="108"/>
      <c r="R5" s="111"/>
      <c r="S5" s="108"/>
      <c r="T5" s="111"/>
      <c r="U5" s="110"/>
      <c r="V5" s="111"/>
      <c r="W5" s="297">
        <f t="shared" ref="W5:W7" si="0">P5*0.02</f>
        <v>0.01</v>
      </c>
      <c r="X5" s="111"/>
      <c r="Y5" s="111"/>
      <c r="Z5" s="111"/>
      <c r="AA5" s="111"/>
      <c r="AB5" s="110"/>
      <c r="AC5" s="111"/>
      <c r="AD5" s="111"/>
      <c r="AE5" s="111"/>
      <c r="AF5" s="111"/>
      <c r="AG5" s="111"/>
      <c r="AH5" s="111"/>
      <c r="AI5" s="110"/>
      <c r="AJ5" s="111"/>
      <c r="AK5" s="111"/>
      <c r="AL5" s="111"/>
      <c r="AM5" s="111"/>
      <c r="AN5" s="111"/>
      <c r="AO5" s="111"/>
      <c r="AP5" s="110"/>
      <c r="AQ5" s="111"/>
      <c r="AR5" s="111"/>
      <c r="AS5" s="111"/>
      <c r="AT5" s="111"/>
      <c r="AU5" s="111"/>
      <c r="AV5" s="46"/>
      <c r="AW5" s="104" t="s">
        <v>474</v>
      </c>
      <c r="BD5" t="s">
        <v>130</v>
      </c>
      <c r="BE5" s="76">
        <v>0.58296565349252727</v>
      </c>
    </row>
    <row r="6" spans="1:57" x14ac:dyDescent="0.3">
      <c r="A6" s="936"/>
      <c r="B6" s="1018"/>
      <c r="C6" s="689">
        <v>15</v>
      </c>
      <c r="D6" s="750" t="s">
        <v>68</v>
      </c>
      <c r="E6" s="105">
        <v>2017</v>
      </c>
      <c r="F6" s="690" t="s">
        <v>19</v>
      </c>
      <c r="G6" s="110"/>
      <c r="H6" s="111"/>
      <c r="I6" s="111"/>
      <c r="J6" s="111"/>
      <c r="K6" s="111"/>
      <c r="L6" s="108"/>
      <c r="M6" s="111"/>
      <c r="N6" s="113"/>
      <c r="O6" s="108"/>
      <c r="P6" s="108">
        <v>1</v>
      </c>
      <c r="Q6" s="108"/>
      <c r="R6" s="111"/>
      <c r="S6" s="108"/>
      <c r="T6" s="111"/>
      <c r="U6" s="110"/>
      <c r="V6" s="111"/>
      <c r="W6" s="297">
        <f t="shared" si="0"/>
        <v>0.02</v>
      </c>
      <c r="X6" s="111"/>
      <c r="Y6" s="111"/>
      <c r="Z6" s="111"/>
      <c r="AA6" s="111"/>
      <c r="AB6" s="110"/>
      <c r="AC6" s="111"/>
      <c r="AD6" s="111"/>
      <c r="AE6" s="111"/>
      <c r="AF6" s="111"/>
      <c r="AG6" s="111"/>
      <c r="AH6" s="111"/>
      <c r="AI6" s="110"/>
      <c r="AJ6" s="111"/>
      <c r="AK6" s="111"/>
      <c r="AL6" s="111"/>
      <c r="AM6" s="111"/>
      <c r="AN6" s="111"/>
      <c r="AO6" s="111"/>
      <c r="AP6" s="110"/>
      <c r="AQ6" s="111"/>
      <c r="AR6" s="111"/>
      <c r="AS6" s="111"/>
      <c r="AT6" s="111"/>
      <c r="AU6" s="111"/>
      <c r="AV6" s="46"/>
      <c r="AW6" s="104" t="s">
        <v>475</v>
      </c>
    </row>
    <row r="7" spans="1:57" x14ac:dyDescent="0.3">
      <c r="A7" s="936"/>
      <c r="B7" s="1018"/>
      <c r="C7" s="689">
        <v>16</v>
      </c>
      <c r="D7" s="750" t="s">
        <v>70</v>
      </c>
      <c r="E7" s="105">
        <v>2014</v>
      </c>
      <c r="F7" s="690" t="s">
        <v>19</v>
      </c>
      <c r="G7" s="110"/>
      <c r="H7" s="111"/>
      <c r="I7" s="111"/>
      <c r="J7" s="111"/>
      <c r="K7" s="111"/>
      <c r="L7" s="108"/>
      <c r="M7" s="111"/>
      <c r="N7" s="113"/>
      <c r="O7" s="108"/>
      <c r="P7" s="108">
        <v>0.2</v>
      </c>
      <c r="Q7" s="108"/>
      <c r="R7" s="111"/>
      <c r="S7" s="108"/>
      <c r="T7" s="111"/>
      <c r="U7" s="110"/>
      <c r="V7" s="111"/>
      <c r="W7" s="297">
        <f t="shared" si="0"/>
        <v>4.0000000000000001E-3</v>
      </c>
      <c r="X7" s="111"/>
      <c r="Y7" s="111"/>
      <c r="Z7" s="111"/>
      <c r="AA7" s="111"/>
      <c r="AB7" s="110"/>
      <c r="AC7" s="111"/>
      <c r="AD7" s="111"/>
      <c r="AE7" s="111"/>
      <c r="AF7" s="111"/>
      <c r="AG7" s="111"/>
      <c r="AH7" s="111"/>
      <c r="AI7" s="110"/>
      <c r="AJ7" s="111"/>
      <c r="AK7" s="111"/>
      <c r="AL7" s="111"/>
      <c r="AM7" s="111"/>
      <c r="AN7" s="111"/>
      <c r="AO7" s="111"/>
      <c r="AP7" s="110"/>
      <c r="AQ7" s="111"/>
      <c r="AR7" s="111"/>
      <c r="AS7" s="111"/>
      <c r="AT7" s="111"/>
      <c r="AU7" s="111"/>
      <c r="AV7" s="46"/>
      <c r="AW7" s="104" t="s">
        <v>476</v>
      </c>
    </row>
    <row r="8" spans="1:57" x14ac:dyDescent="0.3">
      <c r="A8" s="936"/>
      <c r="B8" s="1018"/>
      <c r="C8" s="689">
        <v>18</v>
      </c>
      <c r="D8" s="750" t="s">
        <v>76</v>
      </c>
      <c r="E8" s="105">
        <v>2021</v>
      </c>
      <c r="F8" s="690" t="s">
        <v>19</v>
      </c>
      <c r="G8" s="110"/>
      <c r="H8" s="111"/>
      <c r="I8" s="111"/>
      <c r="J8" s="111"/>
      <c r="K8" s="111"/>
      <c r="L8" s="108"/>
      <c r="M8" s="111"/>
      <c r="N8" s="113">
        <f t="shared" ref="N8:N10" si="1">L181</f>
        <v>3.1202917366227195E-2</v>
      </c>
      <c r="O8" s="108"/>
      <c r="P8" s="108"/>
      <c r="Q8" s="108"/>
      <c r="R8" s="111"/>
      <c r="S8" s="108"/>
      <c r="T8" s="111"/>
      <c r="U8" s="110"/>
      <c r="V8" s="111"/>
      <c r="W8" s="111"/>
      <c r="X8" s="111"/>
      <c r="Y8" s="111"/>
      <c r="Z8" s="111"/>
      <c r="AA8" s="111"/>
      <c r="AB8" s="110"/>
      <c r="AC8" s="111"/>
      <c r="AD8" s="111"/>
      <c r="AE8" s="111"/>
      <c r="AF8" s="111"/>
      <c r="AG8" s="111"/>
      <c r="AH8" s="111"/>
      <c r="AI8" s="110"/>
      <c r="AJ8" s="111"/>
      <c r="AK8" s="111"/>
      <c r="AL8" s="111"/>
      <c r="AM8" s="111"/>
      <c r="AN8" s="111"/>
      <c r="AO8" s="111"/>
      <c r="AP8" s="110"/>
      <c r="AQ8" s="111"/>
      <c r="AR8" s="111"/>
      <c r="AS8" s="111"/>
      <c r="AT8" s="111"/>
      <c r="AU8" s="111"/>
      <c r="AV8" s="46"/>
      <c r="AW8" t="s">
        <v>477</v>
      </c>
    </row>
    <row r="9" spans="1:57" x14ac:dyDescent="0.3">
      <c r="A9" s="936"/>
      <c r="B9" s="1018"/>
      <c r="C9" s="689">
        <v>18</v>
      </c>
      <c r="D9" s="750" t="s">
        <v>76</v>
      </c>
      <c r="E9" s="105">
        <v>2021</v>
      </c>
      <c r="F9" s="690" t="s">
        <v>19</v>
      </c>
      <c r="G9" s="110"/>
      <c r="H9" s="111"/>
      <c r="I9" s="111"/>
      <c r="J9" s="111"/>
      <c r="K9" s="111"/>
      <c r="L9" s="108"/>
      <c r="M9" s="111"/>
      <c r="N9" s="113">
        <f t="shared" si="1"/>
        <v>3.2725010896287057E-2</v>
      </c>
      <c r="O9" s="108"/>
      <c r="P9" s="108"/>
      <c r="Q9" s="108"/>
      <c r="R9" s="111"/>
      <c r="S9" s="108"/>
      <c r="T9" s="111"/>
      <c r="U9" s="110"/>
      <c r="V9" s="111"/>
      <c r="W9" s="111"/>
      <c r="X9" s="111"/>
      <c r="Y9" s="111"/>
      <c r="Z9" s="111"/>
      <c r="AA9" s="111"/>
      <c r="AB9" s="110"/>
      <c r="AC9" s="111"/>
      <c r="AD9" s="111"/>
      <c r="AE9" s="111"/>
      <c r="AF9" s="111"/>
      <c r="AG9" s="111"/>
      <c r="AH9" s="111"/>
      <c r="AI9" s="110"/>
      <c r="AJ9" s="111"/>
      <c r="AK9" s="111"/>
      <c r="AL9" s="111"/>
      <c r="AM9" s="111"/>
      <c r="AN9" s="111"/>
      <c r="AO9" s="111"/>
      <c r="AP9" s="110"/>
      <c r="AQ9" s="111"/>
      <c r="AR9" s="111"/>
      <c r="AS9" s="111"/>
      <c r="AT9" s="111"/>
      <c r="AU9" s="111"/>
      <c r="AV9" s="46"/>
      <c r="AW9" t="s">
        <v>478</v>
      </c>
    </row>
    <row r="10" spans="1:57" x14ac:dyDescent="0.3">
      <c r="A10" s="936"/>
      <c r="B10" s="1018"/>
      <c r="C10" s="691">
        <v>18</v>
      </c>
      <c r="D10" s="751" t="s">
        <v>76</v>
      </c>
      <c r="E10" s="120">
        <v>2021</v>
      </c>
      <c r="F10" s="692" t="s">
        <v>19</v>
      </c>
      <c r="G10" s="123"/>
      <c r="H10" s="124"/>
      <c r="I10" s="124"/>
      <c r="J10" s="124"/>
      <c r="K10" s="124"/>
      <c r="L10" s="121"/>
      <c r="M10" s="124"/>
      <c r="N10" s="587">
        <f t="shared" si="1"/>
        <v>4.0842843056606334E-2</v>
      </c>
      <c r="O10" s="121"/>
      <c r="P10" s="121"/>
      <c r="Q10" s="121"/>
      <c r="R10" s="124"/>
      <c r="S10" s="121"/>
      <c r="T10" s="124"/>
      <c r="U10" s="123"/>
      <c r="V10" s="124"/>
      <c r="W10" s="124"/>
      <c r="X10" s="124"/>
      <c r="Y10" s="124"/>
      <c r="Z10" s="124"/>
      <c r="AA10" s="124"/>
      <c r="AB10" s="123"/>
      <c r="AC10" s="124"/>
      <c r="AD10" s="124"/>
      <c r="AE10" s="124"/>
      <c r="AF10" s="124"/>
      <c r="AG10" s="124"/>
      <c r="AH10" s="124"/>
      <c r="AI10" s="123"/>
      <c r="AJ10" s="124"/>
      <c r="AK10" s="124"/>
      <c r="AL10" s="124"/>
      <c r="AM10" s="124"/>
      <c r="AN10" s="124"/>
      <c r="AO10" s="124"/>
      <c r="AP10" s="123"/>
      <c r="AQ10" s="124"/>
      <c r="AR10" s="124"/>
      <c r="AS10" s="124"/>
      <c r="AT10" s="124"/>
      <c r="AU10" s="124"/>
      <c r="AV10" s="51"/>
      <c r="AW10" t="s">
        <v>479</v>
      </c>
    </row>
    <row r="11" spans="1:57" x14ac:dyDescent="0.3">
      <c r="A11" s="936"/>
      <c r="B11" s="693" t="s">
        <v>267</v>
      </c>
      <c r="C11" s="131"/>
      <c r="D11" s="126"/>
      <c r="E11" s="126"/>
      <c r="F11" s="132"/>
      <c r="G11" s="131"/>
      <c r="H11" s="126"/>
      <c r="I11" s="126"/>
      <c r="J11" s="126"/>
      <c r="K11" s="126"/>
      <c r="L11" s="128">
        <f t="shared" ref="L11:AV11" si="2">MIN(L3:L10)</f>
        <v>1611.0471806674338</v>
      </c>
      <c r="M11" s="126"/>
      <c r="N11" s="127">
        <f t="shared" si="2"/>
        <v>3.1202917366227195E-2</v>
      </c>
      <c r="O11" s="128">
        <f t="shared" si="2"/>
        <v>2.5</v>
      </c>
      <c r="P11" s="128">
        <f t="shared" si="2"/>
        <v>0.2</v>
      </c>
      <c r="Q11" s="128">
        <f t="shared" si="2"/>
        <v>1.5</v>
      </c>
      <c r="R11" s="126">
        <f t="shared" si="2"/>
        <v>1.35</v>
      </c>
      <c r="S11" s="128">
        <f t="shared" si="2"/>
        <v>0.22129768965212004</v>
      </c>
      <c r="T11" s="128">
        <f t="shared" si="2"/>
        <v>0.89999999999999969</v>
      </c>
      <c r="U11" s="131">
        <f t="shared" si="2"/>
        <v>0</v>
      </c>
      <c r="V11" s="126">
        <f t="shared" si="2"/>
        <v>0</v>
      </c>
      <c r="W11" s="126">
        <f t="shared" si="2"/>
        <v>0</v>
      </c>
      <c r="X11" s="126">
        <f t="shared" si="2"/>
        <v>0</v>
      </c>
      <c r="Y11" s="126">
        <f t="shared" si="2"/>
        <v>0</v>
      </c>
      <c r="Z11" s="126">
        <f t="shared" si="2"/>
        <v>0</v>
      </c>
      <c r="AA11" s="126">
        <f t="shared" si="2"/>
        <v>0</v>
      </c>
      <c r="AB11" s="131">
        <f t="shared" si="2"/>
        <v>0</v>
      </c>
      <c r="AC11" s="126">
        <f t="shared" si="2"/>
        <v>0</v>
      </c>
      <c r="AD11" s="126">
        <f t="shared" si="2"/>
        <v>0</v>
      </c>
      <c r="AE11" s="126">
        <f t="shared" si="2"/>
        <v>0</v>
      </c>
      <c r="AF11" s="126">
        <f t="shared" si="2"/>
        <v>0</v>
      </c>
      <c r="AG11" s="126">
        <f t="shared" si="2"/>
        <v>0</v>
      </c>
      <c r="AH11" s="126">
        <f t="shared" si="2"/>
        <v>0</v>
      </c>
      <c r="AI11" s="131"/>
      <c r="AJ11" s="126"/>
      <c r="AK11" s="126"/>
      <c r="AL11" s="126"/>
      <c r="AM11" s="126"/>
      <c r="AN11" s="126"/>
      <c r="AO11" s="126"/>
      <c r="AP11" s="131">
        <f t="shared" si="2"/>
        <v>100</v>
      </c>
      <c r="AQ11" s="126">
        <f t="shared" si="2"/>
        <v>100</v>
      </c>
      <c r="AR11" s="126">
        <f t="shared" si="2"/>
        <v>100</v>
      </c>
      <c r="AS11" s="126">
        <f t="shared" si="2"/>
        <v>100</v>
      </c>
      <c r="AT11" s="126">
        <f t="shared" si="2"/>
        <v>100</v>
      </c>
      <c r="AU11" s="126">
        <f t="shared" si="2"/>
        <v>20</v>
      </c>
      <c r="AV11" s="132">
        <f t="shared" si="2"/>
        <v>100</v>
      </c>
      <c r="AW11" s="104"/>
    </row>
    <row r="12" spans="1:57" x14ac:dyDescent="0.3">
      <c r="A12" s="936"/>
      <c r="B12" s="694" t="s">
        <v>268</v>
      </c>
      <c r="C12" s="139"/>
      <c r="D12" s="134"/>
      <c r="E12" s="134"/>
      <c r="F12" s="140"/>
      <c r="G12" s="139"/>
      <c r="H12" s="134"/>
      <c r="I12" s="134"/>
      <c r="J12" s="134"/>
      <c r="K12" s="134"/>
      <c r="L12" s="136">
        <f t="shared" ref="L12:AV12" si="3">AVERAGE(L3:L10)</f>
        <v>1611.0471806674338</v>
      </c>
      <c r="M12" s="134"/>
      <c r="N12" s="135">
        <f t="shared" si="3"/>
        <v>0.77619269282978021</v>
      </c>
      <c r="O12" s="136">
        <f t="shared" si="3"/>
        <v>2.5</v>
      </c>
      <c r="P12" s="136">
        <f t="shared" si="3"/>
        <v>0.92500000000000004</v>
      </c>
      <c r="Q12" s="136">
        <f t="shared" si="3"/>
        <v>1.5</v>
      </c>
      <c r="R12" s="136">
        <f t="shared" si="3"/>
        <v>1.35</v>
      </c>
      <c r="S12" s="136">
        <f t="shared" si="3"/>
        <v>0.71064884482605994</v>
      </c>
      <c r="T12" s="136">
        <f t="shared" si="3"/>
        <v>0.89999999999999969</v>
      </c>
      <c r="U12" s="139">
        <f t="shared" si="3"/>
        <v>0</v>
      </c>
      <c r="V12" s="134">
        <f t="shared" si="3"/>
        <v>0</v>
      </c>
      <c r="W12" s="136">
        <f t="shared" si="3"/>
        <v>8.5000000000000006E-3</v>
      </c>
      <c r="X12" s="134">
        <f t="shared" si="3"/>
        <v>0</v>
      </c>
      <c r="Y12" s="134">
        <f t="shared" si="3"/>
        <v>0</v>
      </c>
      <c r="Z12" s="136">
        <f t="shared" si="3"/>
        <v>32.309462689209525</v>
      </c>
      <c r="AA12" s="134">
        <f t="shared" si="3"/>
        <v>0</v>
      </c>
      <c r="AB12" s="139">
        <f t="shared" si="3"/>
        <v>0</v>
      </c>
      <c r="AC12" s="134">
        <f t="shared" si="3"/>
        <v>0</v>
      </c>
      <c r="AD12" s="134">
        <f t="shared" si="3"/>
        <v>0</v>
      </c>
      <c r="AE12" s="134">
        <f t="shared" si="3"/>
        <v>0</v>
      </c>
      <c r="AF12" s="134">
        <f t="shared" si="3"/>
        <v>0</v>
      </c>
      <c r="AG12" s="134">
        <f t="shared" si="3"/>
        <v>0</v>
      </c>
      <c r="AH12" s="134">
        <f t="shared" si="3"/>
        <v>0</v>
      </c>
      <c r="AI12" s="139"/>
      <c r="AJ12" s="134"/>
      <c r="AK12" s="134"/>
      <c r="AL12" s="134"/>
      <c r="AM12" s="134"/>
      <c r="AN12" s="134"/>
      <c r="AO12" s="134"/>
      <c r="AP12" s="139">
        <f t="shared" si="3"/>
        <v>100</v>
      </c>
      <c r="AQ12" s="134">
        <f t="shared" si="3"/>
        <v>100</v>
      </c>
      <c r="AR12" s="134">
        <f t="shared" si="3"/>
        <v>100</v>
      </c>
      <c r="AS12" s="134">
        <f t="shared" si="3"/>
        <v>100</v>
      </c>
      <c r="AT12" s="134">
        <f t="shared" si="3"/>
        <v>100</v>
      </c>
      <c r="AU12" s="134">
        <f t="shared" si="3"/>
        <v>60</v>
      </c>
      <c r="AV12" s="140">
        <f t="shared" si="3"/>
        <v>100</v>
      </c>
      <c r="AW12" s="104"/>
    </row>
    <row r="13" spans="1:57" x14ac:dyDescent="0.3">
      <c r="A13" s="936"/>
      <c r="B13" s="695" t="s">
        <v>269</v>
      </c>
      <c r="C13" s="145"/>
      <c r="D13" s="142"/>
      <c r="E13" s="142"/>
      <c r="F13" s="146"/>
      <c r="G13" s="145"/>
      <c r="H13" s="142"/>
      <c r="I13" s="142"/>
      <c r="J13" s="142"/>
      <c r="K13" s="142"/>
      <c r="L13" s="143">
        <f t="shared" ref="L13:AV13" si="4">MAX(L3:L10)</f>
        <v>1611.0471806674338</v>
      </c>
      <c r="M13" s="142"/>
      <c r="N13" s="591">
        <f t="shared" si="4"/>
        <v>3</v>
      </c>
      <c r="O13" s="143">
        <f t="shared" si="4"/>
        <v>2.5</v>
      </c>
      <c r="P13" s="143">
        <f t="shared" si="4"/>
        <v>2</v>
      </c>
      <c r="Q13" s="143">
        <f t="shared" si="4"/>
        <v>1.5</v>
      </c>
      <c r="R13" s="143">
        <f t="shared" si="4"/>
        <v>1.35</v>
      </c>
      <c r="S13" s="143">
        <f t="shared" si="4"/>
        <v>1.2</v>
      </c>
      <c r="T13" s="143">
        <f t="shared" si="4"/>
        <v>0.89999999999999969</v>
      </c>
      <c r="U13" s="145">
        <f t="shared" si="4"/>
        <v>0</v>
      </c>
      <c r="V13" s="142">
        <f t="shared" si="4"/>
        <v>0</v>
      </c>
      <c r="W13" s="142">
        <f t="shared" si="4"/>
        <v>0.02</v>
      </c>
      <c r="X13" s="142">
        <f t="shared" si="4"/>
        <v>0</v>
      </c>
      <c r="Y13" s="142">
        <f t="shared" si="4"/>
        <v>0</v>
      </c>
      <c r="Z13" s="143">
        <f t="shared" si="4"/>
        <v>64.61892537841905</v>
      </c>
      <c r="AA13" s="142">
        <f t="shared" si="4"/>
        <v>0</v>
      </c>
      <c r="AB13" s="145">
        <f t="shared" si="4"/>
        <v>0</v>
      </c>
      <c r="AC13" s="142">
        <f t="shared" si="4"/>
        <v>0</v>
      </c>
      <c r="AD13" s="142">
        <f t="shared" si="4"/>
        <v>0</v>
      </c>
      <c r="AE13" s="142">
        <f t="shared" si="4"/>
        <v>0</v>
      </c>
      <c r="AF13" s="142">
        <f t="shared" si="4"/>
        <v>0</v>
      </c>
      <c r="AG13" s="142">
        <f t="shared" si="4"/>
        <v>0</v>
      </c>
      <c r="AH13" s="142">
        <f t="shared" si="4"/>
        <v>0</v>
      </c>
      <c r="AI13" s="145"/>
      <c r="AJ13" s="142"/>
      <c r="AK13" s="142"/>
      <c r="AL13" s="142"/>
      <c r="AM13" s="142"/>
      <c r="AN13" s="142"/>
      <c r="AO13" s="142"/>
      <c r="AP13" s="145">
        <f t="shared" si="4"/>
        <v>100</v>
      </c>
      <c r="AQ13" s="142">
        <f t="shared" si="4"/>
        <v>100</v>
      </c>
      <c r="AR13" s="142">
        <f t="shared" si="4"/>
        <v>100</v>
      </c>
      <c r="AS13" s="142">
        <f t="shared" si="4"/>
        <v>100</v>
      </c>
      <c r="AT13" s="142">
        <f t="shared" si="4"/>
        <v>100</v>
      </c>
      <c r="AU13" s="142">
        <f t="shared" si="4"/>
        <v>100</v>
      </c>
      <c r="AV13" s="146">
        <f t="shared" si="4"/>
        <v>100</v>
      </c>
      <c r="AW13" s="104"/>
    </row>
    <row r="14" spans="1:57" ht="15" customHeight="1" x14ac:dyDescent="0.3">
      <c r="A14" s="936"/>
      <c r="B14" s="943" t="s">
        <v>480</v>
      </c>
      <c r="C14" s="737">
        <v>2</v>
      </c>
      <c r="D14" s="623" t="s">
        <v>23</v>
      </c>
      <c r="E14" s="623">
        <v>2019</v>
      </c>
      <c r="F14" s="280" t="s">
        <v>19</v>
      </c>
      <c r="G14" s="278"/>
      <c r="H14" s="279"/>
      <c r="I14" s="279"/>
      <c r="J14" s="279"/>
      <c r="K14" s="279"/>
      <c r="L14" s="281">
        <f>95/1.1297</f>
        <v>84.093122067805623</v>
      </c>
      <c r="M14" s="279"/>
      <c r="N14" s="508"/>
      <c r="O14" s="281"/>
      <c r="P14" s="281"/>
      <c r="Q14" s="281"/>
      <c r="R14" s="279"/>
      <c r="S14" s="281">
        <f>110/1.1297</f>
        <v>97.370983446932826</v>
      </c>
      <c r="T14" s="279"/>
      <c r="U14" s="278"/>
      <c r="V14" s="279"/>
      <c r="W14" s="279"/>
      <c r="X14" s="279"/>
      <c r="Y14" s="279"/>
      <c r="Z14" s="281">
        <f>10/1.1297</f>
        <v>8.8519075860848027</v>
      </c>
      <c r="AA14" s="279"/>
      <c r="AB14" s="278"/>
      <c r="AC14" s="279"/>
      <c r="AD14" s="279"/>
      <c r="AE14" s="279"/>
      <c r="AF14" s="279"/>
      <c r="AG14" s="281">
        <f>3/1.1297</f>
        <v>2.6555722758254405</v>
      </c>
      <c r="AH14" s="279"/>
      <c r="AI14" s="278"/>
      <c r="AJ14" s="279"/>
      <c r="AK14" s="279"/>
      <c r="AL14" s="279"/>
      <c r="AM14" s="279"/>
      <c r="AN14" s="279">
        <v>86</v>
      </c>
      <c r="AO14" s="279"/>
      <c r="AP14" s="278"/>
      <c r="AQ14" s="279"/>
      <c r="AR14" s="279"/>
      <c r="AS14" s="279"/>
      <c r="AT14" s="279"/>
      <c r="AU14" s="279">
        <v>13</v>
      </c>
      <c r="AV14" s="7"/>
      <c r="AW14" s="104"/>
    </row>
    <row r="15" spans="1:57" x14ac:dyDescent="0.3">
      <c r="A15" s="936"/>
      <c r="B15" s="944"/>
      <c r="C15" s="738">
        <v>4</v>
      </c>
      <c r="D15" s="626" t="s">
        <v>31</v>
      </c>
      <c r="E15" s="626">
        <v>2022</v>
      </c>
      <c r="F15" s="291" t="s">
        <v>19</v>
      </c>
      <c r="G15" s="289"/>
      <c r="H15" s="290"/>
      <c r="I15" s="290"/>
      <c r="J15" s="290"/>
      <c r="K15" s="290"/>
      <c r="L15" s="282"/>
      <c r="M15" s="290"/>
      <c r="N15" s="510">
        <f>232</f>
        <v>232</v>
      </c>
      <c r="O15" s="282">
        <v>187</v>
      </c>
      <c r="P15" s="282">
        <v>142</v>
      </c>
      <c r="Q15" s="282">
        <v>94</v>
      </c>
      <c r="R15" s="282">
        <v>84.5</v>
      </c>
      <c r="S15" s="282">
        <v>75</v>
      </c>
      <c r="T15" s="107">
        <f>R15+((S15-R15)/(2050-2045))*(2060-2045)</f>
        <v>56</v>
      </c>
      <c r="U15" s="733">
        <f t="shared" ref="U15:U22" si="5">N15*0.02</f>
        <v>4.6399999999999997</v>
      </c>
      <c r="V15" s="297">
        <f t="shared" ref="V15:AA22" si="6">O15*0.02</f>
        <v>3.74</v>
      </c>
      <c r="W15" s="297">
        <f t="shared" si="6"/>
        <v>2.84</v>
      </c>
      <c r="X15" s="297">
        <f t="shared" si="6"/>
        <v>1.8800000000000001</v>
      </c>
      <c r="Y15" s="297">
        <f t="shared" si="6"/>
        <v>1.69</v>
      </c>
      <c r="Z15" s="107">
        <f t="shared" si="6"/>
        <v>1.5</v>
      </c>
      <c r="AA15" s="297">
        <f t="shared" si="6"/>
        <v>1.1200000000000001</v>
      </c>
      <c r="AB15" s="289"/>
      <c r="AC15" s="290"/>
      <c r="AD15" s="290"/>
      <c r="AE15" s="290"/>
      <c r="AF15" s="290"/>
      <c r="AG15" s="282"/>
      <c r="AH15" s="290"/>
      <c r="AI15" s="289"/>
      <c r="AJ15" s="290"/>
      <c r="AK15" s="290"/>
      <c r="AL15" s="290"/>
      <c r="AM15" s="290"/>
      <c r="AN15" s="290"/>
      <c r="AO15" s="290"/>
      <c r="AP15" s="289">
        <v>20</v>
      </c>
      <c r="AQ15" s="290">
        <v>22.5</v>
      </c>
      <c r="AR15" s="290">
        <v>25</v>
      </c>
      <c r="AS15" s="290">
        <v>30</v>
      </c>
      <c r="AT15" s="290">
        <v>30</v>
      </c>
      <c r="AU15" s="290">
        <v>30</v>
      </c>
      <c r="AV15" s="118">
        <f>AT15+((AU15-AT15)/(2050-2045))*(2060-2045)</f>
        <v>30</v>
      </c>
      <c r="AW15" s="104"/>
    </row>
    <row r="16" spans="1:57" x14ac:dyDescent="0.3">
      <c r="A16" s="936"/>
      <c r="B16" s="944"/>
      <c r="C16" s="738">
        <v>8</v>
      </c>
      <c r="D16" s="627" t="s">
        <v>45</v>
      </c>
      <c r="E16" s="626">
        <v>2021</v>
      </c>
      <c r="F16" s="291" t="s">
        <v>19</v>
      </c>
      <c r="G16" s="289"/>
      <c r="H16" s="290"/>
      <c r="I16" s="290"/>
      <c r="J16" s="290"/>
      <c r="K16" s="290"/>
      <c r="L16" s="282"/>
      <c r="M16" s="290"/>
      <c r="N16" s="510">
        <v>500</v>
      </c>
      <c r="O16" s="107">
        <f t="shared" ref="O16:O22" si="7">N16+((P16-N16)/(2030-2020))*(2025-2020)</f>
        <v>400</v>
      </c>
      <c r="P16" s="282">
        <v>300</v>
      </c>
      <c r="Q16" s="282">
        <v>150</v>
      </c>
      <c r="R16" s="107">
        <v>75</v>
      </c>
      <c r="S16" s="107">
        <v>75</v>
      </c>
      <c r="T16" s="107">
        <v>75</v>
      </c>
      <c r="U16" s="733">
        <f t="shared" si="5"/>
        <v>10</v>
      </c>
      <c r="V16" s="297">
        <f t="shared" si="6"/>
        <v>8</v>
      </c>
      <c r="W16" s="297">
        <f t="shared" ref="W16:W22" si="8">P16*0.02</f>
        <v>6</v>
      </c>
      <c r="X16" s="297">
        <f t="shared" ref="X16:X22" si="9">Q16*0.02</f>
        <v>3</v>
      </c>
      <c r="Y16" s="297">
        <f t="shared" ref="Y16:Y17" si="10">R16*0.02</f>
        <v>1.5</v>
      </c>
      <c r="Z16" s="107">
        <f t="shared" ref="Z16:Z22" si="11">S16*0.02</f>
        <v>1.5</v>
      </c>
      <c r="AA16" s="297">
        <f t="shared" ref="AA16:AA17" si="12">T16*0.02</f>
        <v>1.5</v>
      </c>
      <c r="AB16" s="289"/>
      <c r="AC16" s="290"/>
      <c r="AD16" s="290"/>
      <c r="AE16" s="290"/>
      <c r="AF16" s="290"/>
      <c r="AG16" s="282"/>
      <c r="AH16" s="290"/>
      <c r="AI16" s="289">
        <v>90</v>
      </c>
      <c r="AJ16" s="290"/>
      <c r="AK16" s="290"/>
      <c r="AL16" s="290"/>
      <c r="AM16" s="290"/>
      <c r="AN16" s="290"/>
      <c r="AO16" s="290"/>
      <c r="AP16" s="289">
        <v>15</v>
      </c>
      <c r="AQ16" s="290"/>
      <c r="AR16" s="290"/>
      <c r="AS16" s="290"/>
      <c r="AT16" s="290"/>
      <c r="AU16" s="290"/>
      <c r="AV16" s="11"/>
      <c r="AW16" s="104" t="s">
        <v>481</v>
      </c>
    </row>
    <row r="17" spans="1:49" x14ac:dyDescent="0.3">
      <c r="A17" s="936"/>
      <c r="B17" s="944"/>
      <c r="C17" s="738">
        <v>8</v>
      </c>
      <c r="D17" s="627" t="s">
        <v>45</v>
      </c>
      <c r="E17" s="626">
        <v>2021</v>
      </c>
      <c r="F17" s="291" t="s">
        <v>19</v>
      </c>
      <c r="G17" s="289"/>
      <c r="H17" s="290"/>
      <c r="I17" s="290"/>
      <c r="J17" s="290"/>
      <c r="K17" s="290"/>
      <c r="L17" s="282"/>
      <c r="M17" s="290"/>
      <c r="N17" s="510">
        <v>700</v>
      </c>
      <c r="O17" s="107">
        <f t="shared" si="7"/>
        <v>615</v>
      </c>
      <c r="P17" s="282">
        <v>530</v>
      </c>
      <c r="Q17" s="282">
        <v>420</v>
      </c>
      <c r="R17" s="107">
        <f t="shared" ref="R17:R23" si="13">Q17+((S17-Q17)/(2050-2040))*(2045-2040)</f>
        <v>365</v>
      </c>
      <c r="S17" s="107">
        <v>310</v>
      </c>
      <c r="T17" s="107">
        <f t="shared" ref="T17:T22" si="14">R17+((S17-R17)/(2050-2045))*(2060-2045)</f>
        <v>200</v>
      </c>
      <c r="U17" s="733">
        <f t="shared" si="5"/>
        <v>14</v>
      </c>
      <c r="V17" s="297">
        <f t="shared" si="6"/>
        <v>12.3</v>
      </c>
      <c r="W17" s="297">
        <f t="shared" si="8"/>
        <v>10.6</v>
      </c>
      <c r="X17" s="297">
        <f t="shared" si="9"/>
        <v>8.4</v>
      </c>
      <c r="Y17" s="297">
        <f t="shared" si="10"/>
        <v>7.3</v>
      </c>
      <c r="Z17" s="107">
        <f t="shared" si="11"/>
        <v>6.2</v>
      </c>
      <c r="AA17" s="297">
        <f t="shared" si="12"/>
        <v>4</v>
      </c>
      <c r="AB17" s="289"/>
      <c r="AC17" s="290"/>
      <c r="AD17" s="290"/>
      <c r="AE17" s="290"/>
      <c r="AF17" s="290"/>
      <c r="AG17" s="282"/>
      <c r="AH17" s="290"/>
      <c r="AI17" s="289">
        <v>90</v>
      </c>
      <c r="AJ17" s="290"/>
      <c r="AK17" s="290"/>
      <c r="AL17" s="290"/>
      <c r="AM17" s="290"/>
      <c r="AN17" s="290"/>
      <c r="AO17" s="290"/>
      <c r="AP17" s="289">
        <v>15</v>
      </c>
      <c r="AQ17" s="290"/>
      <c r="AR17" s="290"/>
      <c r="AS17" s="290"/>
      <c r="AT17" s="290"/>
      <c r="AU17" s="290"/>
      <c r="AV17" s="11"/>
      <c r="AW17" s="104" t="s">
        <v>482</v>
      </c>
    </row>
    <row r="18" spans="1:49" x14ac:dyDescent="0.3">
      <c r="A18" s="936"/>
      <c r="B18" s="944"/>
      <c r="C18" s="738">
        <v>7</v>
      </c>
      <c r="D18" s="627" t="s">
        <v>42</v>
      </c>
      <c r="E18" s="626">
        <v>2020</v>
      </c>
      <c r="F18" s="291" t="s">
        <v>19</v>
      </c>
      <c r="G18" s="289"/>
      <c r="H18" s="290"/>
      <c r="I18" s="290"/>
      <c r="J18" s="290"/>
      <c r="K18" s="290"/>
      <c r="L18" s="282"/>
      <c r="M18" s="290"/>
      <c r="N18" s="510">
        <v>350</v>
      </c>
      <c r="O18" s="107">
        <f t="shared" si="7"/>
        <v>325</v>
      </c>
      <c r="P18" s="282">
        <v>300</v>
      </c>
      <c r="Q18" s="282">
        <v>250</v>
      </c>
      <c r="R18" s="107">
        <f t="shared" si="13"/>
        <v>225</v>
      </c>
      <c r="S18" s="282">
        <v>200</v>
      </c>
      <c r="T18" s="107">
        <f t="shared" si="14"/>
        <v>150</v>
      </c>
      <c r="U18" s="289">
        <v>0</v>
      </c>
      <c r="V18" s="297">
        <v>0</v>
      </c>
      <c r="W18" s="290">
        <v>0</v>
      </c>
      <c r="X18" s="290">
        <v>0</v>
      </c>
      <c r="Y18" s="378">
        <f>X18+((Z18-X18)/(2050-2040))*(2045-2040)</f>
        <v>0</v>
      </c>
      <c r="Z18" s="288">
        <v>0</v>
      </c>
      <c r="AA18" s="378">
        <f>Y18+((Z18-Y18)/(2050-2045))*(2060-2045)</f>
        <v>0</v>
      </c>
      <c r="AB18" s="289"/>
      <c r="AC18" s="290"/>
      <c r="AD18" s="290"/>
      <c r="AE18" s="290"/>
      <c r="AF18" s="290"/>
      <c r="AG18" s="282"/>
      <c r="AH18" s="290"/>
      <c r="AI18" s="289"/>
      <c r="AJ18" s="290"/>
      <c r="AK18" s="290"/>
      <c r="AL18" s="290"/>
      <c r="AM18" s="290"/>
      <c r="AN18" s="290"/>
      <c r="AO18" s="290"/>
      <c r="AP18" s="289"/>
      <c r="AQ18" s="290"/>
      <c r="AR18" s="290"/>
      <c r="AS18" s="290"/>
      <c r="AT18" s="290"/>
      <c r="AU18" s="290"/>
      <c r="AV18" s="11"/>
      <c r="AW18" s="104"/>
    </row>
    <row r="19" spans="1:49" x14ac:dyDescent="0.3">
      <c r="A19" s="936"/>
      <c r="B19" s="944"/>
      <c r="C19" s="738">
        <v>6</v>
      </c>
      <c r="D19" s="627" t="s">
        <v>39</v>
      </c>
      <c r="E19" s="626">
        <v>2020</v>
      </c>
      <c r="F19" s="291" t="s">
        <v>19</v>
      </c>
      <c r="G19" s="289"/>
      <c r="H19" s="290"/>
      <c r="I19" s="290"/>
      <c r="J19" s="290"/>
      <c r="K19" s="290"/>
      <c r="L19" s="282"/>
      <c r="M19" s="290"/>
      <c r="N19" s="510">
        <f t="shared" ref="N19:N22" si="15">(310)/1.1422</f>
        <v>271.40605848362804</v>
      </c>
      <c r="O19" s="107">
        <f t="shared" si="7"/>
        <v>214.49833654351249</v>
      </c>
      <c r="P19" s="282">
        <f>(180)/1.1422</f>
        <v>157.59061460339694</v>
      </c>
      <c r="Q19" s="107">
        <f t="shared" ref="Q19:Q22" si="16">P19+((S19-P19)/(2050-2030))*(2040-2030)</f>
        <v>135.70302924181402</v>
      </c>
      <c r="R19" s="107">
        <f t="shared" si="13"/>
        <v>124.75923656102258</v>
      </c>
      <c r="S19" s="282">
        <f>(130)/1.1422</f>
        <v>113.81544388023113</v>
      </c>
      <c r="T19" s="107">
        <f t="shared" si="14"/>
        <v>91.927858518648236</v>
      </c>
      <c r="U19" s="106">
        <f t="shared" si="5"/>
        <v>5.4281211696725613</v>
      </c>
      <c r="V19" s="107">
        <f t="shared" si="6"/>
        <v>4.2899667308702503</v>
      </c>
      <c r="W19" s="107">
        <f t="shared" si="8"/>
        <v>3.1518122920679388</v>
      </c>
      <c r="X19" s="107">
        <f t="shared" si="9"/>
        <v>2.7140605848362807</v>
      </c>
      <c r="Y19" s="107">
        <f t="shared" ref="Y19:Y22" si="17">R19*0.02</f>
        <v>2.4951847312204514</v>
      </c>
      <c r="Z19" s="107">
        <f t="shared" si="11"/>
        <v>2.2763088776046225</v>
      </c>
      <c r="AA19" s="107">
        <f t="shared" ref="AA19:AA22" si="18">T19*0.02</f>
        <v>1.8385571703729648</v>
      </c>
      <c r="AB19" s="289"/>
      <c r="AC19" s="290"/>
      <c r="AD19" s="290"/>
      <c r="AE19" s="290"/>
      <c r="AF19" s="290"/>
      <c r="AG19" s="282"/>
      <c r="AH19" s="290"/>
      <c r="AI19" s="289"/>
      <c r="AJ19" s="290"/>
      <c r="AK19" s="290"/>
      <c r="AL19" s="290"/>
      <c r="AM19" s="290"/>
      <c r="AN19" s="290"/>
      <c r="AO19" s="290"/>
      <c r="AP19" s="289"/>
      <c r="AQ19" s="290"/>
      <c r="AR19" s="290"/>
      <c r="AS19" s="290"/>
      <c r="AT19" s="290"/>
      <c r="AU19" s="290"/>
      <c r="AV19" s="11"/>
      <c r="AW19" t="s">
        <v>483</v>
      </c>
    </row>
    <row r="20" spans="1:49" x14ac:dyDescent="0.3">
      <c r="A20" s="936"/>
      <c r="B20" s="944"/>
      <c r="C20" s="738">
        <v>6</v>
      </c>
      <c r="D20" s="627" t="s">
        <v>39</v>
      </c>
      <c r="E20" s="626">
        <v>2020</v>
      </c>
      <c r="F20" s="291" t="s">
        <v>19</v>
      </c>
      <c r="G20" s="289"/>
      <c r="H20" s="290"/>
      <c r="I20" s="290"/>
      <c r="J20" s="290"/>
      <c r="K20" s="290"/>
      <c r="L20" s="282"/>
      <c r="M20" s="290"/>
      <c r="N20" s="510">
        <f t="shared" si="15"/>
        <v>271.40605848362804</v>
      </c>
      <c r="O20" s="107">
        <f t="shared" si="7"/>
        <v>210.12081947119592</v>
      </c>
      <c r="P20" s="282">
        <f t="shared" ref="P20:P21" si="19">(170)/1.1422</f>
        <v>148.83558045876379</v>
      </c>
      <c r="Q20" s="107">
        <f t="shared" si="16"/>
        <v>126.94799509718086</v>
      </c>
      <c r="R20" s="107">
        <f t="shared" si="13"/>
        <v>116.0042024163894</v>
      </c>
      <c r="S20" s="282">
        <f>(120)/1.1422</f>
        <v>105.06040973559796</v>
      </c>
      <c r="T20" s="107">
        <f t="shared" si="14"/>
        <v>83.172824374015065</v>
      </c>
      <c r="U20" s="106">
        <f t="shared" si="5"/>
        <v>5.4281211696725613</v>
      </c>
      <c r="V20" s="107">
        <f t="shared" si="6"/>
        <v>4.2024163894239184</v>
      </c>
      <c r="W20" s="107">
        <f t="shared" si="8"/>
        <v>2.9767116091752759</v>
      </c>
      <c r="X20" s="107">
        <f t="shared" si="9"/>
        <v>2.5389599019436173</v>
      </c>
      <c r="Y20" s="107">
        <f t="shared" si="17"/>
        <v>2.320084048327788</v>
      </c>
      <c r="Z20" s="107">
        <f t="shared" si="11"/>
        <v>2.1012081947119592</v>
      </c>
      <c r="AA20" s="107">
        <f t="shared" si="18"/>
        <v>1.6634564874803013</v>
      </c>
      <c r="AB20" s="289"/>
      <c r="AC20" s="290"/>
      <c r="AD20" s="290"/>
      <c r="AE20" s="290"/>
      <c r="AF20" s="290"/>
      <c r="AG20" s="282"/>
      <c r="AH20" s="290"/>
      <c r="AI20" s="289"/>
      <c r="AJ20" s="290"/>
      <c r="AK20" s="290"/>
      <c r="AL20" s="290"/>
      <c r="AM20" s="290"/>
      <c r="AN20" s="290"/>
      <c r="AO20" s="290"/>
      <c r="AP20" s="289"/>
      <c r="AQ20" s="290"/>
      <c r="AR20" s="290"/>
      <c r="AS20" s="290"/>
      <c r="AT20" s="290"/>
      <c r="AU20" s="290"/>
      <c r="AV20" s="11"/>
      <c r="AW20" t="s">
        <v>484</v>
      </c>
    </row>
    <row r="21" spans="1:49" x14ac:dyDescent="0.3">
      <c r="A21" s="936"/>
      <c r="B21" s="944"/>
      <c r="C21" s="738">
        <v>6</v>
      </c>
      <c r="D21" s="627" t="s">
        <v>39</v>
      </c>
      <c r="E21" s="626">
        <v>2020</v>
      </c>
      <c r="F21" s="291" t="s">
        <v>19</v>
      </c>
      <c r="G21" s="289"/>
      <c r="H21" s="290"/>
      <c r="I21" s="290"/>
      <c r="J21" s="290"/>
      <c r="K21" s="290"/>
      <c r="L21" s="282"/>
      <c r="M21" s="290"/>
      <c r="N21" s="510">
        <f t="shared" si="15"/>
        <v>271.40605848362804</v>
      </c>
      <c r="O21" s="107">
        <f t="shared" si="7"/>
        <v>210.12081947119592</v>
      </c>
      <c r="P21" s="282">
        <f t="shared" si="19"/>
        <v>148.83558045876379</v>
      </c>
      <c r="Q21" s="107">
        <f t="shared" si="16"/>
        <v>124.75923656102259</v>
      </c>
      <c r="R21" s="107">
        <f t="shared" si="13"/>
        <v>112.72106461215199</v>
      </c>
      <c r="S21" s="282">
        <f>(115)/1.1422</f>
        <v>100.68289266328138</v>
      </c>
      <c r="T21" s="107">
        <f t="shared" si="14"/>
        <v>76.606548765540154</v>
      </c>
      <c r="U21" s="106">
        <f t="shared" si="5"/>
        <v>5.4281211696725613</v>
      </c>
      <c r="V21" s="107">
        <f t="shared" si="6"/>
        <v>4.2024163894239184</v>
      </c>
      <c r="W21" s="107">
        <f t="shared" si="8"/>
        <v>2.9767116091752759</v>
      </c>
      <c r="X21" s="107">
        <f t="shared" si="9"/>
        <v>2.4951847312204518</v>
      </c>
      <c r="Y21" s="107">
        <f t="shared" si="17"/>
        <v>2.2544212922430398</v>
      </c>
      <c r="Z21" s="107">
        <f t="shared" si="11"/>
        <v>2.0136578532656277</v>
      </c>
      <c r="AA21" s="107">
        <f t="shared" si="18"/>
        <v>1.5321309753108032</v>
      </c>
      <c r="AB21" s="289"/>
      <c r="AC21" s="290"/>
      <c r="AD21" s="290"/>
      <c r="AE21" s="290"/>
      <c r="AF21" s="290"/>
      <c r="AG21" s="282"/>
      <c r="AH21" s="290"/>
      <c r="AI21" s="289"/>
      <c r="AJ21" s="290"/>
      <c r="AK21" s="290"/>
      <c r="AL21" s="290"/>
      <c r="AM21" s="290"/>
      <c r="AN21" s="290"/>
      <c r="AO21" s="290"/>
      <c r="AP21" s="289"/>
      <c r="AQ21" s="290"/>
      <c r="AR21" s="290"/>
      <c r="AS21" s="290"/>
      <c r="AT21" s="290"/>
      <c r="AU21" s="290"/>
      <c r="AV21" s="11"/>
      <c r="AW21" t="s">
        <v>485</v>
      </c>
    </row>
    <row r="22" spans="1:49" x14ac:dyDescent="0.3">
      <c r="A22" s="936"/>
      <c r="B22" s="944"/>
      <c r="C22" s="738">
        <v>6</v>
      </c>
      <c r="D22" s="627" t="s">
        <v>39</v>
      </c>
      <c r="E22" s="626">
        <v>2020</v>
      </c>
      <c r="F22" s="291" t="s">
        <v>19</v>
      </c>
      <c r="G22" s="289"/>
      <c r="H22" s="290"/>
      <c r="I22" s="290"/>
      <c r="J22" s="290"/>
      <c r="K22" s="290"/>
      <c r="L22" s="282"/>
      <c r="M22" s="290"/>
      <c r="N22" s="510">
        <f t="shared" si="15"/>
        <v>271.40605848362804</v>
      </c>
      <c r="O22" s="107">
        <f t="shared" si="7"/>
        <v>186.04447557345472</v>
      </c>
      <c r="P22" s="282">
        <f>(115)/1.1422</f>
        <v>100.68289266328138</v>
      </c>
      <c r="Q22" s="107">
        <f t="shared" si="16"/>
        <v>98.49413412712309</v>
      </c>
      <c r="R22" s="107">
        <f t="shared" si="13"/>
        <v>97.399754859043952</v>
      </c>
      <c r="S22" s="282">
        <f>(110)/1.1422</f>
        <v>96.3053755909648</v>
      </c>
      <c r="T22" s="107">
        <f t="shared" si="14"/>
        <v>94.116617054806497</v>
      </c>
      <c r="U22" s="106">
        <f t="shared" si="5"/>
        <v>5.4281211696725613</v>
      </c>
      <c r="V22" s="107">
        <f t="shared" si="6"/>
        <v>3.7208895114690943</v>
      </c>
      <c r="W22" s="107">
        <f t="shared" si="8"/>
        <v>2.0136578532656277</v>
      </c>
      <c r="X22" s="107">
        <f t="shared" si="9"/>
        <v>1.9698826825424618</v>
      </c>
      <c r="Y22" s="107">
        <f t="shared" si="17"/>
        <v>1.947995097180879</v>
      </c>
      <c r="Z22" s="107">
        <f t="shared" si="11"/>
        <v>1.9261075118192961</v>
      </c>
      <c r="AA22" s="107">
        <f t="shared" si="18"/>
        <v>1.8823323410961299</v>
      </c>
      <c r="AB22" s="289"/>
      <c r="AC22" s="290"/>
      <c r="AD22" s="290"/>
      <c r="AE22" s="290"/>
      <c r="AF22" s="290"/>
      <c r="AG22" s="282"/>
      <c r="AH22" s="290"/>
      <c r="AI22" s="289"/>
      <c r="AJ22" s="290"/>
      <c r="AK22" s="290"/>
      <c r="AL22" s="290"/>
      <c r="AM22" s="290"/>
      <c r="AN22" s="290"/>
      <c r="AO22" s="290"/>
      <c r="AP22" s="289"/>
      <c r="AQ22" s="290"/>
      <c r="AR22" s="290"/>
      <c r="AS22" s="290"/>
      <c r="AT22" s="290"/>
      <c r="AU22" s="290"/>
      <c r="AV22" s="11"/>
      <c r="AW22" t="s">
        <v>486</v>
      </c>
    </row>
    <row r="23" spans="1:49" x14ac:dyDescent="0.3">
      <c r="A23" s="936"/>
      <c r="B23" s="945"/>
      <c r="C23" s="739">
        <v>5</v>
      </c>
      <c r="D23" s="752" t="s">
        <v>35</v>
      </c>
      <c r="E23" s="651">
        <v>2021</v>
      </c>
      <c r="F23" s="301" t="s">
        <v>19</v>
      </c>
      <c r="G23" s="299"/>
      <c r="H23" s="300"/>
      <c r="I23" s="300"/>
      <c r="J23" s="300"/>
      <c r="K23" s="300"/>
      <c r="L23" s="302"/>
      <c r="M23" s="300"/>
      <c r="N23" s="512">
        <v>350</v>
      </c>
      <c r="O23" s="302">
        <v>275</v>
      </c>
      <c r="P23" s="302">
        <v>225</v>
      </c>
      <c r="Q23" s="302">
        <v>125</v>
      </c>
      <c r="R23" s="122">
        <f t="shared" si="13"/>
        <v>102.5</v>
      </c>
      <c r="S23" s="302">
        <v>80</v>
      </c>
      <c r="T23" s="107">
        <v>80</v>
      </c>
      <c r="U23" s="299">
        <f>N23*0.04</f>
        <v>14</v>
      </c>
      <c r="V23" s="300">
        <f>O23*0.04</f>
        <v>11</v>
      </c>
      <c r="W23" s="300">
        <f>P23*0.04</f>
        <v>9</v>
      </c>
      <c r="X23" s="300">
        <f>Q23*0.04</f>
        <v>5</v>
      </c>
      <c r="Y23" s="377">
        <f>X23+((Z23-X23)/(2050-2040))*(2045-2040)</f>
        <v>4.0999999999999996</v>
      </c>
      <c r="Z23" s="302">
        <f>S23*0.04</f>
        <v>3.2</v>
      </c>
      <c r="AA23" s="378">
        <f>Z23+((AB23-Z23)/(2050-2040))*(2045-2040)</f>
        <v>1.6</v>
      </c>
      <c r="AB23" s="299"/>
      <c r="AC23" s="300"/>
      <c r="AD23" s="300"/>
      <c r="AE23" s="300"/>
      <c r="AF23" s="300"/>
      <c r="AG23" s="302"/>
      <c r="AH23" s="300"/>
      <c r="AI23" s="299"/>
      <c r="AJ23" s="300"/>
      <c r="AK23" s="300"/>
      <c r="AL23" s="300"/>
      <c r="AM23" s="300"/>
      <c r="AN23" s="300"/>
      <c r="AO23" s="300"/>
      <c r="AP23" s="299">
        <v>15</v>
      </c>
      <c r="AQ23" s="300">
        <v>15</v>
      </c>
      <c r="AR23" s="300">
        <v>15</v>
      </c>
      <c r="AS23" s="300">
        <v>20</v>
      </c>
      <c r="AT23" s="378">
        <f>AS23+((AU23-AS23)/(2050-2040))*(2045-2040)</f>
        <v>20</v>
      </c>
      <c r="AU23" s="300">
        <v>20</v>
      </c>
      <c r="AV23" s="118">
        <f>AT23+((AU23-AT23)/(2050-2045))*(2060-2045)</f>
        <v>20</v>
      </c>
    </row>
    <row r="24" spans="1:49" x14ac:dyDescent="0.3">
      <c r="A24" s="936"/>
      <c r="B24" s="753" t="s">
        <v>267</v>
      </c>
      <c r="C24" s="317"/>
      <c r="D24" s="318"/>
      <c r="E24" s="318"/>
      <c r="F24" s="321"/>
      <c r="G24" s="317"/>
      <c r="H24" s="318"/>
      <c r="I24" s="318"/>
      <c r="J24" s="318"/>
      <c r="K24" s="318"/>
      <c r="L24" s="313">
        <f t="shared" ref="L24:AV24" si="20">MIN(L14:L23)</f>
        <v>84.093122067805623</v>
      </c>
      <c r="M24" s="318"/>
      <c r="N24" s="312">
        <f t="shared" si="20"/>
        <v>232</v>
      </c>
      <c r="O24" s="313">
        <f t="shared" si="20"/>
        <v>186.04447557345472</v>
      </c>
      <c r="P24" s="313">
        <f t="shared" si="20"/>
        <v>100.68289266328138</v>
      </c>
      <c r="Q24" s="313">
        <f t="shared" si="20"/>
        <v>94</v>
      </c>
      <c r="R24" s="313">
        <f t="shared" si="20"/>
        <v>75</v>
      </c>
      <c r="S24" s="313">
        <f t="shared" si="20"/>
        <v>75</v>
      </c>
      <c r="T24" s="313">
        <f t="shared" si="20"/>
        <v>56</v>
      </c>
      <c r="U24" s="312">
        <f t="shared" si="20"/>
        <v>0</v>
      </c>
      <c r="V24" s="313">
        <f t="shared" si="20"/>
        <v>0</v>
      </c>
      <c r="W24" s="313">
        <f t="shared" si="20"/>
        <v>0</v>
      </c>
      <c r="X24" s="313">
        <f t="shared" si="20"/>
        <v>0</v>
      </c>
      <c r="Y24" s="313">
        <f t="shared" si="20"/>
        <v>0</v>
      </c>
      <c r="Z24" s="313">
        <f t="shared" si="20"/>
        <v>0</v>
      </c>
      <c r="AA24" s="313">
        <f t="shared" si="20"/>
        <v>0</v>
      </c>
      <c r="AB24" s="317"/>
      <c r="AC24" s="318"/>
      <c r="AD24" s="318"/>
      <c r="AE24" s="318"/>
      <c r="AF24" s="318"/>
      <c r="AG24" s="313">
        <f t="shared" si="20"/>
        <v>2.6555722758254405</v>
      </c>
      <c r="AH24" s="318"/>
      <c r="AI24" s="317">
        <f t="shared" si="20"/>
        <v>90</v>
      </c>
      <c r="AJ24" s="318"/>
      <c r="AK24" s="318"/>
      <c r="AL24" s="318"/>
      <c r="AM24" s="318"/>
      <c r="AN24" s="318">
        <f t="shared" si="20"/>
        <v>86</v>
      </c>
      <c r="AO24" s="318"/>
      <c r="AP24" s="317">
        <f t="shared" si="20"/>
        <v>15</v>
      </c>
      <c r="AQ24" s="318">
        <f t="shared" si="20"/>
        <v>15</v>
      </c>
      <c r="AR24" s="318">
        <f t="shared" si="20"/>
        <v>15</v>
      </c>
      <c r="AS24" s="318">
        <f t="shared" si="20"/>
        <v>20</v>
      </c>
      <c r="AT24" s="318">
        <f t="shared" si="20"/>
        <v>20</v>
      </c>
      <c r="AU24" s="318">
        <f t="shared" si="20"/>
        <v>13</v>
      </c>
      <c r="AV24" s="321">
        <f t="shared" si="20"/>
        <v>20</v>
      </c>
    </row>
    <row r="25" spans="1:49" x14ac:dyDescent="0.3">
      <c r="A25" s="936"/>
      <c r="B25" s="718" t="s">
        <v>268</v>
      </c>
      <c r="C25" s="328"/>
      <c r="D25" s="311"/>
      <c r="E25" s="311"/>
      <c r="F25" s="331"/>
      <c r="G25" s="328"/>
      <c r="H25" s="311"/>
      <c r="I25" s="311"/>
      <c r="J25" s="311"/>
      <c r="K25" s="311"/>
      <c r="L25" s="324">
        <f t="shared" ref="L25:AV25" si="21">AVERAGE(L14:L23)</f>
        <v>84.093122067805623</v>
      </c>
      <c r="M25" s="311"/>
      <c r="N25" s="323">
        <f t="shared" si="21"/>
        <v>357.51380377050128</v>
      </c>
      <c r="O25" s="324">
        <f t="shared" si="21"/>
        <v>291.42049456215102</v>
      </c>
      <c r="P25" s="324">
        <f t="shared" si="21"/>
        <v>228.10496313157844</v>
      </c>
      <c r="Q25" s="324">
        <f t="shared" si="21"/>
        <v>169.43382166968229</v>
      </c>
      <c r="R25" s="324">
        <f t="shared" si="21"/>
        <v>144.76491760540088</v>
      </c>
      <c r="S25" s="324">
        <f t="shared" si="21"/>
        <v>125.3235105317008</v>
      </c>
      <c r="T25" s="324">
        <f t="shared" si="21"/>
        <v>100.75820541255666</v>
      </c>
      <c r="U25" s="323">
        <f t="shared" si="21"/>
        <v>7.1502760754100292</v>
      </c>
      <c r="V25" s="324">
        <f t="shared" si="21"/>
        <v>5.7172987801319088</v>
      </c>
      <c r="W25" s="324">
        <f t="shared" si="21"/>
        <v>4.3954325959649019</v>
      </c>
      <c r="X25" s="324">
        <f t="shared" si="21"/>
        <v>3.110898655615868</v>
      </c>
      <c r="Y25" s="324">
        <f t="shared" si="21"/>
        <v>2.6230761298857956</v>
      </c>
      <c r="Z25" s="324">
        <f t="shared" si="21"/>
        <v>2.9569190023486307</v>
      </c>
      <c r="AA25" s="324">
        <f t="shared" si="21"/>
        <v>1.6818307749177999</v>
      </c>
      <c r="AB25" s="328"/>
      <c r="AC25" s="311"/>
      <c r="AD25" s="311"/>
      <c r="AE25" s="311"/>
      <c r="AF25" s="311"/>
      <c r="AG25" s="324">
        <f t="shared" si="21"/>
        <v>2.6555722758254405</v>
      </c>
      <c r="AH25" s="311"/>
      <c r="AI25" s="328">
        <f t="shared" si="21"/>
        <v>90</v>
      </c>
      <c r="AJ25" s="311"/>
      <c r="AK25" s="311"/>
      <c r="AL25" s="311"/>
      <c r="AM25" s="311"/>
      <c r="AN25" s="311">
        <f t="shared" si="21"/>
        <v>86</v>
      </c>
      <c r="AO25" s="311"/>
      <c r="AP25" s="328">
        <f t="shared" si="21"/>
        <v>16.25</v>
      </c>
      <c r="AQ25" s="311">
        <f t="shared" si="21"/>
        <v>18.75</v>
      </c>
      <c r="AR25" s="311">
        <f t="shared" si="21"/>
        <v>20</v>
      </c>
      <c r="AS25" s="311">
        <f t="shared" si="21"/>
        <v>25</v>
      </c>
      <c r="AT25" s="311">
        <f t="shared" si="21"/>
        <v>25</v>
      </c>
      <c r="AU25" s="311">
        <f t="shared" si="21"/>
        <v>21</v>
      </c>
      <c r="AV25" s="331">
        <f t="shared" si="21"/>
        <v>25</v>
      </c>
    </row>
    <row r="26" spans="1:49" x14ac:dyDescent="0.3">
      <c r="A26" s="936"/>
      <c r="B26" s="719" t="s">
        <v>269</v>
      </c>
      <c r="C26" s="339"/>
      <c r="D26" s="333"/>
      <c r="E26" s="333"/>
      <c r="F26" s="342"/>
      <c r="G26" s="339"/>
      <c r="H26" s="333"/>
      <c r="I26" s="333"/>
      <c r="J26" s="333"/>
      <c r="K26" s="333"/>
      <c r="L26" s="335">
        <f t="shared" ref="L26:AV26" si="22">MAX(L14:L23)</f>
        <v>84.093122067805623</v>
      </c>
      <c r="M26" s="333"/>
      <c r="N26" s="334">
        <f t="shared" si="22"/>
        <v>700</v>
      </c>
      <c r="O26" s="335">
        <f t="shared" si="22"/>
        <v>615</v>
      </c>
      <c r="P26" s="335">
        <f t="shared" si="22"/>
        <v>530</v>
      </c>
      <c r="Q26" s="335">
        <f t="shared" si="22"/>
        <v>420</v>
      </c>
      <c r="R26" s="335">
        <f t="shared" si="22"/>
        <v>365</v>
      </c>
      <c r="S26" s="335">
        <f t="shared" si="22"/>
        <v>310</v>
      </c>
      <c r="T26" s="335">
        <f t="shared" si="22"/>
        <v>200</v>
      </c>
      <c r="U26" s="334">
        <f t="shared" si="22"/>
        <v>14</v>
      </c>
      <c r="V26" s="335">
        <f t="shared" si="22"/>
        <v>12.3</v>
      </c>
      <c r="W26" s="335">
        <f t="shared" si="22"/>
        <v>10.6</v>
      </c>
      <c r="X26" s="335">
        <f t="shared" si="22"/>
        <v>8.4</v>
      </c>
      <c r="Y26" s="335">
        <f t="shared" si="22"/>
        <v>7.3</v>
      </c>
      <c r="Z26" s="335">
        <f t="shared" si="22"/>
        <v>8.8519075860848027</v>
      </c>
      <c r="AA26" s="335">
        <f t="shared" si="22"/>
        <v>4</v>
      </c>
      <c r="AB26" s="339"/>
      <c r="AC26" s="333"/>
      <c r="AD26" s="333"/>
      <c r="AE26" s="333"/>
      <c r="AF26" s="333"/>
      <c r="AG26" s="335">
        <f t="shared" si="22"/>
        <v>2.6555722758254405</v>
      </c>
      <c r="AH26" s="333"/>
      <c r="AI26" s="339">
        <f t="shared" si="22"/>
        <v>90</v>
      </c>
      <c r="AJ26" s="333"/>
      <c r="AK26" s="333"/>
      <c r="AL26" s="333"/>
      <c r="AM26" s="333"/>
      <c r="AN26" s="333">
        <f t="shared" si="22"/>
        <v>86</v>
      </c>
      <c r="AO26" s="333"/>
      <c r="AP26" s="339">
        <f t="shared" si="22"/>
        <v>20</v>
      </c>
      <c r="AQ26" s="333">
        <f t="shared" si="22"/>
        <v>22.5</v>
      </c>
      <c r="AR26" s="333">
        <f t="shared" si="22"/>
        <v>25</v>
      </c>
      <c r="AS26" s="333">
        <f t="shared" si="22"/>
        <v>30</v>
      </c>
      <c r="AT26" s="333">
        <f t="shared" si="22"/>
        <v>30</v>
      </c>
      <c r="AU26" s="333">
        <f t="shared" si="22"/>
        <v>30</v>
      </c>
      <c r="AV26" s="342">
        <f t="shared" si="22"/>
        <v>30</v>
      </c>
    </row>
    <row r="27" spans="1:49" x14ac:dyDescent="0.3">
      <c r="A27" s="936"/>
      <c r="B27" s="939" t="s">
        <v>487</v>
      </c>
      <c r="C27" s="744">
        <v>4</v>
      </c>
      <c r="D27" s="744" t="s">
        <v>31</v>
      </c>
      <c r="E27" s="744">
        <v>2022</v>
      </c>
      <c r="F27" s="710" t="s">
        <v>19</v>
      </c>
      <c r="G27" s="244">
        <v>19.41</v>
      </c>
      <c r="H27" s="245">
        <f>16.28</f>
        <v>16.28</v>
      </c>
      <c r="I27" s="245">
        <f>13.15</f>
        <v>13.15</v>
      </c>
      <c r="J27" s="245">
        <f>12.13</f>
        <v>12.13</v>
      </c>
      <c r="K27" s="245">
        <v>12.1</v>
      </c>
      <c r="L27" s="245">
        <f>12.06</f>
        <v>12.06</v>
      </c>
      <c r="M27" s="93">
        <f>K27+((L27-K27)/(2050-2045))*(2060-2045)</f>
        <v>11.980000000000002</v>
      </c>
      <c r="N27" s="754"/>
      <c r="O27" s="755"/>
      <c r="P27" s="755"/>
      <c r="Q27" s="755"/>
      <c r="R27" s="755"/>
      <c r="S27" s="755"/>
      <c r="T27" s="756"/>
      <c r="U27" s="244">
        <f>G27*0.01</f>
        <v>0.19409999999999999</v>
      </c>
      <c r="V27" s="245">
        <f>H27*0.0105</f>
        <v>0.17094000000000004</v>
      </c>
      <c r="W27" s="245">
        <f>I27*0.011</f>
        <v>0.14465</v>
      </c>
      <c r="X27" s="245">
        <f>J27*0.013</f>
        <v>0.15769</v>
      </c>
      <c r="Y27" s="245">
        <f>K27*0.0135</f>
        <v>0.16335</v>
      </c>
      <c r="Z27" s="245">
        <f>L27*0.014</f>
        <v>0.16884000000000002</v>
      </c>
      <c r="AA27" s="95">
        <f>Y27+((Z27-Y27)/(2050-2045))*(2060-2045)</f>
        <v>0.17982000000000006</v>
      </c>
      <c r="AB27" s="240"/>
      <c r="AC27" s="236"/>
      <c r="AD27" s="236"/>
      <c r="AE27" s="236"/>
      <c r="AF27" s="242"/>
      <c r="AG27" s="236"/>
      <c r="AH27" s="667"/>
      <c r="AI27" s="240"/>
      <c r="AJ27" s="236"/>
      <c r="AK27" s="236"/>
      <c r="AL27" s="236"/>
      <c r="AM27" s="242"/>
      <c r="AN27" s="236"/>
      <c r="AO27" s="667"/>
      <c r="AP27" s="240">
        <v>30</v>
      </c>
      <c r="AQ27" s="236">
        <v>30</v>
      </c>
      <c r="AR27" s="236">
        <v>30</v>
      </c>
      <c r="AS27" s="236">
        <v>30</v>
      </c>
      <c r="AT27" s="242">
        <v>30</v>
      </c>
      <c r="AU27" s="236">
        <v>30</v>
      </c>
      <c r="AV27" s="103">
        <f>AT27+((AU27-AT27)/(2050-2045))*(2060-2045)</f>
        <v>30</v>
      </c>
    </row>
    <row r="28" spans="1:49" x14ac:dyDescent="0.3">
      <c r="A28" s="936"/>
      <c r="B28" s="970"/>
      <c r="C28" s="744">
        <v>22</v>
      </c>
      <c r="D28" s="757" t="s">
        <v>86</v>
      </c>
      <c r="E28" s="744">
        <v>2016</v>
      </c>
      <c r="F28" s="710" t="s">
        <v>19</v>
      </c>
      <c r="G28" s="247"/>
      <c r="H28" s="243"/>
      <c r="I28" s="245"/>
      <c r="J28" s="245"/>
      <c r="K28" s="245"/>
      <c r="L28" s="245">
        <f>10.04/1.1069</f>
        <v>9.0703767277983545</v>
      </c>
      <c r="M28" s="245"/>
      <c r="N28" s="758"/>
      <c r="O28" s="759"/>
      <c r="P28" s="759"/>
      <c r="Q28" s="759"/>
      <c r="R28" s="759"/>
      <c r="S28" s="759"/>
      <c r="T28" s="760"/>
      <c r="U28" s="244"/>
      <c r="V28" s="245"/>
      <c r="W28" s="245"/>
      <c r="X28" s="245"/>
      <c r="Y28" s="245"/>
      <c r="Z28" s="107">
        <f t="shared" ref="Z28:Z29" si="23">L28*0.02</f>
        <v>0.18140753455596709</v>
      </c>
      <c r="AA28" s="246"/>
      <c r="AB28" s="247"/>
      <c r="AC28" s="243"/>
      <c r="AD28" s="243"/>
      <c r="AE28" s="243"/>
      <c r="AF28" s="245"/>
      <c r="AG28" s="243"/>
      <c r="AH28" s="246"/>
      <c r="AI28" s="247"/>
      <c r="AJ28" s="243"/>
      <c r="AK28" s="243"/>
      <c r="AL28" s="243"/>
      <c r="AM28" s="245"/>
      <c r="AN28" s="243"/>
      <c r="AO28" s="246"/>
      <c r="AP28" s="247"/>
      <c r="AQ28" s="243"/>
      <c r="AR28" s="243"/>
      <c r="AS28" s="243"/>
      <c r="AT28" s="245"/>
      <c r="AU28" s="243"/>
      <c r="AV28" s="246"/>
      <c r="AW28" s="104" t="s">
        <v>488</v>
      </c>
    </row>
    <row r="29" spans="1:49" x14ac:dyDescent="0.3">
      <c r="A29" s="936"/>
      <c r="B29" s="971"/>
      <c r="C29" s="761">
        <v>22</v>
      </c>
      <c r="D29" s="762" t="s">
        <v>86</v>
      </c>
      <c r="E29" s="761">
        <v>2016</v>
      </c>
      <c r="F29" s="711" t="s">
        <v>19</v>
      </c>
      <c r="G29" s="250"/>
      <c r="H29" s="248"/>
      <c r="I29" s="249"/>
      <c r="J29" s="249"/>
      <c r="K29" s="249"/>
      <c r="L29" s="249">
        <f>16.35/1.1069</f>
        <v>14.770982021862862</v>
      </c>
      <c r="M29" s="249"/>
      <c r="N29" s="763"/>
      <c r="O29" s="764"/>
      <c r="P29" s="764"/>
      <c r="Q29" s="764"/>
      <c r="R29" s="764"/>
      <c r="S29" s="764"/>
      <c r="T29" s="765"/>
      <c r="U29" s="671"/>
      <c r="V29" s="249"/>
      <c r="W29" s="249"/>
      <c r="X29" s="249"/>
      <c r="Y29" s="249"/>
      <c r="Z29" s="122">
        <f t="shared" si="23"/>
        <v>0.29541964043725727</v>
      </c>
      <c r="AA29" s="766"/>
      <c r="AB29" s="250"/>
      <c r="AC29" s="248"/>
      <c r="AD29" s="248"/>
      <c r="AE29" s="248"/>
      <c r="AF29" s="249"/>
      <c r="AG29" s="248"/>
      <c r="AH29" s="766"/>
      <c r="AI29" s="250"/>
      <c r="AJ29" s="248"/>
      <c r="AK29" s="248"/>
      <c r="AL29" s="248"/>
      <c r="AM29" s="249"/>
      <c r="AN29" s="248"/>
      <c r="AO29" s="766"/>
      <c r="AP29" s="250"/>
      <c r="AQ29" s="248"/>
      <c r="AR29" s="248"/>
      <c r="AS29" s="248"/>
      <c r="AT29" s="249"/>
      <c r="AU29" s="248"/>
      <c r="AV29" s="766"/>
      <c r="AW29" s="104" t="s">
        <v>489</v>
      </c>
    </row>
    <row r="30" spans="1:49" x14ac:dyDescent="0.3">
      <c r="A30" s="936"/>
      <c r="B30" s="260" t="s">
        <v>267</v>
      </c>
      <c r="C30" s="767"/>
      <c r="D30" s="768"/>
      <c r="E30" s="767"/>
      <c r="F30" s="769"/>
      <c r="G30" s="262"/>
      <c r="H30" s="261"/>
      <c r="I30" s="263"/>
      <c r="J30" s="263"/>
      <c r="K30" s="263"/>
      <c r="L30" s="263">
        <f>MIN(L27:L29)</f>
        <v>9.0703767277983545</v>
      </c>
      <c r="M30" s="263"/>
      <c r="N30" s="262"/>
      <c r="O30" s="261"/>
      <c r="P30" s="263"/>
      <c r="Q30" s="263"/>
      <c r="R30" s="263"/>
      <c r="S30" s="263"/>
      <c r="T30" s="264"/>
      <c r="U30" s="263">
        <f>MIN(U27:U29)</f>
        <v>0.19409999999999999</v>
      </c>
      <c r="V30" s="263">
        <f t="shared" ref="V30:AA30" si="24">MIN(V27:V29)</f>
        <v>0.17094000000000004</v>
      </c>
      <c r="W30" s="263">
        <f t="shared" si="24"/>
        <v>0.14465</v>
      </c>
      <c r="X30" s="263">
        <f t="shared" si="24"/>
        <v>0.15769</v>
      </c>
      <c r="Y30" s="263">
        <f t="shared" si="24"/>
        <v>0.16335</v>
      </c>
      <c r="Z30" s="263">
        <f t="shared" si="24"/>
        <v>0.16884000000000002</v>
      </c>
      <c r="AA30" s="263">
        <f t="shared" si="24"/>
        <v>0.17982000000000006</v>
      </c>
      <c r="AB30" s="265"/>
      <c r="AC30" s="261"/>
      <c r="AD30" s="261"/>
      <c r="AE30" s="261"/>
      <c r="AF30" s="263"/>
      <c r="AG30" s="261"/>
      <c r="AH30" s="264"/>
      <c r="AI30" s="265"/>
      <c r="AJ30" s="261"/>
      <c r="AK30" s="261"/>
      <c r="AL30" s="261"/>
      <c r="AM30" s="263"/>
      <c r="AN30" s="261"/>
      <c r="AO30" s="264"/>
      <c r="AP30" s="263">
        <f t="shared" ref="AP30:AV30" si="25">MIN(AP27:AP29)</f>
        <v>30</v>
      </c>
      <c r="AQ30" s="263">
        <f t="shared" si="25"/>
        <v>30</v>
      </c>
      <c r="AR30" s="263">
        <f t="shared" si="25"/>
        <v>30</v>
      </c>
      <c r="AS30" s="263">
        <f t="shared" si="25"/>
        <v>30</v>
      </c>
      <c r="AT30" s="263">
        <f t="shared" si="25"/>
        <v>30</v>
      </c>
      <c r="AU30" s="263">
        <f t="shared" si="25"/>
        <v>30</v>
      </c>
      <c r="AV30" s="263">
        <f t="shared" si="25"/>
        <v>30</v>
      </c>
    </row>
    <row r="31" spans="1:49" x14ac:dyDescent="0.3">
      <c r="A31" s="936"/>
      <c r="B31" s="260" t="s">
        <v>268</v>
      </c>
      <c r="C31" s="767"/>
      <c r="D31" s="767"/>
      <c r="E31" s="767"/>
      <c r="F31" s="769"/>
      <c r="G31" s="262"/>
      <c r="H31" s="263"/>
      <c r="I31" s="263"/>
      <c r="J31" s="263"/>
      <c r="K31" s="263"/>
      <c r="L31" s="263">
        <f>MEDIAN(L27:L29)</f>
        <v>12.06</v>
      </c>
      <c r="M31" s="263"/>
      <c r="N31" s="262"/>
      <c r="O31" s="261"/>
      <c r="P31" s="263"/>
      <c r="Q31" s="263"/>
      <c r="R31" s="263"/>
      <c r="S31" s="263"/>
      <c r="T31" s="264"/>
      <c r="U31" s="263">
        <f>MEDIAN(U27:U29)</f>
        <v>0.19409999999999999</v>
      </c>
      <c r="V31" s="263">
        <f t="shared" ref="V31:AA31" si="26">MEDIAN(V27:V29)</f>
        <v>0.17094000000000004</v>
      </c>
      <c r="W31" s="263">
        <f t="shared" si="26"/>
        <v>0.14465</v>
      </c>
      <c r="X31" s="263">
        <f t="shared" si="26"/>
        <v>0.15769</v>
      </c>
      <c r="Y31" s="263">
        <f t="shared" si="26"/>
        <v>0.16335</v>
      </c>
      <c r="Z31" s="263">
        <f>MEDIAN(Z27:Z29)</f>
        <v>0.18140753455596709</v>
      </c>
      <c r="AA31" s="263">
        <f t="shared" si="26"/>
        <v>0.17982000000000006</v>
      </c>
      <c r="AB31" s="265"/>
      <c r="AC31" s="261"/>
      <c r="AD31" s="261"/>
      <c r="AE31" s="261"/>
      <c r="AF31" s="263"/>
      <c r="AG31" s="261"/>
      <c r="AH31" s="264"/>
      <c r="AI31" s="265"/>
      <c r="AJ31" s="261"/>
      <c r="AK31" s="261"/>
      <c r="AL31" s="261"/>
      <c r="AM31" s="263"/>
      <c r="AN31" s="261"/>
      <c r="AO31" s="264"/>
      <c r="AP31" s="263">
        <f t="shared" ref="AP31:AV31" si="27">MEDIAN(AP27:AP29)</f>
        <v>30</v>
      </c>
      <c r="AQ31" s="263">
        <f t="shared" si="27"/>
        <v>30</v>
      </c>
      <c r="AR31" s="263">
        <f t="shared" si="27"/>
        <v>30</v>
      </c>
      <c r="AS31" s="263">
        <f t="shared" si="27"/>
        <v>30</v>
      </c>
      <c r="AT31" s="263">
        <f t="shared" si="27"/>
        <v>30</v>
      </c>
      <c r="AU31" s="263">
        <f t="shared" si="27"/>
        <v>30</v>
      </c>
      <c r="AV31" s="263">
        <f t="shared" si="27"/>
        <v>30</v>
      </c>
    </row>
    <row r="32" spans="1:49" x14ac:dyDescent="0.3">
      <c r="A32" s="936"/>
      <c r="B32" s="269" t="s">
        <v>269</v>
      </c>
      <c r="C32" s="770"/>
      <c r="D32" s="770"/>
      <c r="E32" s="770"/>
      <c r="F32" s="771"/>
      <c r="G32" s="270"/>
      <c r="H32" s="274"/>
      <c r="I32" s="274"/>
      <c r="J32" s="274"/>
      <c r="K32" s="274"/>
      <c r="L32" s="271">
        <f>MAX(L27:L29)</f>
        <v>14.770982021862862</v>
      </c>
      <c r="M32" s="274"/>
      <c r="N32" s="270"/>
      <c r="O32" s="274"/>
      <c r="P32" s="274"/>
      <c r="Q32" s="274"/>
      <c r="R32" s="274"/>
      <c r="S32" s="271"/>
      <c r="T32" s="277"/>
      <c r="U32" s="271">
        <f>MAX(U27:U29)</f>
        <v>0.19409999999999999</v>
      </c>
      <c r="V32" s="271">
        <f t="shared" ref="V32:AA32" si="28">MAX(V27:V29)</f>
        <v>0.17094000000000004</v>
      </c>
      <c r="W32" s="271">
        <f t="shared" si="28"/>
        <v>0.14465</v>
      </c>
      <c r="X32" s="271">
        <f t="shared" si="28"/>
        <v>0.15769</v>
      </c>
      <c r="Y32" s="271">
        <f t="shared" si="28"/>
        <v>0.16335</v>
      </c>
      <c r="Z32" s="271">
        <f t="shared" si="28"/>
        <v>0.29541964043725727</v>
      </c>
      <c r="AA32" s="271">
        <f t="shared" si="28"/>
        <v>0.17982000000000006</v>
      </c>
      <c r="AB32" s="273"/>
      <c r="AC32" s="274"/>
      <c r="AD32" s="274"/>
      <c r="AE32" s="274"/>
      <c r="AF32" s="274"/>
      <c r="AG32" s="274"/>
      <c r="AH32" s="277"/>
      <c r="AI32" s="273"/>
      <c r="AJ32" s="274"/>
      <c r="AK32" s="274"/>
      <c r="AL32" s="274"/>
      <c r="AM32" s="274"/>
      <c r="AN32" s="274"/>
      <c r="AO32" s="277"/>
      <c r="AP32" s="271">
        <f t="shared" ref="AP32:AV32" si="29">MAX(AP27:AP29)</f>
        <v>30</v>
      </c>
      <c r="AQ32" s="271">
        <f t="shared" si="29"/>
        <v>30</v>
      </c>
      <c r="AR32" s="271">
        <f t="shared" si="29"/>
        <v>30</v>
      </c>
      <c r="AS32" s="271">
        <f t="shared" si="29"/>
        <v>30</v>
      </c>
      <c r="AT32" s="271">
        <f t="shared" si="29"/>
        <v>30</v>
      </c>
      <c r="AU32" s="271">
        <f t="shared" si="29"/>
        <v>30</v>
      </c>
      <c r="AV32" s="271">
        <f t="shared" si="29"/>
        <v>30</v>
      </c>
    </row>
    <row r="33" spans="1:54" x14ac:dyDescent="0.3">
      <c r="A33" s="678"/>
      <c r="B33" s="678"/>
      <c r="C33" s="445"/>
      <c r="D33" s="439"/>
      <c r="E33" s="439"/>
      <c r="F33" s="446"/>
      <c r="G33" s="445"/>
      <c r="H33" s="439"/>
      <c r="I33" s="439"/>
      <c r="J33" s="439"/>
      <c r="K33" s="439"/>
      <c r="L33" s="441"/>
      <c r="M33" s="439"/>
      <c r="N33" s="440"/>
      <c r="O33" s="441"/>
      <c r="P33" s="441"/>
      <c r="Q33" s="441"/>
      <c r="R33" s="441"/>
      <c r="S33" s="441"/>
      <c r="T33" s="441"/>
      <c r="U33" s="445"/>
      <c r="V33" s="439"/>
      <c r="W33" s="439"/>
      <c r="X33" s="439"/>
      <c r="Y33" s="439"/>
      <c r="Z33" s="441"/>
      <c r="AA33" s="439"/>
      <c r="AB33" s="445"/>
      <c r="AC33" s="439"/>
      <c r="AD33" s="439"/>
      <c r="AE33" s="439"/>
      <c r="AF33" s="439"/>
      <c r="AG33" s="441"/>
      <c r="AH33" s="439"/>
      <c r="AI33" s="445"/>
      <c r="AJ33" s="439"/>
      <c r="AK33" s="439"/>
      <c r="AL33" s="439"/>
      <c r="AM33" s="439"/>
      <c r="AN33" s="439"/>
      <c r="AO33" s="439"/>
      <c r="AP33" s="445"/>
      <c r="AQ33" s="439"/>
      <c r="AR33" s="439"/>
      <c r="AS33" s="439"/>
      <c r="AT33" s="439"/>
      <c r="AU33" s="439"/>
      <c r="AV33" s="446"/>
      <c r="AW33" s="635"/>
      <c r="AX33" s="635"/>
      <c r="AY33" s="635"/>
      <c r="AZ33" s="635"/>
      <c r="BA33" s="635"/>
      <c r="BB33" s="635"/>
    </row>
    <row r="34" spans="1:54" ht="15" customHeight="1" x14ac:dyDescent="0.3">
      <c r="A34" s="957" t="s">
        <v>128</v>
      </c>
      <c r="B34" s="986" t="s">
        <v>471</v>
      </c>
      <c r="C34" s="687">
        <v>2</v>
      </c>
      <c r="D34" s="90" t="s">
        <v>23</v>
      </c>
      <c r="E34" s="90">
        <v>2019</v>
      </c>
      <c r="F34" s="688" t="s">
        <v>19</v>
      </c>
      <c r="G34" s="96"/>
      <c r="H34" s="97"/>
      <c r="I34" s="97"/>
      <c r="J34" s="97"/>
      <c r="K34" s="97"/>
      <c r="L34" s="94">
        <f>1820/1.1297</f>
        <v>1611.0471806674338</v>
      </c>
      <c r="M34" s="97"/>
      <c r="N34" s="447"/>
      <c r="O34" s="94"/>
      <c r="P34" s="94"/>
      <c r="Q34" s="94"/>
      <c r="R34" s="97"/>
      <c r="S34" s="94">
        <f>0.25/1.1297</f>
        <v>0.22129768965212004</v>
      </c>
      <c r="T34" s="97"/>
      <c r="U34" s="96"/>
      <c r="V34" s="97"/>
      <c r="W34" s="97"/>
      <c r="X34" s="97"/>
      <c r="Y34" s="97"/>
      <c r="Z34" s="94">
        <f>73/1.1297*$BE$3</f>
        <v>87.149734023337501</v>
      </c>
      <c r="AA34" s="97"/>
      <c r="AB34" s="96"/>
      <c r="AC34" s="97"/>
      <c r="AD34" s="97"/>
      <c r="AE34" s="97"/>
      <c r="AF34" s="97"/>
      <c r="AG34" s="97">
        <v>0</v>
      </c>
      <c r="AH34" s="97"/>
      <c r="AI34" s="96"/>
      <c r="AJ34" s="97"/>
      <c r="AK34" s="97"/>
      <c r="AL34" s="97"/>
      <c r="AM34" s="97"/>
      <c r="AN34" s="97"/>
      <c r="AO34" s="97"/>
      <c r="AP34" s="96"/>
      <c r="AQ34" s="97"/>
      <c r="AR34" s="97"/>
      <c r="AS34" s="97"/>
      <c r="AT34" s="97"/>
      <c r="AU34" s="97">
        <v>20</v>
      </c>
      <c r="AV34" s="43"/>
      <c r="AW34" s="104" t="s">
        <v>472</v>
      </c>
    </row>
    <row r="35" spans="1:54" x14ac:dyDescent="0.3">
      <c r="A35" s="917"/>
      <c r="B35" s="1018"/>
      <c r="C35" s="689">
        <v>4</v>
      </c>
      <c r="D35" s="105" t="s">
        <v>31</v>
      </c>
      <c r="E35" s="105">
        <v>2022</v>
      </c>
      <c r="F35" s="690" t="s">
        <v>19</v>
      </c>
      <c r="G35" s="110"/>
      <c r="H35" s="111"/>
      <c r="I35" s="111"/>
      <c r="J35" s="111"/>
      <c r="K35" s="111"/>
      <c r="L35" s="108"/>
      <c r="M35" s="111"/>
      <c r="N35" s="113">
        <v>3</v>
      </c>
      <c r="O35" s="108">
        <v>2.5</v>
      </c>
      <c r="P35" s="108">
        <v>2</v>
      </c>
      <c r="Q35" s="108">
        <v>1.5</v>
      </c>
      <c r="R35" s="108">
        <v>1.35</v>
      </c>
      <c r="S35" s="108">
        <v>1.2</v>
      </c>
      <c r="T35" s="107">
        <f>R35+((S35-R35)/(2050-2045))*(2060-2045)</f>
        <v>0.89999999999999969</v>
      </c>
      <c r="U35" s="110">
        <f>0*$BE$3</f>
        <v>0</v>
      </c>
      <c r="V35" s="111">
        <f t="shared" ref="V35:Z35" si="30">0*$BE$3</f>
        <v>0</v>
      </c>
      <c r="W35" s="111">
        <f t="shared" si="30"/>
        <v>0</v>
      </c>
      <c r="X35" s="111">
        <f t="shared" si="30"/>
        <v>0</v>
      </c>
      <c r="Y35" s="117">
        <f t="shared" si="30"/>
        <v>0</v>
      </c>
      <c r="Z35" s="111">
        <f t="shared" si="30"/>
        <v>0</v>
      </c>
      <c r="AA35" s="378">
        <f>Y35+((Z35-Y35)/(2050-2045))*(2060-2045)</f>
        <v>0</v>
      </c>
      <c r="AB35" s="110">
        <v>0</v>
      </c>
      <c r="AC35" s="111">
        <v>0</v>
      </c>
      <c r="AD35" s="111">
        <v>0</v>
      </c>
      <c r="AE35" s="111">
        <v>0</v>
      </c>
      <c r="AF35" s="117">
        <v>0</v>
      </c>
      <c r="AG35" s="111">
        <v>0</v>
      </c>
      <c r="AH35" s="378">
        <f>AF35+((AG35-AF35)/(2050-2045))*(2060-2045)</f>
        <v>0</v>
      </c>
      <c r="AI35" s="110"/>
      <c r="AJ35" s="111"/>
      <c r="AK35" s="111"/>
      <c r="AL35" s="111"/>
      <c r="AM35" s="111"/>
      <c r="AN35" s="111"/>
      <c r="AO35" s="111"/>
      <c r="AP35" s="110">
        <v>100</v>
      </c>
      <c r="AQ35" s="111">
        <v>100</v>
      </c>
      <c r="AR35" s="111">
        <v>100</v>
      </c>
      <c r="AS35" s="111">
        <v>100</v>
      </c>
      <c r="AT35" s="111">
        <v>100</v>
      </c>
      <c r="AU35" s="111">
        <v>100</v>
      </c>
      <c r="AV35" s="118">
        <f>AT35+((AU35-AT35)/(2050-2045))*(2060-2045)</f>
        <v>100</v>
      </c>
      <c r="AW35" s="104" t="s">
        <v>473</v>
      </c>
    </row>
    <row r="36" spans="1:54" x14ac:dyDescent="0.3">
      <c r="A36" s="917"/>
      <c r="B36" s="1018"/>
      <c r="C36" s="689">
        <v>14</v>
      </c>
      <c r="D36" s="750" t="s">
        <v>66</v>
      </c>
      <c r="E36" s="105">
        <v>2014</v>
      </c>
      <c r="F36" s="690" t="s">
        <v>19</v>
      </c>
      <c r="G36" s="110"/>
      <c r="H36" s="111"/>
      <c r="I36" s="111"/>
      <c r="J36" s="111"/>
      <c r="K36" s="111"/>
      <c r="L36" s="108"/>
      <c r="M36" s="111"/>
      <c r="N36" s="113"/>
      <c r="O36" s="108"/>
      <c r="P36" s="108">
        <v>0.5</v>
      </c>
      <c r="Q36" s="108"/>
      <c r="R36" s="111"/>
      <c r="S36" s="108"/>
      <c r="T36" s="111"/>
      <c r="U36" s="110"/>
      <c r="V36" s="111"/>
      <c r="W36" s="297">
        <f t="shared" ref="W36:W38" si="31">P36*0.02*$BE$3</f>
        <v>1.348671979810471E-2</v>
      </c>
      <c r="X36" s="111"/>
      <c r="Y36" s="111"/>
      <c r="Z36" s="111"/>
      <c r="AA36" s="111"/>
      <c r="AB36" s="110"/>
      <c r="AC36" s="111"/>
      <c r="AD36" s="111"/>
      <c r="AE36" s="111"/>
      <c r="AF36" s="111"/>
      <c r="AG36" s="111"/>
      <c r="AH36" s="111"/>
      <c r="AI36" s="110"/>
      <c r="AJ36" s="111"/>
      <c r="AK36" s="111"/>
      <c r="AL36" s="111"/>
      <c r="AM36" s="111"/>
      <c r="AN36" s="111"/>
      <c r="AO36" s="111"/>
      <c r="AP36" s="110"/>
      <c r="AQ36" s="111"/>
      <c r="AR36" s="111"/>
      <c r="AS36" s="111"/>
      <c r="AT36" s="111"/>
      <c r="AU36" s="111"/>
      <c r="AV36" s="46"/>
      <c r="AW36" s="104" t="s">
        <v>474</v>
      </c>
    </row>
    <row r="37" spans="1:54" x14ac:dyDescent="0.3">
      <c r="A37" s="917"/>
      <c r="B37" s="1018"/>
      <c r="C37" s="689">
        <v>15</v>
      </c>
      <c r="D37" s="750" t="s">
        <v>68</v>
      </c>
      <c r="E37" s="105">
        <v>2017</v>
      </c>
      <c r="F37" s="690" t="s">
        <v>19</v>
      </c>
      <c r="G37" s="110"/>
      <c r="H37" s="111"/>
      <c r="I37" s="111"/>
      <c r="J37" s="111"/>
      <c r="K37" s="111"/>
      <c r="L37" s="108"/>
      <c r="M37" s="111"/>
      <c r="N37" s="113"/>
      <c r="O37" s="108"/>
      <c r="P37" s="108">
        <v>1</v>
      </c>
      <c r="Q37" s="108"/>
      <c r="R37" s="111"/>
      <c r="S37" s="108"/>
      <c r="T37" s="111"/>
      <c r="U37" s="110"/>
      <c r="V37" s="111"/>
      <c r="W37" s="297">
        <f t="shared" si="31"/>
        <v>2.697343959620942E-2</v>
      </c>
      <c r="X37" s="111"/>
      <c r="Y37" s="111"/>
      <c r="Z37" s="111"/>
      <c r="AA37" s="111"/>
      <c r="AB37" s="110"/>
      <c r="AC37" s="111"/>
      <c r="AD37" s="111"/>
      <c r="AE37" s="111"/>
      <c r="AF37" s="111"/>
      <c r="AG37" s="111"/>
      <c r="AH37" s="111"/>
      <c r="AI37" s="110"/>
      <c r="AJ37" s="111"/>
      <c r="AK37" s="111"/>
      <c r="AL37" s="111"/>
      <c r="AM37" s="111"/>
      <c r="AN37" s="111"/>
      <c r="AO37" s="111"/>
      <c r="AP37" s="110"/>
      <c r="AQ37" s="111"/>
      <c r="AR37" s="111"/>
      <c r="AS37" s="111"/>
      <c r="AT37" s="111"/>
      <c r="AU37" s="111"/>
      <c r="AV37" s="46"/>
      <c r="AW37" s="104" t="s">
        <v>475</v>
      </c>
    </row>
    <row r="38" spans="1:54" x14ac:dyDescent="0.3">
      <c r="A38" s="917"/>
      <c r="B38" s="1018"/>
      <c r="C38" s="689">
        <v>16</v>
      </c>
      <c r="D38" s="750" t="s">
        <v>70</v>
      </c>
      <c r="E38" s="105">
        <v>2014</v>
      </c>
      <c r="F38" s="690" t="s">
        <v>19</v>
      </c>
      <c r="G38" s="110"/>
      <c r="H38" s="111"/>
      <c r="I38" s="111"/>
      <c r="J38" s="111"/>
      <c r="K38" s="111"/>
      <c r="L38" s="108"/>
      <c r="M38" s="111"/>
      <c r="N38" s="113"/>
      <c r="O38" s="108"/>
      <c r="P38" s="108">
        <v>0.2</v>
      </c>
      <c r="Q38" s="108"/>
      <c r="R38" s="111"/>
      <c r="S38" s="108"/>
      <c r="T38" s="111"/>
      <c r="U38" s="110"/>
      <c r="V38" s="111"/>
      <c r="W38" s="297">
        <f t="shared" si="31"/>
        <v>5.3946879192418836E-3</v>
      </c>
      <c r="X38" s="111"/>
      <c r="Y38" s="111"/>
      <c r="Z38" s="111"/>
      <c r="AA38" s="111"/>
      <c r="AB38" s="110"/>
      <c r="AC38" s="111"/>
      <c r="AD38" s="111"/>
      <c r="AE38" s="111"/>
      <c r="AF38" s="111"/>
      <c r="AG38" s="111"/>
      <c r="AH38" s="111"/>
      <c r="AI38" s="110"/>
      <c r="AJ38" s="111"/>
      <c r="AK38" s="111"/>
      <c r="AL38" s="111"/>
      <c r="AM38" s="111"/>
      <c r="AN38" s="111"/>
      <c r="AO38" s="111"/>
      <c r="AP38" s="110"/>
      <c r="AQ38" s="111"/>
      <c r="AR38" s="111"/>
      <c r="AS38" s="111"/>
      <c r="AT38" s="111"/>
      <c r="AU38" s="111"/>
      <c r="AV38" s="46"/>
      <c r="AW38" s="104" t="s">
        <v>476</v>
      </c>
    </row>
    <row r="39" spans="1:54" x14ac:dyDescent="0.3">
      <c r="A39" s="917"/>
      <c r="B39" s="1018"/>
      <c r="C39" s="689">
        <v>18</v>
      </c>
      <c r="D39" s="750" t="s">
        <v>76</v>
      </c>
      <c r="E39" s="105">
        <v>2021</v>
      </c>
      <c r="F39" s="690" t="s">
        <v>19</v>
      </c>
      <c r="G39" s="110"/>
      <c r="H39" s="111"/>
      <c r="I39" s="111"/>
      <c r="J39" s="111"/>
      <c r="K39" s="111"/>
      <c r="L39" s="108"/>
      <c r="M39" s="111"/>
      <c r="N39" s="113">
        <f t="shared" ref="N39:N41" si="32">N8</f>
        <v>3.1202917366227195E-2</v>
      </c>
      <c r="O39" s="108"/>
      <c r="P39" s="108"/>
      <c r="Q39" s="108"/>
      <c r="R39" s="111"/>
      <c r="S39" s="108"/>
      <c r="T39" s="111"/>
      <c r="U39" s="110"/>
      <c r="V39" s="111"/>
      <c r="W39" s="111"/>
      <c r="X39" s="111"/>
      <c r="Y39" s="111"/>
      <c r="Z39" s="111"/>
      <c r="AA39" s="111"/>
      <c r="AB39" s="110"/>
      <c r="AC39" s="111"/>
      <c r="AD39" s="111"/>
      <c r="AE39" s="111"/>
      <c r="AF39" s="111"/>
      <c r="AG39" s="111"/>
      <c r="AH39" s="111"/>
      <c r="AI39" s="110"/>
      <c r="AJ39" s="111"/>
      <c r="AK39" s="111"/>
      <c r="AL39" s="111"/>
      <c r="AM39" s="111"/>
      <c r="AN39" s="111"/>
      <c r="AO39" s="111"/>
      <c r="AP39" s="110"/>
      <c r="AQ39" s="111"/>
      <c r="AR39" s="111"/>
      <c r="AS39" s="111"/>
      <c r="AT39" s="111"/>
      <c r="AU39" s="111"/>
      <c r="AV39" s="46"/>
      <c r="AW39" t="s">
        <v>477</v>
      </c>
    </row>
    <row r="40" spans="1:54" x14ac:dyDescent="0.3">
      <c r="A40" s="917"/>
      <c r="B40" s="1018"/>
      <c r="C40" s="689">
        <v>18</v>
      </c>
      <c r="D40" s="750" t="s">
        <v>76</v>
      </c>
      <c r="E40" s="105">
        <v>2021</v>
      </c>
      <c r="F40" s="690" t="s">
        <v>19</v>
      </c>
      <c r="G40" s="110"/>
      <c r="H40" s="111"/>
      <c r="I40" s="111"/>
      <c r="J40" s="111"/>
      <c r="K40" s="111"/>
      <c r="L40" s="108"/>
      <c r="M40" s="111"/>
      <c r="N40" s="113">
        <f t="shared" si="32"/>
        <v>3.2725010896287057E-2</v>
      </c>
      <c r="O40" s="108"/>
      <c r="P40" s="108"/>
      <c r="Q40" s="108"/>
      <c r="R40" s="111"/>
      <c r="S40" s="108"/>
      <c r="T40" s="111"/>
      <c r="U40" s="110"/>
      <c r="V40" s="111"/>
      <c r="W40" s="111"/>
      <c r="X40" s="111"/>
      <c r="Y40" s="111"/>
      <c r="Z40" s="111"/>
      <c r="AA40" s="111"/>
      <c r="AB40" s="110"/>
      <c r="AC40" s="111"/>
      <c r="AD40" s="111"/>
      <c r="AE40" s="111"/>
      <c r="AF40" s="111"/>
      <c r="AG40" s="111"/>
      <c r="AH40" s="111"/>
      <c r="AI40" s="110"/>
      <c r="AJ40" s="111"/>
      <c r="AK40" s="111"/>
      <c r="AL40" s="111"/>
      <c r="AM40" s="111"/>
      <c r="AN40" s="111"/>
      <c r="AO40" s="111"/>
      <c r="AP40" s="110"/>
      <c r="AQ40" s="111"/>
      <c r="AR40" s="111"/>
      <c r="AS40" s="111"/>
      <c r="AT40" s="111"/>
      <c r="AU40" s="111"/>
      <c r="AV40" s="46"/>
      <c r="AW40" t="s">
        <v>478</v>
      </c>
    </row>
    <row r="41" spans="1:54" x14ac:dyDescent="0.3">
      <c r="A41" s="917"/>
      <c r="B41" s="1018"/>
      <c r="C41" s="691">
        <v>18</v>
      </c>
      <c r="D41" s="751" t="s">
        <v>76</v>
      </c>
      <c r="E41" s="120">
        <v>2021</v>
      </c>
      <c r="F41" s="692" t="s">
        <v>19</v>
      </c>
      <c r="G41" s="123"/>
      <c r="H41" s="124"/>
      <c r="I41" s="124"/>
      <c r="J41" s="124"/>
      <c r="K41" s="124"/>
      <c r="L41" s="121"/>
      <c r="M41" s="124"/>
      <c r="N41" s="587">
        <f t="shared" si="32"/>
        <v>4.0842843056606334E-2</v>
      </c>
      <c r="O41" s="121"/>
      <c r="P41" s="121"/>
      <c r="Q41" s="121"/>
      <c r="R41" s="124"/>
      <c r="S41" s="121"/>
      <c r="T41" s="124"/>
      <c r="U41" s="123"/>
      <c r="V41" s="124"/>
      <c r="W41" s="124"/>
      <c r="X41" s="124"/>
      <c r="Y41" s="124"/>
      <c r="Z41" s="124"/>
      <c r="AA41" s="124"/>
      <c r="AB41" s="123"/>
      <c r="AC41" s="124"/>
      <c r="AD41" s="124"/>
      <c r="AE41" s="124"/>
      <c r="AF41" s="124"/>
      <c r="AG41" s="124"/>
      <c r="AH41" s="124"/>
      <c r="AI41" s="123"/>
      <c r="AJ41" s="124"/>
      <c r="AK41" s="124"/>
      <c r="AL41" s="124"/>
      <c r="AM41" s="124"/>
      <c r="AN41" s="124"/>
      <c r="AO41" s="124"/>
      <c r="AP41" s="123"/>
      <c r="AQ41" s="124"/>
      <c r="AR41" s="124"/>
      <c r="AS41" s="124"/>
      <c r="AT41" s="124"/>
      <c r="AU41" s="124"/>
      <c r="AV41" s="51"/>
      <c r="AW41" t="s">
        <v>479</v>
      </c>
    </row>
    <row r="42" spans="1:54" x14ac:dyDescent="0.3">
      <c r="A42" s="917"/>
      <c r="B42" s="693" t="s">
        <v>267</v>
      </c>
      <c r="C42" s="131"/>
      <c r="D42" s="126"/>
      <c r="E42" s="126"/>
      <c r="F42" s="132"/>
      <c r="G42" s="131"/>
      <c r="H42" s="126"/>
      <c r="I42" s="126"/>
      <c r="J42" s="126"/>
      <c r="K42" s="126"/>
      <c r="L42" s="128">
        <f>MIN(L34:L41)</f>
        <v>1611.0471806674338</v>
      </c>
      <c r="M42" s="126"/>
      <c r="N42" s="127">
        <f t="shared" ref="N42:AH42" si="33">MIN(N34:N41)</f>
        <v>3.1202917366227195E-2</v>
      </c>
      <c r="O42" s="128">
        <f t="shared" si="33"/>
        <v>2.5</v>
      </c>
      <c r="P42" s="128">
        <f t="shared" si="33"/>
        <v>0.2</v>
      </c>
      <c r="Q42" s="128">
        <f t="shared" si="33"/>
        <v>1.5</v>
      </c>
      <c r="R42" s="126">
        <f t="shared" si="33"/>
        <v>1.35</v>
      </c>
      <c r="S42" s="128">
        <f t="shared" si="33"/>
        <v>0.22129768965212004</v>
      </c>
      <c r="T42" s="128">
        <f t="shared" si="33"/>
        <v>0.89999999999999969</v>
      </c>
      <c r="U42" s="127">
        <f t="shared" si="33"/>
        <v>0</v>
      </c>
      <c r="V42" s="128">
        <f t="shared" si="33"/>
        <v>0</v>
      </c>
      <c r="W42" s="128">
        <f t="shared" si="33"/>
        <v>0</v>
      </c>
      <c r="X42" s="128">
        <f t="shared" si="33"/>
        <v>0</v>
      </c>
      <c r="Y42" s="128">
        <f t="shared" si="33"/>
        <v>0</v>
      </c>
      <c r="Z42" s="128">
        <f t="shared" si="33"/>
        <v>0</v>
      </c>
      <c r="AA42" s="128">
        <f t="shared" si="33"/>
        <v>0</v>
      </c>
      <c r="AB42" s="131">
        <f t="shared" si="33"/>
        <v>0</v>
      </c>
      <c r="AC42" s="126">
        <f t="shared" si="33"/>
        <v>0</v>
      </c>
      <c r="AD42" s="126">
        <f t="shared" si="33"/>
        <v>0</v>
      </c>
      <c r="AE42" s="126">
        <f t="shared" si="33"/>
        <v>0</v>
      </c>
      <c r="AF42" s="126">
        <f t="shared" si="33"/>
        <v>0</v>
      </c>
      <c r="AG42" s="126">
        <f t="shared" si="33"/>
        <v>0</v>
      </c>
      <c r="AH42" s="126">
        <f t="shared" si="33"/>
        <v>0</v>
      </c>
      <c r="AI42" s="131"/>
      <c r="AJ42" s="126"/>
      <c r="AK42" s="126"/>
      <c r="AL42" s="126"/>
      <c r="AM42" s="126"/>
      <c r="AN42" s="126"/>
      <c r="AO42" s="126"/>
      <c r="AP42" s="131">
        <f t="shared" ref="AP42:AV42" si="34">MIN(AP34:AP41)</f>
        <v>100</v>
      </c>
      <c r="AQ42" s="126">
        <f t="shared" si="34"/>
        <v>100</v>
      </c>
      <c r="AR42" s="126">
        <f t="shared" si="34"/>
        <v>100</v>
      </c>
      <c r="AS42" s="126">
        <f t="shared" si="34"/>
        <v>100</v>
      </c>
      <c r="AT42" s="126">
        <f t="shared" si="34"/>
        <v>100</v>
      </c>
      <c r="AU42" s="126">
        <f t="shared" si="34"/>
        <v>20</v>
      </c>
      <c r="AV42" s="132">
        <f t="shared" si="34"/>
        <v>100</v>
      </c>
      <c r="AW42" s="104"/>
    </row>
    <row r="43" spans="1:54" x14ac:dyDescent="0.3">
      <c r="A43" s="917"/>
      <c r="B43" s="694" t="s">
        <v>268</v>
      </c>
      <c r="C43" s="139"/>
      <c r="D43" s="134"/>
      <c r="E43" s="134"/>
      <c r="F43" s="140"/>
      <c r="G43" s="139"/>
      <c r="H43" s="134"/>
      <c r="I43" s="134"/>
      <c r="J43" s="134"/>
      <c r="K43" s="134"/>
      <c r="L43" s="136">
        <f>AVERAGE(L34:L41)</f>
        <v>1611.0471806674338</v>
      </c>
      <c r="M43" s="134"/>
      <c r="N43" s="135">
        <f t="shared" ref="N43:AH43" si="35">AVERAGE(N34:N41)</f>
        <v>0.77619269282978021</v>
      </c>
      <c r="O43" s="136">
        <f t="shared" si="35"/>
        <v>2.5</v>
      </c>
      <c r="P43" s="136">
        <f t="shared" si="35"/>
        <v>0.92500000000000004</v>
      </c>
      <c r="Q43" s="136">
        <f t="shared" si="35"/>
        <v>1.5</v>
      </c>
      <c r="R43" s="136">
        <f t="shared" si="35"/>
        <v>1.35</v>
      </c>
      <c r="S43" s="136">
        <f t="shared" si="35"/>
        <v>0.71064884482605994</v>
      </c>
      <c r="T43" s="136">
        <f t="shared" si="35"/>
        <v>0.89999999999999969</v>
      </c>
      <c r="U43" s="135">
        <f t="shared" si="35"/>
        <v>0</v>
      </c>
      <c r="V43" s="136">
        <f t="shared" si="35"/>
        <v>0</v>
      </c>
      <c r="W43" s="136">
        <f t="shared" si="35"/>
        <v>1.1463711828389005E-2</v>
      </c>
      <c r="X43" s="136">
        <f t="shared" si="35"/>
        <v>0</v>
      </c>
      <c r="Y43" s="136">
        <f t="shared" si="35"/>
        <v>0</v>
      </c>
      <c r="Z43" s="136">
        <f t="shared" si="35"/>
        <v>43.574867011668751</v>
      </c>
      <c r="AA43" s="136">
        <f t="shared" si="35"/>
        <v>0</v>
      </c>
      <c r="AB43" s="139">
        <f t="shared" si="35"/>
        <v>0</v>
      </c>
      <c r="AC43" s="134">
        <f t="shared" si="35"/>
        <v>0</v>
      </c>
      <c r="AD43" s="134">
        <f t="shared" si="35"/>
        <v>0</v>
      </c>
      <c r="AE43" s="134">
        <f t="shared" si="35"/>
        <v>0</v>
      </c>
      <c r="AF43" s="134">
        <f t="shared" si="35"/>
        <v>0</v>
      </c>
      <c r="AG43" s="134">
        <f t="shared" si="35"/>
        <v>0</v>
      </c>
      <c r="AH43" s="134">
        <f t="shared" si="35"/>
        <v>0</v>
      </c>
      <c r="AI43" s="139"/>
      <c r="AJ43" s="134"/>
      <c r="AK43" s="134"/>
      <c r="AL43" s="134"/>
      <c r="AM43" s="134"/>
      <c r="AN43" s="134"/>
      <c r="AO43" s="134"/>
      <c r="AP43" s="139">
        <f t="shared" ref="AP43:AV43" si="36">AVERAGE(AP34:AP41)</f>
        <v>100</v>
      </c>
      <c r="AQ43" s="134">
        <f t="shared" si="36"/>
        <v>100</v>
      </c>
      <c r="AR43" s="134">
        <f t="shared" si="36"/>
        <v>100</v>
      </c>
      <c r="AS43" s="134">
        <f t="shared" si="36"/>
        <v>100</v>
      </c>
      <c r="AT43" s="134">
        <f t="shared" si="36"/>
        <v>100</v>
      </c>
      <c r="AU43" s="134">
        <f t="shared" si="36"/>
        <v>60</v>
      </c>
      <c r="AV43" s="140">
        <f t="shared" si="36"/>
        <v>100</v>
      </c>
      <c r="AW43" s="104"/>
    </row>
    <row r="44" spans="1:54" x14ac:dyDescent="0.3">
      <c r="A44" s="917"/>
      <c r="B44" s="695" t="s">
        <v>269</v>
      </c>
      <c r="C44" s="145"/>
      <c r="D44" s="142"/>
      <c r="E44" s="142"/>
      <c r="F44" s="146"/>
      <c r="G44" s="145"/>
      <c r="H44" s="142"/>
      <c r="I44" s="142"/>
      <c r="J44" s="142"/>
      <c r="K44" s="142"/>
      <c r="L44" s="143">
        <f>MAX(L34:L41)</f>
        <v>1611.0471806674338</v>
      </c>
      <c r="M44" s="142"/>
      <c r="N44" s="591">
        <f t="shared" ref="N44:AH44" si="37">MAX(N34:N41)</f>
        <v>3</v>
      </c>
      <c r="O44" s="143">
        <f t="shared" si="37"/>
        <v>2.5</v>
      </c>
      <c r="P44" s="143">
        <f t="shared" si="37"/>
        <v>2</v>
      </c>
      <c r="Q44" s="143">
        <f t="shared" si="37"/>
        <v>1.5</v>
      </c>
      <c r="R44" s="143">
        <f t="shared" si="37"/>
        <v>1.35</v>
      </c>
      <c r="S44" s="143">
        <f t="shared" si="37"/>
        <v>1.2</v>
      </c>
      <c r="T44" s="143">
        <f t="shared" si="37"/>
        <v>0.89999999999999969</v>
      </c>
      <c r="U44" s="591">
        <f t="shared" si="37"/>
        <v>0</v>
      </c>
      <c r="V44" s="143">
        <f t="shared" si="37"/>
        <v>0</v>
      </c>
      <c r="W44" s="143">
        <f t="shared" si="37"/>
        <v>2.697343959620942E-2</v>
      </c>
      <c r="X44" s="143">
        <f t="shared" si="37"/>
        <v>0</v>
      </c>
      <c r="Y44" s="143">
        <f t="shared" si="37"/>
        <v>0</v>
      </c>
      <c r="Z44" s="143">
        <f t="shared" si="37"/>
        <v>87.149734023337501</v>
      </c>
      <c r="AA44" s="143">
        <f t="shared" si="37"/>
        <v>0</v>
      </c>
      <c r="AB44" s="145">
        <f t="shared" si="37"/>
        <v>0</v>
      </c>
      <c r="AC44" s="142">
        <f t="shared" si="37"/>
        <v>0</v>
      </c>
      <c r="AD44" s="142">
        <f t="shared" si="37"/>
        <v>0</v>
      </c>
      <c r="AE44" s="142">
        <f t="shared" si="37"/>
        <v>0</v>
      </c>
      <c r="AF44" s="142">
        <f t="shared" si="37"/>
        <v>0</v>
      </c>
      <c r="AG44" s="142">
        <f t="shared" si="37"/>
        <v>0</v>
      </c>
      <c r="AH44" s="142">
        <f t="shared" si="37"/>
        <v>0</v>
      </c>
      <c r="AI44" s="145"/>
      <c r="AJ44" s="142"/>
      <c r="AK44" s="142"/>
      <c r="AL44" s="142"/>
      <c r="AM44" s="142"/>
      <c r="AN44" s="142"/>
      <c r="AO44" s="142"/>
      <c r="AP44" s="145">
        <f t="shared" ref="AP44:AV44" si="38">MAX(AP34:AP41)</f>
        <v>100</v>
      </c>
      <c r="AQ44" s="142">
        <f t="shared" si="38"/>
        <v>100</v>
      </c>
      <c r="AR44" s="142">
        <f t="shared" si="38"/>
        <v>100</v>
      </c>
      <c r="AS44" s="142">
        <f t="shared" si="38"/>
        <v>100</v>
      </c>
      <c r="AT44" s="142">
        <f t="shared" si="38"/>
        <v>100</v>
      </c>
      <c r="AU44" s="142">
        <f t="shared" si="38"/>
        <v>100</v>
      </c>
      <c r="AV44" s="146">
        <f t="shared" si="38"/>
        <v>100</v>
      </c>
      <c r="AW44" s="104"/>
    </row>
    <row r="45" spans="1:54" ht="15" customHeight="1" x14ac:dyDescent="0.3">
      <c r="A45" s="917"/>
      <c r="B45" s="943" t="s">
        <v>480</v>
      </c>
      <c r="C45" s="737">
        <v>2</v>
      </c>
      <c r="D45" s="623" t="s">
        <v>23</v>
      </c>
      <c r="E45" s="623">
        <v>2019</v>
      </c>
      <c r="F45" s="280" t="s">
        <v>19</v>
      </c>
      <c r="G45" s="278"/>
      <c r="H45" s="279"/>
      <c r="I45" s="279"/>
      <c r="J45" s="279"/>
      <c r="K45" s="279"/>
      <c r="L45" s="281">
        <f>95/1.1297</f>
        <v>84.093122067805623</v>
      </c>
      <c r="M45" s="279"/>
      <c r="N45" s="508"/>
      <c r="O45" s="281"/>
      <c r="P45" s="281"/>
      <c r="Q45" s="281"/>
      <c r="R45" s="279"/>
      <c r="S45" s="281">
        <f>110/1.1297</f>
        <v>97.370983446932826</v>
      </c>
      <c r="T45" s="279"/>
      <c r="U45" s="278"/>
      <c r="V45" s="279"/>
      <c r="W45" s="279"/>
      <c r="X45" s="279"/>
      <c r="Y45" s="279"/>
      <c r="Z45" s="281">
        <f>10/1.1297</f>
        <v>8.8519075860848027</v>
      </c>
      <c r="AA45" s="279"/>
      <c r="AB45" s="278"/>
      <c r="AC45" s="279"/>
      <c r="AD45" s="279"/>
      <c r="AE45" s="279"/>
      <c r="AF45" s="279"/>
      <c r="AG45" s="281">
        <f>3/1.1297</f>
        <v>2.6555722758254405</v>
      </c>
      <c r="AH45" s="279"/>
      <c r="AI45" s="278"/>
      <c r="AJ45" s="279"/>
      <c r="AK45" s="279"/>
      <c r="AL45" s="279"/>
      <c r="AM45" s="279"/>
      <c r="AN45" s="279">
        <v>86</v>
      </c>
      <c r="AO45" s="279"/>
      <c r="AP45" s="278"/>
      <c r="AQ45" s="279"/>
      <c r="AR45" s="279"/>
      <c r="AS45" s="279"/>
      <c r="AT45" s="279"/>
      <c r="AU45" s="279">
        <v>13</v>
      </c>
      <c r="AV45" s="7"/>
      <c r="AW45" s="104"/>
    </row>
    <row r="46" spans="1:54" x14ac:dyDescent="0.3">
      <c r="A46" s="917"/>
      <c r="B46" s="944"/>
      <c r="C46" s="738">
        <v>4</v>
      </c>
      <c r="D46" s="626" t="s">
        <v>31</v>
      </c>
      <c r="E46" s="626">
        <v>2022</v>
      </c>
      <c r="F46" s="291" t="s">
        <v>19</v>
      </c>
      <c r="G46" s="289"/>
      <c r="H46" s="290"/>
      <c r="I46" s="290"/>
      <c r="J46" s="290"/>
      <c r="K46" s="290"/>
      <c r="L46" s="282"/>
      <c r="M46" s="290"/>
      <c r="N46" s="510">
        <f>232</f>
        <v>232</v>
      </c>
      <c r="O46" s="282">
        <v>187</v>
      </c>
      <c r="P46" s="282">
        <v>142</v>
      </c>
      <c r="Q46" s="282">
        <v>94</v>
      </c>
      <c r="R46" s="282">
        <v>84.5</v>
      </c>
      <c r="S46" s="282">
        <v>75</v>
      </c>
      <c r="T46" s="107">
        <f>R46+((S46-R46)/(2050-2045))*(2060-2045)</f>
        <v>56</v>
      </c>
      <c r="U46" s="106">
        <f t="shared" ref="U46:U48" si="39">N46*0.02*$BE$3</f>
        <v>6.2578379863205846</v>
      </c>
      <c r="V46" s="107">
        <f t="shared" ref="V46:AA53" si="40">O46*0.02*$BE$3</f>
        <v>5.0440332044911615</v>
      </c>
      <c r="W46" s="107">
        <f t="shared" si="40"/>
        <v>3.8302284226617371</v>
      </c>
      <c r="X46" s="107">
        <f t="shared" si="40"/>
        <v>2.5355033220436853</v>
      </c>
      <c r="Y46" s="107">
        <f t="shared" si="40"/>
        <v>2.279255645879696</v>
      </c>
      <c r="Z46" s="107">
        <f t="shared" si="40"/>
        <v>2.0230079697157066</v>
      </c>
      <c r="AA46" s="107">
        <f t="shared" si="40"/>
        <v>1.5105126173877277</v>
      </c>
      <c r="AB46" s="289"/>
      <c r="AC46" s="290"/>
      <c r="AD46" s="290"/>
      <c r="AE46" s="290"/>
      <c r="AF46" s="290"/>
      <c r="AG46" s="282"/>
      <c r="AH46" s="290"/>
      <c r="AI46" s="289"/>
      <c r="AJ46" s="290"/>
      <c r="AK46" s="290"/>
      <c r="AL46" s="290"/>
      <c r="AM46" s="290"/>
      <c r="AN46" s="290"/>
      <c r="AO46" s="290"/>
      <c r="AP46" s="289">
        <v>20</v>
      </c>
      <c r="AQ46" s="290">
        <v>22.5</v>
      </c>
      <c r="AR46" s="290">
        <v>25</v>
      </c>
      <c r="AS46" s="290">
        <v>30</v>
      </c>
      <c r="AT46" s="290">
        <v>30</v>
      </c>
      <c r="AU46" s="290">
        <v>30</v>
      </c>
      <c r="AV46" s="118">
        <f>AT46+((AU46-AT46)/(2050-2045))*(2060-2045)</f>
        <v>30</v>
      </c>
      <c r="AW46" s="104"/>
    </row>
    <row r="47" spans="1:54" x14ac:dyDescent="0.3">
      <c r="A47" s="917"/>
      <c r="B47" s="944"/>
      <c r="C47" s="738">
        <v>8</v>
      </c>
      <c r="D47" s="627" t="s">
        <v>45</v>
      </c>
      <c r="E47" s="626">
        <v>2021</v>
      </c>
      <c r="F47" s="291" t="s">
        <v>19</v>
      </c>
      <c r="G47" s="289"/>
      <c r="H47" s="290"/>
      <c r="I47" s="290"/>
      <c r="J47" s="290"/>
      <c r="K47" s="290"/>
      <c r="L47" s="282"/>
      <c r="M47" s="290"/>
      <c r="N47" s="510">
        <v>500</v>
      </c>
      <c r="O47" s="107">
        <f t="shared" ref="O47:O53" si="41">N47+((P47-N47)/(2030-2020))*(2025-2020)</f>
        <v>400</v>
      </c>
      <c r="P47" s="282">
        <v>300</v>
      </c>
      <c r="Q47" s="282">
        <v>150</v>
      </c>
      <c r="R47" s="107">
        <v>75</v>
      </c>
      <c r="S47" s="107">
        <v>75</v>
      </c>
      <c r="T47" s="107">
        <v>75</v>
      </c>
      <c r="U47" s="106">
        <f t="shared" si="39"/>
        <v>13.486719798104708</v>
      </c>
      <c r="V47" s="107">
        <f t="shared" si="40"/>
        <v>10.789375838483767</v>
      </c>
      <c r="W47" s="107">
        <f t="shared" ref="W47:W48" si="42">P47*0.02*$BE$3</f>
        <v>8.0920318788628265</v>
      </c>
      <c r="X47" s="107">
        <f t="shared" ref="X47:X48" si="43">Q47*0.02*$BE$3</f>
        <v>4.0460159394314132</v>
      </c>
      <c r="Y47" s="107">
        <f t="shared" ref="Y47:Y48" si="44">R47*0.02*$BE$3</f>
        <v>2.0230079697157066</v>
      </c>
      <c r="Z47" s="107">
        <f t="shared" ref="Z47:Z48" si="45">S47*0.02*$BE$3</f>
        <v>2.0230079697157066</v>
      </c>
      <c r="AA47" s="107">
        <f t="shared" ref="AA47:AA48" si="46">T47*0.02*$BE$3</f>
        <v>2.0230079697157066</v>
      </c>
      <c r="AB47" s="289"/>
      <c r="AC47" s="290"/>
      <c r="AD47" s="290"/>
      <c r="AE47" s="290"/>
      <c r="AF47" s="290"/>
      <c r="AG47" s="282"/>
      <c r="AH47" s="290"/>
      <c r="AI47" s="289">
        <v>90</v>
      </c>
      <c r="AJ47" s="290"/>
      <c r="AK47" s="290"/>
      <c r="AL47" s="290"/>
      <c r="AM47" s="290"/>
      <c r="AN47" s="290"/>
      <c r="AO47" s="290"/>
      <c r="AP47" s="289">
        <v>15</v>
      </c>
      <c r="AQ47" s="290"/>
      <c r="AR47" s="290"/>
      <c r="AS47" s="290"/>
      <c r="AT47" s="290"/>
      <c r="AU47" s="290"/>
      <c r="AV47" s="11"/>
      <c r="AW47" s="104" t="s">
        <v>481</v>
      </c>
    </row>
    <row r="48" spans="1:54" x14ac:dyDescent="0.3">
      <c r="A48" s="917"/>
      <c r="B48" s="944"/>
      <c r="C48" s="738">
        <v>8</v>
      </c>
      <c r="D48" s="627" t="s">
        <v>45</v>
      </c>
      <c r="E48" s="626">
        <v>2021</v>
      </c>
      <c r="F48" s="291" t="s">
        <v>19</v>
      </c>
      <c r="G48" s="289"/>
      <c r="H48" s="290"/>
      <c r="I48" s="290"/>
      <c r="J48" s="290"/>
      <c r="K48" s="290"/>
      <c r="L48" s="282"/>
      <c r="M48" s="290"/>
      <c r="N48" s="510">
        <v>700</v>
      </c>
      <c r="O48" s="107">
        <f t="shared" si="41"/>
        <v>615</v>
      </c>
      <c r="P48" s="282">
        <v>530</v>
      </c>
      <c r="Q48" s="282">
        <v>420</v>
      </c>
      <c r="R48" s="107">
        <f t="shared" ref="R48:R54" si="47">Q48+((S48-Q48)/(2050-2040))*(2045-2040)</f>
        <v>365</v>
      </c>
      <c r="S48" s="107">
        <v>310</v>
      </c>
      <c r="T48" s="107">
        <f t="shared" ref="T48:T53" si="48">R48+((S48-R48)/(2050-2045))*(2060-2045)</f>
        <v>200</v>
      </c>
      <c r="U48" s="106">
        <f t="shared" si="39"/>
        <v>18.881407717346594</v>
      </c>
      <c r="V48" s="107">
        <f t="shared" si="40"/>
        <v>16.588665351668794</v>
      </c>
      <c r="W48" s="107">
        <f t="shared" si="42"/>
        <v>14.295922985990991</v>
      </c>
      <c r="X48" s="107">
        <f t="shared" si="43"/>
        <v>11.328844630407957</v>
      </c>
      <c r="Y48" s="107">
        <f t="shared" si="44"/>
        <v>9.8453054526164383</v>
      </c>
      <c r="Z48" s="107">
        <f t="shared" si="45"/>
        <v>8.3617662748249195</v>
      </c>
      <c r="AA48" s="107">
        <f t="shared" si="46"/>
        <v>5.3946879192418837</v>
      </c>
      <c r="AB48" s="289"/>
      <c r="AC48" s="290"/>
      <c r="AD48" s="290"/>
      <c r="AE48" s="290"/>
      <c r="AF48" s="290"/>
      <c r="AG48" s="282"/>
      <c r="AH48" s="290"/>
      <c r="AI48" s="289">
        <v>90</v>
      </c>
      <c r="AJ48" s="290"/>
      <c r="AK48" s="290"/>
      <c r="AL48" s="290"/>
      <c r="AM48" s="290"/>
      <c r="AN48" s="290"/>
      <c r="AO48" s="290"/>
      <c r="AP48" s="289">
        <v>15</v>
      </c>
      <c r="AQ48" s="290"/>
      <c r="AR48" s="290"/>
      <c r="AS48" s="290"/>
      <c r="AT48" s="290"/>
      <c r="AU48" s="290"/>
      <c r="AV48" s="11"/>
      <c r="AW48" s="104" t="s">
        <v>482</v>
      </c>
    </row>
    <row r="49" spans="1:54" x14ac:dyDescent="0.3">
      <c r="A49" s="917"/>
      <c r="B49" s="944"/>
      <c r="C49" s="738">
        <v>7</v>
      </c>
      <c r="D49" s="627" t="s">
        <v>42</v>
      </c>
      <c r="E49" s="626">
        <v>2020</v>
      </c>
      <c r="F49" s="291" t="s">
        <v>19</v>
      </c>
      <c r="G49" s="289"/>
      <c r="H49" s="290"/>
      <c r="I49" s="290"/>
      <c r="J49" s="290"/>
      <c r="K49" s="290"/>
      <c r="L49" s="282"/>
      <c r="M49" s="290"/>
      <c r="N49" s="510">
        <v>350</v>
      </c>
      <c r="O49" s="107">
        <f t="shared" si="41"/>
        <v>325</v>
      </c>
      <c r="P49" s="282">
        <v>300</v>
      </c>
      <c r="Q49" s="282">
        <v>250</v>
      </c>
      <c r="R49" s="107">
        <f t="shared" si="47"/>
        <v>225</v>
      </c>
      <c r="S49" s="282">
        <v>200</v>
      </c>
      <c r="T49" s="107">
        <f t="shared" si="48"/>
        <v>150</v>
      </c>
      <c r="U49" s="289">
        <f>0*$BE$3</f>
        <v>0</v>
      </c>
      <c r="V49" s="297">
        <v>0</v>
      </c>
      <c r="W49" s="290">
        <f>0*$BE$3</f>
        <v>0</v>
      </c>
      <c r="X49" s="290">
        <f>0*$BE$3</f>
        <v>0</v>
      </c>
      <c r="Y49" s="378">
        <f>X49+((Z49-X49)/(2050-2040))*(2045-2040)</f>
        <v>0</v>
      </c>
      <c r="Z49" s="288">
        <f>0*$BE$3</f>
        <v>0</v>
      </c>
      <c r="AA49" s="378">
        <f>Y49+((Z49-Y49)/(2050-2045))*(2060-2045)</f>
        <v>0</v>
      </c>
      <c r="AB49" s="289"/>
      <c r="AC49" s="290"/>
      <c r="AD49" s="290"/>
      <c r="AE49" s="290"/>
      <c r="AF49" s="290"/>
      <c r="AG49" s="282"/>
      <c r="AH49" s="290"/>
      <c r="AI49" s="289"/>
      <c r="AJ49" s="290"/>
      <c r="AK49" s="290"/>
      <c r="AL49" s="290"/>
      <c r="AM49" s="290"/>
      <c r="AN49" s="290"/>
      <c r="AO49" s="290"/>
      <c r="AP49" s="289"/>
      <c r="AQ49" s="290"/>
      <c r="AR49" s="290"/>
      <c r="AS49" s="290"/>
      <c r="AT49" s="290"/>
      <c r="AU49" s="290"/>
      <c r="AV49" s="11"/>
      <c r="AW49" s="104"/>
    </row>
    <row r="50" spans="1:54" x14ac:dyDescent="0.3">
      <c r="A50" s="917"/>
      <c r="B50" s="944"/>
      <c r="C50" s="738">
        <v>6</v>
      </c>
      <c r="D50" s="627" t="s">
        <v>39</v>
      </c>
      <c r="E50" s="626">
        <v>2020</v>
      </c>
      <c r="F50" s="291" t="s">
        <v>19</v>
      </c>
      <c r="G50" s="289"/>
      <c r="H50" s="290"/>
      <c r="I50" s="290"/>
      <c r="J50" s="290"/>
      <c r="K50" s="290"/>
      <c r="L50" s="282"/>
      <c r="M50" s="290"/>
      <c r="N50" s="510">
        <f t="shared" ref="N50:N53" si="49">(310)/1.1422</f>
        <v>271.40605848362804</v>
      </c>
      <c r="O50" s="107">
        <f t="shared" si="41"/>
        <v>214.49833654351249</v>
      </c>
      <c r="P50" s="282">
        <f>(180)/1.1422</f>
        <v>157.59061460339694</v>
      </c>
      <c r="Q50" s="107">
        <f t="shared" ref="Q50:Q53" si="50">P50+((S50-P50)/(2050-2030))*(2040-2030)</f>
        <v>135.70302924181402</v>
      </c>
      <c r="R50" s="107">
        <f t="shared" si="47"/>
        <v>124.75923656102258</v>
      </c>
      <c r="S50" s="282">
        <f>(130)/1.1422</f>
        <v>113.81544388023113</v>
      </c>
      <c r="T50" s="107">
        <f t="shared" si="48"/>
        <v>91.927858518648236</v>
      </c>
      <c r="U50" s="106">
        <f t="shared" ref="U50:U53" si="51">N50*0.02*$BE$3</f>
        <v>7.3207549245534222</v>
      </c>
      <c r="V50" s="107">
        <f t="shared" si="40"/>
        <v>5.7857579242438337</v>
      </c>
      <c r="W50" s="107">
        <f t="shared" si="40"/>
        <v>4.2507609239342452</v>
      </c>
      <c r="X50" s="107">
        <f t="shared" si="40"/>
        <v>3.6603774622767111</v>
      </c>
      <c r="Y50" s="107">
        <f t="shared" si="40"/>
        <v>3.3651857314479439</v>
      </c>
      <c r="Z50" s="107">
        <f t="shared" si="40"/>
        <v>3.069994000619177</v>
      </c>
      <c r="AA50" s="107">
        <f t="shared" si="40"/>
        <v>2.4796105389616439</v>
      </c>
      <c r="AB50" s="289"/>
      <c r="AC50" s="290"/>
      <c r="AD50" s="290"/>
      <c r="AE50" s="290"/>
      <c r="AF50" s="290"/>
      <c r="AG50" s="282"/>
      <c r="AH50" s="290"/>
      <c r="AI50" s="289"/>
      <c r="AJ50" s="290"/>
      <c r="AK50" s="290"/>
      <c r="AL50" s="290"/>
      <c r="AM50" s="290"/>
      <c r="AN50" s="290"/>
      <c r="AO50" s="290"/>
      <c r="AP50" s="289"/>
      <c r="AQ50" s="290"/>
      <c r="AR50" s="290"/>
      <c r="AS50" s="290"/>
      <c r="AT50" s="290"/>
      <c r="AU50" s="290"/>
      <c r="AV50" s="11"/>
      <c r="AW50" t="s">
        <v>483</v>
      </c>
    </row>
    <row r="51" spans="1:54" x14ac:dyDescent="0.3">
      <c r="A51" s="917"/>
      <c r="B51" s="944"/>
      <c r="C51" s="738">
        <v>6</v>
      </c>
      <c r="D51" s="627" t="s">
        <v>39</v>
      </c>
      <c r="E51" s="626">
        <v>2020</v>
      </c>
      <c r="F51" s="291" t="s">
        <v>19</v>
      </c>
      <c r="G51" s="289"/>
      <c r="H51" s="290"/>
      <c r="I51" s="290"/>
      <c r="J51" s="290"/>
      <c r="K51" s="290"/>
      <c r="L51" s="282"/>
      <c r="M51" s="290"/>
      <c r="N51" s="510">
        <f t="shared" si="49"/>
        <v>271.40605848362804</v>
      </c>
      <c r="O51" s="107">
        <f t="shared" si="41"/>
        <v>210.12081947119592</v>
      </c>
      <c r="P51" s="282">
        <f t="shared" ref="P51:P52" si="52">(170)/1.1422</f>
        <v>148.83558045876379</v>
      </c>
      <c r="Q51" s="107">
        <f t="shared" si="50"/>
        <v>126.94799509718086</v>
      </c>
      <c r="R51" s="107">
        <f t="shared" si="47"/>
        <v>116.0042024163894</v>
      </c>
      <c r="S51" s="282">
        <f>(120)/1.1422</f>
        <v>105.06040973559796</v>
      </c>
      <c r="T51" s="107">
        <f t="shared" si="48"/>
        <v>83.172824374015065</v>
      </c>
      <c r="U51" s="106">
        <f t="shared" si="51"/>
        <v>7.3207549245534222</v>
      </c>
      <c r="V51" s="107">
        <f t="shared" si="40"/>
        <v>5.6676812319123266</v>
      </c>
      <c r="W51" s="107">
        <f t="shared" ref="W51:W53" si="53">P51*0.02*$BE$3</f>
        <v>4.0146075392712319</v>
      </c>
      <c r="X51" s="107">
        <f t="shared" ref="X51:X53" si="54">Q51*0.02*$BE$3</f>
        <v>3.4242240776136974</v>
      </c>
      <c r="Y51" s="107">
        <f t="shared" ref="Y51:Y53" si="55">R51*0.02*$BE$3</f>
        <v>3.1290323467849301</v>
      </c>
      <c r="Z51" s="107">
        <f t="shared" ref="Z51:Z53" si="56">S51*0.02*$BE$3</f>
        <v>2.8338406159561633</v>
      </c>
      <c r="AA51" s="107">
        <f t="shared" ref="AA51:AA53" si="57">T51*0.02*$BE$3</f>
        <v>2.2434571542986297</v>
      </c>
      <c r="AB51" s="289"/>
      <c r="AC51" s="290"/>
      <c r="AD51" s="290"/>
      <c r="AE51" s="290"/>
      <c r="AF51" s="290"/>
      <c r="AG51" s="282"/>
      <c r="AH51" s="290"/>
      <c r="AI51" s="289"/>
      <c r="AJ51" s="290"/>
      <c r="AK51" s="290"/>
      <c r="AL51" s="290"/>
      <c r="AM51" s="290"/>
      <c r="AN51" s="290"/>
      <c r="AO51" s="290"/>
      <c r="AP51" s="289"/>
      <c r="AQ51" s="290"/>
      <c r="AR51" s="290"/>
      <c r="AS51" s="290"/>
      <c r="AT51" s="290"/>
      <c r="AU51" s="290"/>
      <c r="AV51" s="11"/>
      <c r="AW51" t="s">
        <v>484</v>
      </c>
    </row>
    <row r="52" spans="1:54" x14ac:dyDescent="0.3">
      <c r="A52" s="917"/>
      <c r="B52" s="944"/>
      <c r="C52" s="738">
        <v>6</v>
      </c>
      <c r="D52" s="627" t="s">
        <v>39</v>
      </c>
      <c r="E52" s="626">
        <v>2020</v>
      </c>
      <c r="F52" s="291" t="s">
        <v>19</v>
      </c>
      <c r="G52" s="289"/>
      <c r="H52" s="290"/>
      <c r="I52" s="290"/>
      <c r="J52" s="290"/>
      <c r="K52" s="290"/>
      <c r="L52" s="282"/>
      <c r="M52" s="290"/>
      <c r="N52" s="510">
        <f t="shared" si="49"/>
        <v>271.40605848362804</v>
      </c>
      <c r="O52" s="107">
        <f t="shared" si="41"/>
        <v>210.12081947119592</v>
      </c>
      <c r="P52" s="282">
        <f t="shared" si="52"/>
        <v>148.83558045876379</v>
      </c>
      <c r="Q52" s="107">
        <f t="shared" si="50"/>
        <v>124.75923656102259</v>
      </c>
      <c r="R52" s="107">
        <f t="shared" si="47"/>
        <v>112.72106461215199</v>
      </c>
      <c r="S52" s="282">
        <f>(115)/1.1422</f>
        <v>100.68289266328138</v>
      </c>
      <c r="T52" s="107">
        <f t="shared" si="48"/>
        <v>76.606548765540154</v>
      </c>
      <c r="U52" s="106">
        <f t="shared" si="51"/>
        <v>7.3207549245534222</v>
      </c>
      <c r="V52" s="107">
        <f t="shared" si="40"/>
        <v>5.6676812319123266</v>
      </c>
      <c r="W52" s="107">
        <f t="shared" si="53"/>
        <v>4.0146075392712319</v>
      </c>
      <c r="X52" s="107">
        <f t="shared" si="54"/>
        <v>3.3651857314479448</v>
      </c>
      <c r="Y52" s="107">
        <f t="shared" si="55"/>
        <v>3.0404748275363009</v>
      </c>
      <c r="Z52" s="107">
        <f t="shared" si="56"/>
        <v>2.7157639236246571</v>
      </c>
      <c r="AA52" s="107">
        <f t="shared" si="57"/>
        <v>2.0663421158013686</v>
      </c>
      <c r="AB52" s="289"/>
      <c r="AC52" s="290"/>
      <c r="AD52" s="290"/>
      <c r="AE52" s="290"/>
      <c r="AF52" s="290"/>
      <c r="AG52" s="282"/>
      <c r="AH52" s="290"/>
      <c r="AI52" s="289"/>
      <c r="AJ52" s="290"/>
      <c r="AK52" s="290"/>
      <c r="AL52" s="290"/>
      <c r="AM52" s="290"/>
      <c r="AN52" s="290"/>
      <c r="AO52" s="290"/>
      <c r="AP52" s="289"/>
      <c r="AQ52" s="290"/>
      <c r="AR52" s="290"/>
      <c r="AS52" s="290"/>
      <c r="AT52" s="290"/>
      <c r="AU52" s="290"/>
      <c r="AV52" s="11"/>
      <c r="AW52" t="s">
        <v>485</v>
      </c>
    </row>
    <row r="53" spans="1:54" x14ac:dyDescent="0.3">
      <c r="A53" s="917"/>
      <c r="B53" s="944"/>
      <c r="C53" s="738">
        <v>6</v>
      </c>
      <c r="D53" s="627" t="s">
        <v>39</v>
      </c>
      <c r="E53" s="626">
        <v>2020</v>
      </c>
      <c r="F53" s="291" t="s">
        <v>19</v>
      </c>
      <c r="G53" s="289"/>
      <c r="H53" s="290"/>
      <c r="I53" s="290"/>
      <c r="J53" s="290"/>
      <c r="K53" s="290"/>
      <c r="L53" s="282"/>
      <c r="M53" s="290"/>
      <c r="N53" s="510">
        <f t="shared" si="49"/>
        <v>271.40605848362804</v>
      </c>
      <c r="O53" s="107">
        <f t="shared" si="41"/>
        <v>186.04447557345472</v>
      </c>
      <c r="P53" s="282">
        <f>(115)/1.1422</f>
        <v>100.68289266328138</v>
      </c>
      <c r="Q53" s="107">
        <f t="shared" si="50"/>
        <v>98.49413412712309</v>
      </c>
      <c r="R53" s="107">
        <f t="shared" si="47"/>
        <v>97.399754859043952</v>
      </c>
      <c r="S53" s="282">
        <f>(110)/1.1422</f>
        <v>96.3053755909648</v>
      </c>
      <c r="T53" s="107">
        <f t="shared" si="48"/>
        <v>94.116617054806497</v>
      </c>
      <c r="U53" s="106">
        <f t="shared" si="51"/>
        <v>7.3207549245534222</v>
      </c>
      <c r="V53" s="107">
        <f t="shared" si="40"/>
        <v>5.018259424089039</v>
      </c>
      <c r="W53" s="107">
        <f t="shared" si="53"/>
        <v>2.7157639236246571</v>
      </c>
      <c r="X53" s="107">
        <f t="shared" si="54"/>
        <v>2.6567255774589031</v>
      </c>
      <c r="Y53" s="107">
        <f t="shared" si="55"/>
        <v>2.627206404376027</v>
      </c>
      <c r="Z53" s="107">
        <f t="shared" si="56"/>
        <v>2.59768723129315</v>
      </c>
      <c r="AA53" s="107">
        <f t="shared" si="57"/>
        <v>2.5386488851273961</v>
      </c>
      <c r="AB53" s="289"/>
      <c r="AC53" s="290"/>
      <c r="AD53" s="290"/>
      <c r="AE53" s="290"/>
      <c r="AF53" s="290"/>
      <c r="AG53" s="282"/>
      <c r="AH53" s="290"/>
      <c r="AI53" s="289"/>
      <c r="AJ53" s="290"/>
      <c r="AK53" s="290"/>
      <c r="AL53" s="290"/>
      <c r="AM53" s="290"/>
      <c r="AN53" s="290"/>
      <c r="AO53" s="290"/>
      <c r="AP53" s="289"/>
      <c r="AQ53" s="290"/>
      <c r="AR53" s="290"/>
      <c r="AS53" s="290"/>
      <c r="AT53" s="290"/>
      <c r="AU53" s="290"/>
      <c r="AV53" s="11"/>
      <c r="AW53" t="s">
        <v>486</v>
      </c>
    </row>
    <row r="54" spans="1:54" x14ac:dyDescent="0.3">
      <c r="A54" s="917"/>
      <c r="B54" s="945"/>
      <c r="C54" s="739">
        <v>5</v>
      </c>
      <c r="D54" s="752" t="s">
        <v>35</v>
      </c>
      <c r="E54" s="651">
        <v>2021</v>
      </c>
      <c r="F54" s="301" t="s">
        <v>19</v>
      </c>
      <c r="G54" s="299"/>
      <c r="H54" s="300"/>
      <c r="I54" s="300"/>
      <c r="J54" s="300"/>
      <c r="K54" s="300"/>
      <c r="L54" s="302"/>
      <c r="M54" s="300"/>
      <c r="N54" s="512">
        <v>350</v>
      </c>
      <c r="O54" s="302">
        <v>275</v>
      </c>
      <c r="P54" s="302">
        <v>225</v>
      </c>
      <c r="Q54" s="302">
        <v>125</v>
      </c>
      <c r="R54" s="122">
        <f t="shared" si="47"/>
        <v>102.5</v>
      </c>
      <c r="S54" s="302">
        <v>80</v>
      </c>
      <c r="T54" s="107">
        <v>80</v>
      </c>
      <c r="U54" s="512">
        <f>N54*0.04*$BE$3</f>
        <v>18.881407717346594</v>
      </c>
      <c r="V54" s="302">
        <f t="shared" ref="V54:X54" si="58">O54*0.04*$BE$3</f>
        <v>14.835391777915181</v>
      </c>
      <c r="W54" s="302">
        <f t="shared" si="58"/>
        <v>12.138047818294238</v>
      </c>
      <c r="X54" s="302">
        <f t="shared" si="58"/>
        <v>6.7433598990523542</v>
      </c>
      <c r="Y54" s="377">
        <f>X54+((Z54-X54)/(2050-2040))*(2045-2040)</f>
        <v>5.5295551172229302</v>
      </c>
      <c r="Z54" s="302">
        <f>S54*0.04*$BE$3</f>
        <v>4.3157503353935072</v>
      </c>
      <c r="AA54" s="378">
        <f>Z54+((AB54-Z54)/(2050-2040))*(2045-2040)</f>
        <v>2.1578751676967536</v>
      </c>
      <c r="AB54" s="299"/>
      <c r="AC54" s="300"/>
      <c r="AD54" s="300"/>
      <c r="AE54" s="300"/>
      <c r="AF54" s="300"/>
      <c r="AG54" s="302"/>
      <c r="AH54" s="300"/>
      <c r="AI54" s="299"/>
      <c r="AJ54" s="300"/>
      <c r="AK54" s="300"/>
      <c r="AL54" s="300"/>
      <c r="AM54" s="300"/>
      <c r="AN54" s="300"/>
      <c r="AO54" s="300"/>
      <c r="AP54" s="299">
        <v>15</v>
      </c>
      <c r="AQ54" s="300">
        <v>15</v>
      </c>
      <c r="AR54" s="300">
        <v>15</v>
      </c>
      <c r="AS54" s="300">
        <v>20</v>
      </c>
      <c r="AT54" s="378">
        <f>AS54+((AU54-AS54)/(2050-2040))*(2045-2040)</f>
        <v>20</v>
      </c>
      <c r="AU54" s="300">
        <v>20</v>
      </c>
      <c r="AV54" s="118">
        <f>AT54+((AU54-AT54)/(2050-2045))*(2060-2045)</f>
        <v>20</v>
      </c>
    </row>
    <row r="55" spans="1:54" x14ac:dyDescent="0.3">
      <c r="A55" s="917"/>
      <c r="B55" s="753" t="s">
        <v>267</v>
      </c>
      <c r="C55" s="317"/>
      <c r="D55" s="318"/>
      <c r="E55" s="318"/>
      <c r="F55" s="321"/>
      <c r="G55" s="317"/>
      <c r="H55" s="318"/>
      <c r="I55" s="318"/>
      <c r="J55" s="318"/>
      <c r="K55" s="318"/>
      <c r="L55" s="313">
        <f>MIN(L45:L54)</f>
        <v>84.093122067805623</v>
      </c>
      <c r="M55" s="318"/>
      <c r="N55" s="312">
        <f t="shared" ref="N55:AA55" si="59">MIN(N45:N54)</f>
        <v>232</v>
      </c>
      <c r="O55" s="313">
        <f t="shared" si="59"/>
        <v>186.04447557345472</v>
      </c>
      <c r="P55" s="313">
        <f t="shared" si="59"/>
        <v>100.68289266328138</v>
      </c>
      <c r="Q55" s="313">
        <f t="shared" si="59"/>
        <v>94</v>
      </c>
      <c r="R55" s="313">
        <f t="shared" si="59"/>
        <v>75</v>
      </c>
      <c r="S55" s="313">
        <f t="shared" si="59"/>
        <v>75</v>
      </c>
      <c r="T55" s="313">
        <f t="shared" si="59"/>
        <v>56</v>
      </c>
      <c r="U55" s="312">
        <f t="shared" si="59"/>
        <v>0</v>
      </c>
      <c r="V55" s="313">
        <f t="shared" si="59"/>
        <v>0</v>
      </c>
      <c r="W55" s="313">
        <f t="shared" si="59"/>
        <v>0</v>
      </c>
      <c r="X55" s="313">
        <f t="shared" si="59"/>
        <v>0</v>
      </c>
      <c r="Y55" s="313">
        <f t="shared" si="59"/>
        <v>0</v>
      </c>
      <c r="Z55" s="313">
        <f t="shared" si="59"/>
        <v>0</v>
      </c>
      <c r="AA55" s="313">
        <f t="shared" si="59"/>
        <v>0</v>
      </c>
      <c r="AB55" s="317"/>
      <c r="AC55" s="318"/>
      <c r="AD55" s="318"/>
      <c r="AE55" s="318"/>
      <c r="AF55" s="318"/>
      <c r="AG55" s="313">
        <f>MIN(AG45:AG54)</f>
        <v>2.6555722758254405</v>
      </c>
      <c r="AH55" s="318"/>
      <c r="AI55" s="317">
        <f>MIN(AI45:AI54)</f>
        <v>90</v>
      </c>
      <c r="AJ55" s="318"/>
      <c r="AK55" s="318"/>
      <c r="AL55" s="318"/>
      <c r="AM55" s="318"/>
      <c r="AN55" s="318">
        <f>MIN(AN45:AN54)</f>
        <v>86</v>
      </c>
      <c r="AO55" s="318"/>
      <c r="AP55" s="317">
        <f t="shared" ref="AP55:AV55" si="60">MIN(AP45:AP54)</f>
        <v>15</v>
      </c>
      <c r="AQ55" s="318">
        <f t="shared" si="60"/>
        <v>15</v>
      </c>
      <c r="AR55" s="318">
        <f t="shared" si="60"/>
        <v>15</v>
      </c>
      <c r="AS55" s="318">
        <f t="shared" si="60"/>
        <v>20</v>
      </c>
      <c r="AT55" s="318">
        <f t="shared" si="60"/>
        <v>20</v>
      </c>
      <c r="AU55" s="318">
        <f t="shared" si="60"/>
        <v>13</v>
      </c>
      <c r="AV55" s="321">
        <f t="shared" si="60"/>
        <v>20</v>
      </c>
      <c r="AW55" s="104"/>
    </row>
    <row r="56" spans="1:54" x14ac:dyDescent="0.3">
      <c r="A56" s="917"/>
      <c r="B56" s="718" t="s">
        <v>268</v>
      </c>
      <c r="C56" s="328"/>
      <c r="D56" s="311"/>
      <c r="E56" s="311"/>
      <c r="F56" s="331"/>
      <c r="G56" s="328"/>
      <c r="H56" s="311"/>
      <c r="I56" s="311"/>
      <c r="J56" s="311"/>
      <c r="K56" s="311"/>
      <c r="L56" s="324">
        <f>AVERAGE(L45:L54)</f>
        <v>84.093122067805623</v>
      </c>
      <c r="M56" s="311"/>
      <c r="N56" s="323">
        <f t="shared" ref="N56:AA56" si="61">AVERAGE(N45:N54)</f>
        <v>357.51380377050128</v>
      </c>
      <c r="O56" s="324">
        <f t="shared" si="61"/>
        <v>291.42049456215102</v>
      </c>
      <c r="P56" s="324">
        <f t="shared" si="61"/>
        <v>228.10496313157844</v>
      </c>
      <c r="Q56" s="324">
        <f t="shared" si="61"/>
        <v>169.43382166968229</v>
      </c>
      <c r="R56" s="324">
        <f t="shared" si="61"/>
        <v>144.76491760540088</v>
      </c>
      <c r="S56" s="324">
        <f t="shared" si="61"/>
        <v>125.3235105317008</v>
      </c>
      <c r="T56" s="324">
        <f t="shared" si="61"/>
        <v>100.75820541255666</v>
      </c>
      <c r="U56" s="323">
        <f t="shared" si="61"/>
        <v>9.6433769908146836</v>
      </c>
      <c r="V56" s="324">
        <f t="shared" si="61"/>
        <v>7.7107606649684914</v>
      </c>
      <c r="W56" s="324">
        <f t="shared" si="61"/>
        <v>5.9279967813234622</v>
      </c>
      <c r="X56" s="324">
        <f t="shared" si="61"/>
        <v>4.1955818488591854</v>
      </c>
      <c r="Y56" s="324">
        <f t="shared" si="61"/>
        <v>3.5376692772866631</v>
      </c>
      <c r="Z56" s="324">
        <f t="shared" si="61"/>
        <v>3.6792725907227792</v>
      </c>
      <c r="AA56" s="324">
        <f t="shared" si="61"/>
        <v>2.2682380409145679</v>
      </c>
      <c r="AB56" s="328"/>
      <c r="AC56" s="311"/>
      <c r="AD56" s="311"/>
      <c r="AE56" s="311"/>
      <c r="AF56" s="311"/>
      <c r="AG56" s="324">
        <f>AVERAGE(AG45:AG54)</f>
        <v>2.6555722758254405</v>
      </c>
      <c r="AH56" s="311"/>
      <c r="AI56" s="328">
        <f>AVERAGE(AI45:AI54)</f>
        <v>90</v>
      </c>
      <c r="AJ56" s="311"/>
      <c r="AK56" s="311"/>
      <c r="AL56" s="311"/>
      <c r="AM56" s="311"/>
      <c r="AN56" s="311">
        <f>AVERAGE(AN45:AN54)</f>
        <v>86</v>
      </c>
      <c r="AO56" s="311"/>
      <c r="AP56" s="328">
        <f t="shared" ref="AP56:AV56" si="62">AVERAGE(AP45:AP54)</f>
        <v>16.25</v>
      </c>
      <c r="AQ56" s="311">
        <f t="shared" si="62"/>
        <v>18.75</v>
      </c>
      <c r="AR56" s="311">
        <f t="shared" si="62"/>
        <v>20</v>
      </c>
      <c r="AS56" s="311">
        <f t="shared" si="62"/>
        <v>25</v>
      </c>
      <c r="AT56" s="311">
        <f t="shared" si="62"/>
        <v>25</v>
      </c>
      <c r="AU56" s="311">
        <f t="shared" si="62"/>
        <v>21</v>
      </c>
      <c r="AV56" s="331">
        <f t="shared" si="62"/>
        <v>25</v>
      </c>
      <c r="AW56" s="104"/>
    </row>
    <row r="57" spans="1:54" x14ac:dyDescent="0.3">
      <c r="A57" s="917"/>
      <c r="B57" s="719" t="s">
        <v>269</v>
      </c>
      <c r="C57" s="339"/>
      <c r="D57" s="333"/>
      <c r="E57" s="333"/>
      <c r="F57" s="342"/>
      <c r="G57" s="339"/>
      <c r="H57" s="333"/>
      <c r="I57" s="333"/>
      <c r="J57" s="333"/>
      <c r="K57" s="333"/>
      <c r="L57" s="335">
        <f>MAX(L45:L54)</f>
        <v>84.093122067805623</v>
      </c>
      <c r="M57" s="333"/>
      <c r="N57" s="334">
        <f t="shared" ref="N57:AA57" si="63">MAX(N45:N54)</f>
        <v>700</v>
      </c>
      <c r="O57" s="335">
        <f t="shared" si="63"/>
        <v>615</v>
      </c>
      <c r="P57" s="335">
        <f t="shared" si="63"/>
        <v>530</v>
      </c>
      <c r="Q57" s="335">
        <f t="shared" si="63"/>
        <v>420</v>
      </c>
      <c r="R57" s="335">
        <f t="shared" si="63"/>
        <v>365</v>
      </c>
      <c r="S57" s="335">
        <f t="shared" si="63"/>
        <v>310</v>
      </c>
      <c r="T57" s="335">
        <f t="shared" si="63"/>
        <v>200</v>
      </c>
      <c r="U57" s="334">
        <f t="shared" si="63"/>
        <v>18.881407717346594</v>
      </c>
      <c r="V57" s="335">
        <f t="shared" si="63"/>
        <v>16.588665351668794</v>
      </c>
      <c r="W57" s="335">
        <f t="shared" si="63"/>
        <v>14.295922985990991</v>
      </c>
      <c r="X57" s="335">
        <f t="shared" si="63"/>
        <v>11.328844630407957</v>
      </c>
      <c r="Y57" s="335">
        <f t="shared" si="63"/>
        <v>9.8453054526164383</v>
      </c>
      <c r="Z57" s="335">
        <f t="shared" si="63"/>
        <v>8.8519075860848027</v>
      </c>
      <c r="AA57" s="335">
        <f t="shared" si="63"/>
        <v>5.3946879192418837</v>
      </c>
      <c r="AB57" s="339"/>
      <c r="AC57" s="333"/>
      <c r="AD57" s="333"/>
      <c r="AE57" s="333"/>
      <c r="AF57" s="333"/>
      <c r="AG57" s="335">
        <f>MAX(AG45:AG54)</f>
        <v>2.6555722758254405</v>
      </c>
      <c r="AH57" s="333"/>
      <c r="AI57" s="339">
        <f>MAX(AI45:AI54)</f>
        <v>90</v>
      </c>
      <c r="AJ57" s="333"/>
      <c r="AK57" s="333"/>
      <c r="AL57" s="333"/>
      <c r="AM57" s="333"/>
      <c r="AN57" s="333">
        <f>MAX(AN45:AN54)</f>
        <v>86</v>
      </c>
      <c r="AO57" s="333"/>
      <c r="AP57" s="339">
        <f t="shared" ref="AP57:AV57" si="64">MAX(AP45:AP54)</f>
        <v>20</v>
      </c>
      <c r="AQ57" s="333">
        <f t="shared" si="64"/>
        <v>22.5</v>
      </c>
      <c r="AR57" s="333">
        <f t="shared" si="64"/>
        <v>25</v>
      </c>
      <c r="AS57" s="333">
        <f t="shared" si="64"/>
        <v>30</v>
      </c>
      <c r="AT57" s="333">
        <f t="shared" si="64"/>
        <v>30</v>
      </c>
      <c r="AU57" s="333">
        <f t="shared" si="64"/>
        <v>30</v>
      </c>
      <c r="AV57" s="342">
        <f t="shared" si="64"/>
        <v>30</v>
      </c>
      <c r="AW57" s="104"/>
    </row>
    <row r="58" spans="1:54" ht="14.4" customHeight="1" x14ac:dyDescent="0.3">
      <c r="A58" s="917"/>
      <c r="B58" s="939" t="s">
        <v>487</v>
      </c>
      <c r="C58" s="744">
        <v>4</v>
      </c>
      <c r="D58" s="744" t="s">
        <v>31</v>
      </c>
      <c r="E58" s="744">
        <v>2022</v>
      </c>
      <c r="F58" s="710" t="s">
        <v>19</v>
      </c>
      <c r="G58" s="244">
        <v>19.41</v>
      </c>
      <c r="H58" s="245">
        <f>16.28</f>
        <v>16.28</v>
      </c>
      <c r="I58" s="245">
        <f>13.15</f>
        <v>13.15</v>
      </c>
      <c r="J58" s="245">
        <f>12.13</f>
        <v>12.13</v>
      </c>
      <c r="K58" s="245">
        <v>12.1</v>
      </c>
      <c r="L58" s="245">
        <f>12.06</f>
        <v>12.06</v>
      </c>
      <c r="M58" s="93">
        <f>K58+((L58-K58)/(2050-2045))*(2060-2045)</f>
        <v>11.980000000000002</v>
      </c>
      <c r="N58" s="754"/>
      <c r="O58" s="755"/>
      <c r="P58" s="755"/>
      <c r="Q58" s="755"/>
      <c r="R58" s="755"/>
      <c r="S58" s="755"/>
      <c r="T58" s="756"/>
      <c r="U58" s="244">
        <f>G58*0.01*$BE$3</f>
        <v>0.26177723128121239</v>
      </c>
      <c r="V58" s="245">
        <f t="shared" ref="V58:Z58" si="65">H58*0.01*$BE$3</f>
        <v>0.21956379831314471</v>
      </c>
      <c r="W58" s="245">
        <f t="shared" si="65"/>
        <v>0.17735036534507695</v>
      </c>
      <c r="X58" s="245">
        <f t="shared" si="65"/>
        <v>0.16359391115101013</v>
      </c>
      <c r="Y58" s="245">
        <f t="shared" si="65"/>
        <v>0.16318930955706698</v>
      </c>
      <c r="Z58" s="245">
        <f t="shared" si="65"/>
        <v>0.1626498407651428</v>
      </c>
      <c r="AA58" s="95">
        <f>Y58+((Z58-Y58)/(2050-2045))*(2060-2045)</f>
        <v>0.16157090318129444</v>
      </c>
      <c r="AB58" s="240"/>
      <c r="AC58" s="236"/>
      <c r="AD58" s="236"/>
      <c r="AE58" s="236"/>
      <c r="AF58" s="242"/>
      <c r="AG58" s="236"/>
      <c r="AH58" s="667"/>
      <c r="AI58" s="240"/>
      <c r="AJ58" s="236"/>
      <c r="AK58" s="236"/>
      <c r="AL58" s="236"/>
      <c r="AM58" s="242"/>
      <c r="AN58" s="236"/>
      <c r="AO58" s="667"/>
      <c r="AP58" s="240">
        <v>30</v>
      </c>
      <c r="AQ58" s="236">
        <v>30</v>
      </c>
      <c r="AR58" s="236">
        <v>30</v>
      </c>
      <c r="AS58" s="236">
        <v>30</v>
      </c>
      <c r="AT58" s="242">
        <v>30</v>
      </c>
      <c r="AU58" s="236">
        <v>30</v>
      </c>
      <c r="AV58" s="103">
        <f>AT58+((AU58-AT58)/(2050-2045))*(2060-2045)</f>
        <v>30</v>
      </c>
    </row>
    <row r="59" spans="1:54" x14ac:dyDescent="0.3">
      <c r="A59" s="917"/>
      <c r="B59" s="970"/>
      <c r="C59" s="744">
        <v>22</v>
      </c>
      <c r="D59" s="757" t="s">
        <v>86</v>
      </c>
      <c r="E59" s="744">
        <v>2016</v>
      </c>
      <c r="F59" s="710" t="s">
        <v>19</v>
      </c>
      <c r="G59" s="247"/>
      <c r="H59" s="243"/>
      <c r="I59" s="245"/>
      <c r="J59" s="245"/>
      <c r="K59" s="245"/>
      <c r="L59" s="245">
        <f>10.04/1.1069</f>
        <v>9.0703767277983545</v>
      </c>
      <c r="M59" s="245"/>
      <c r="N59" s="758"/>
      <c r="O59" s="759"/>
      <c r="P59" s="759"/>
      <c r="Q59" s="759"/>
      <c r="R59" s="759"/>
      <c r="S59" s="759"/>
      <c r="T59" s="760"/>
      <c r="U59" s="244"/>
      <c r="V59" s="245"/>
      <c r="W59" s="245"/>
      <c r="X59" s="245"/>
      <c r="Y59" s="245"/>
      <c r="Z59" s="107">
        <f t="shared" ref="Z59:Z60" si="66">L59*0.02*$BE$3</f>
        <v>0.24465925878213254</v>
      </c>
      <c r="AA59" s="246"/>
      <c r="AB59" s="247"/>
      <c r="AC59" s="243"/>
      <c r="AD59" s="243"/>
      <c r="AE59" s="243"/>
      <c r="AF59" s="245"/>
      <c r="AG59" s="243"/>
      <c r="AH59" s="246"/>
      <c r="AI59" s="247"/>
      <c r="AJ59" s="243"/>
      <c r="AK59" s="243"/>
      <c r="AL59" s="243"/>
      <c r="AM59" s="245"/>
      <c r="AN59" s="243"/>
      <c r="AO59" s="246"/>
      <c r="AP59" s="247"/>
      <c r="AQ59" s="243"/>
      <c r="AR59" s="243"/>
      <c r="AS59" s="243"/>
      <c r="AT59" s="245"/>
      <c r="AU59" s="243"/>
      <c r="AV59" s="246"/>
      <c r="AW59" s="104" t="s">
        <v>488</v>
      </c>
    </row>
    <row r="60" spans="1:54" x14ac:dyDescent="0.3">
      <c r="A60" s="917"/>
      <c r="B60" s="971"/>
      <c r="C60" s="761">
        <v>22</v>
      </c>
      <c r="D60" s="762" t="s">
        <v>86</v>
      </c>
      <c r="E60" s="761">
        <v>2016</v>
      </c>
      <c r="F60" s="711" t="s">
        <v>19</v>
      </c>
      <c r="G60" s="250"/>
      <c r="H60" s="248"/>
      <c r="I60" s="249"/>
      <c r="J60" s="249"/>
      <c r="K60" s="249"/>
      <c r="L60" s="249">
        <f>16.35/1.1069</f>
        <v>14.770982021862862</v>
      </c>
      <c r="M60" s="249"/>
      <c r="N60" s="763"/>
      <c r="O60" s="764"/>
      <c r="P60" s="764"/>
      <c r="Q60" s="764"/>
      <c r="R60" s="764"/>
      <c r="S60" s="764"/>
      <c r="T60" s="765"/>
      <c r="U60" s="671"/>
      <c r="V60" s="249"/>
      <c r="W60" s="249"/>
      <c r="X60" s="249"/>
      <c r="Y60" s="249"/>
      <c r="Z60" s="122">
        <f t="shared" si="66"/>
        <v>0.39842419134341323</v>
      </c>
      <c r="AA60" s="766"/>
      <c r="AB60" s="250"/>
      <c r="AC60" s="248"/>
      <c r="AD60" s="248"/>
      <c r="AE60" s="248"/>
      <c r="AF60" s="249"/>
      <c r="AG60" s="248"/>
      <c r="AH60" s="766"/>
      <c r="AI60" s="250"/>
      <c r="AJ60" s="248"/>
      <c r="AK60" s="248"/>
      <c r="AL60" s="248"/>
      <c r="AM60" s="249"/>
      <c r="AN60" s="248"/>
      <c r="AO60" s="766"/>
      <c r="AP60" s="250"/>
      <c r="AQ60" s="248"/>
      <c r="AR60" s="248"/>
      <c r="AS60" s="248"/>
      <c r="AT60" s="249"/>
      <c r="AU60" s="248"/>
      <c r="AV60" s="766"/>
      <c r="AW60" s="104" t="s">
        <v>489</v>
      </c>
    </row>
    <row r="61" spans="1:54" x14ac:dyDescent="0.3">
      <c r="A61" s="917"/>
      <c r="B61" s="260" t="s">
        <v>267</v>
      </c>
      <c r="C61" s="767"/>
      <c r="D61" s="768"/>
      <c r="E61" s="767"/>
      <c r="F61" s="769"/>
      <c r="G61" s="262"/>
      <c r="H61" s="261"/>
      <c r="I61" s="263"/>
      <c r="J61" s="263"/>
      <c r="K61" s="263"/>
      <c r="L61" s="263">
        <f>MIN(L58:L60)</f>
        <v>9.0703767277983545</v>
      </c>
      <c r="M61" s="263"/>
      <c r="N61" s="262"/>
      <c r="O61" s="261"/>
      <c r="P61" s="263"/>
      <c r="Q61" s="263"/>
      <c r="R61" s="263"/>
      <c r="S61" s="263"/>
      <c r="T61" s="264"/>
      <c r="U61" s="263">
        <f t="shared" ref="U61:AA61" si="67">MIN(U58:U60)</f>
        <v>0.26177723128121239</v>
      </c>
      <c r="V61" s="263">
        <f t="shared" si="67"/>
        <v>0.21956379831314471</v>
      </c>
      <c r="W61" s="263">
        <f t="shared" si="67"/>
        <v>0.17735036534507695</v>
      </c>
      <c r="X61" s="263">
        <f t="shared" si="67"/>
        <v>0.16359391115101013</v>
      </c>
      <c r="Y61" s="263">
        <f t="shared" si="67"/>
        <v>0.16318930955706698</v>
      </c>
      <c r="Z61" s="263">
        <f t="shared" si="67"/>
        <v>0.1626498407651428</v>
      </c>
      <c r="AA61" s="263">
        <f t="shared" si="67"/>
        <v>0.16157090318129444</v>
      </c>
      <c r="AB61" s="265"/>
      <c r="AC61" s="261"/>
      <c r="AD61" s="261"/>
      <c r="AE61" s="261"/>
      <c r="AF61" s="263"/>
      <c r="AG61" s="261"/>
      <c r="AH61" s="264"/>
      <c r="AI61" s="265"/>
      <c r="AJ61" s="261"/>
      <c r="AK61" s="261"/>
      <c r="AL61" s="261"/>
      <c r="AM61" s="263"/>
      <c r="AN61" s="261"/>
      <c r="AO61" s="264"/>
      <c r="AP61" s="263">
        <f t="shared" ref="AP61:AV61" si="68">MIN(AP58:AP60)</f>
        <v>30</v>
      </c>
      <c r="AQ61" s="263">
        <f t="shared" si="68"/>
        <v>30</v>
      </c>
      <c r="AR61" s="263">
        <f t="shared" si="68"/>
        <v>30</v>
      </c>
      <c r="AS61" s="263">
        <f t="shared" si="68"/>
        <v>30</v>
      </c>
      <c r="AT61" s="263">
        <f t="shared" si="68"/>
        <v>30</v>
      </c>
      <c r="AU61" s="263">
        <f t="shared" si="68"/>
        <v>30</v>
      </c>
      <c r="AV61" s="263">
        <f t="shared" si="68"/>
        <v>30</v>
      </c>
    </row>
    <row r="62" spans="1:54" x14ac:dyDescent="0.3">
      <c r="A62" s="917"/>
      <c r="B62" s="260" t="s">
        <v>268</v>
      </c>
      <c r="C62" s="767"/>
      <c r="D62" s="767"/>
      <c r="E62" s="767"/>
      <c r="F62" s="769"/>
      <c r="G62" s="262"/>
      <c r="H62" s="263"/>
      <c r="I62" s="263"/>
      <c r="J62" s="263"/>
      <c r="K62" s="263"/>
      <c r="L62" s="263">
        <f>MEDIAN(L58:L60)</f>
        <v>12.06</v>
      </c>
      <c r="M62" s="263"/>
      <c r="N62" s="262"/>
      <c r="O62" s="261"/>
      <c r="P62" s="263"/>
      <c r="Q62" s="263"/>
      <c r="R62" s="263"/>
      <c r="S62" s="263"/>
      <c r="T62" s="264"/>
      <c r="U62" s="263">
        <f>MEDIAN(U58:U60)</f>
        <v>0.26177723128121239</v>
      </c>
      <c r="V62" s="263">
        <f t="shared" ref="V62:Y62" si="69">MEDIAN(V58:V60)</f>
        <v>0.21956379831314471</v>
      </c>
      <c r="W62" s="263">
        <f t="shared" si="69"/>
        <v>0.17735036534507695</v>
      </c>
      <c r="X62" s="263">
        <f t="shared" si="69"/>
        <v>0.16359391115101013</v>
      </c>
      <c r="Y62" s="263">
        <f t="shared" si="69"/>
        <v>0.16318930955706698</v>
      </c>
      <c r="Z62" s="263">
        <f>MEDIAN(Z58:Z60)</f>
        <v>0.24465925878213254</v>
      </c>
      <c r="AA62" s="263">
        <f>MEDIAN(AA58:AA60)</f>
        <v>0.16157090318129444</v>
      </c>
      <c r="AB62" s="265"/>
      <c r="AC62" s="261"/>
      <c r="AD62" s="261"/>
      <c r="AE62" s="261"/>
      <c r="AF62" s="263"/>
      <c r="AG62" s="261"/>
      <c r="AH62" s="264"/>
      <c r="AI62" s="265"/>
      <c r="AJ62" s="261"/>
      <c r="AK62" s="261"/>
      <c r="AL62" s="261"/>
      <c r="AM62" s="263"/>
      <c r="AN62" s="261"/>
      <c r="AO62" s="264"/>
      <c r="AP62" s="263">
        <f t="shared" ref="AP62:AV62" si="70">MEDIAN(AP58:AP60)</f>
        <v>30</v>
      </c>
      <c r="AQ62" s="263">
        <f t="shared" si="70"/>
        <v>30</v>
      </c>
      <c r="AR62" s="263">
        <f t="shared" si="70"/>
        <v>30</v>
      </c>
      <c r="AS62" s="263">
        <f t="shared" si="70"/>
        <v>30</v>
      </c>
      <c r="AT62" s="263">
        <f t="shared" si="70"/>
        <v>30</v>
      </c>
      <c r="AU62" s="263">
        <f t="shared" si="70"/>
        <v>30</v>
      </c>
      <c r="AV62" s="263">
        <f t="shared" si="70"/>
        <v>30</v>
      </c>
    </row>
    <row r="63" spans="1:54" x14ac:dyDescent="0.3">
      <c r="A63" s="917"/>
      <c r="B63" s="269" t="s">
        <v>269</v>
      </c>
      <c r="C63" s="770"/>
      <c r="D63" s="770"/>
      <c r="E63" s="770"/>
      <c r="F63" s="771"/>
      <c r="G63" s="270"/>
      <c r="H63" s="274"/>
      <c r="I63" s="274"/>
      <c r="J63" s="274"/>
      <c r="K63" s="274"/>
      <c r="L63" s="271">
        <f>MAX(L58:L60)</f>
        <v>14.770982021862862</v>
      </c>
      <c r="M63" s="274"/>
      <c r="N63" s="270"/>
      <c r="O63" s="274"/>
      <c r="P63" s="274"/>
      <c r="Q63" s="274"/>
      <c r="R63" s="274"/>
      <c r="S63" s="271"/>
      <c r="T63" s="277"/>
      <c r="U63" s="271">
        <f>MAX(U58:U60)</f>
        <v>0.26177723128121239</v>
      </c>
      <c r="V63" s="271">
        <f t="shared" ref="V63:AA63" si="71">MAX(V58:V60)</f>
        <v>0.21956379831314471</v>
      </c>
      <c r="W63" s="271">
        <f t="shared" si="71"/>
        <v>0.17735036534507695</v>
      </c>
      <c r="X63" s="271">
        <f t="shared" si="71"/>
        <v>0.16359391115101013</v>
      </c>
      <c r="Y63" s="271">
        <f t="shared" si="71"/>
        <v>0.16318930955706698</v>
      </c>
      <c r="Z63" s="271">
        <f t="shared" si="71"/>
        <v>0.39842419134341323</v>
      </c>
      <c r="AA63" s="271">
        <f t="shared" si="71"/>
        <v>0.16157090318129444</v>
      </c>
      <c r="AB63" s="273"/>
      <c r="AC63" s="274"/>
      <c r="AD63" s="274"/>
      <c r="AE63" s="274"/>
      <c r="AF63" s="274"/>
      <c r="AG63" s="274"/>
      <c r="AH63" s="277"/>
      <c r="AI63" s="273"/>
      <c r="AJ63" s="274"/>
      <c r="AK63" s="274"/>
      <c r="AL63" s="274"/>
      <c r="AM63" s="274"/>
      <c r="AN63" s="274"/>
      <c r="AO63" s="277"/>
      <c r="AP63" s="271">
        <f t="shared" ref="AP63:AV63" si="72">MAX(AP58:AP60)</f>
        <v>30</v>
      </c>
      <c r="AQ63" s="271">
        <f t="shared" si="72"/>
        <v>30</v>
      </c>
      <c r="AR63" s="271">
        <f t="shared" si="72"/>
        <v>30</v>
      </c>
      <c r="AS63" s="271">
        <f t="shared" si="72"/>
        <v>30</v>
      </c>
      <c r="AT63" s="271">
        <f t="shared" si="72"/>
        <v>30</v>
      </c>
      <c r="AU63" s="271">
        <f t="shared" si="72"/>
        <v>30</v>
      </c>
      <c r="AV63" s="271">
        <f t="shared" si="72"/>
        <v>30</v>
      </c>
    </row>
    <row r="64" spans="1:54" x14ac:dyDescent="0.3">
      <c r="A64" s="678"/>
      <c r="B64" s="678"/>
      <c r="C64" s="445"/>
      <c r="D64" s="439"/>
      <c r="E64" s="439"/>
      <c r="F64" s="446"/>
      <c r="G64" s="445"/>
      <c r="H64" s="439"/>
      <c r="I64" s="439"/>
      <c r="J64" s="439"/>
      <c r="K64" s="439"/>
      <c r="L64" s="441"/>
      <c r="M64" s="439"/>
      <c r="N64" s="440"/>
      <c r="O64" s="441"/>
      <c r="P64" s="441"/>
      <c r="Q64" s="441"/>
      <c r="R64" s="441"/>
      <c r="S64" s="441"/>
      <c r="T64" s="441"/>
      <c r="U64" s="445"/>
      <c r="V64" s="439"/>
      <c r="W64" s="439"/>
      <c r="X64" s="439"/>
      <c r="Y64" s="439"/>
      <c r="Z64" s="441"/>
      <c r="AA64" s="439"/>
      <c r="AB64" s="445"/>
      <c r="AC64" s="439"/>
      <c r="AD64" s="439"/>
      <c r="AE64" s="439"/>
      <c r="AF64" s="439"/>
      <c r="AG64" s="441"/>
      <c r="AH64" s="439"/>
      <c r="AI64" s="445"/>
      <c r="AJ64" s="439"/>
      <c r="AK64" s="439"/>
      <c r="AL64" s="439"/>
      <c r="AM64" s="439"/>
      <c r="AN64" s="439"/>
      <c r="AO64" s="439"/>
      <c r="AP64" s="445"/>
      <c r="AQ64" s="439"/>
      <c r="AR64" s="439"/>
      <c r="AS64" s="439"/>
      <c r="AT64" s="439"/>
      <c r="AU64" s="439"/>
      <c r="AV64" s="446"/>
      <c r="AW64" s="635"/>
      <c r="AX64" s="635"/>
      <c r="AY64" s="635"/>
      <c r="AZ64" s="635"/>
      <c r="BA64" s="635"/>
      <c r="BB64" s="635"/>
    </row>
    <row r="65" spans="1:49" ht="15" customHeight="1" x14ac:dyDescent="0.3">
      <c r="A65" s="959" t="s">
        <v>132</v>
      </c>
      <c r="B65" s="986" t="s">
        <v>471</v>
      </c>
      <c r="C65" s="687">
        <v>2</v>
      </c>
      <c r="D65" s="90" t="s">
        <v>23</v>
      </c>
      <c r="E65" s="90">
        <v>2019</v>
      </c>
      <c r="F65" s="688" t="s">
        <v>19</v>
      </c>
      <c r="G65" s="96"/>
      <c r="H65" s="97"/>
      <c r="I65" s="97"/>
      <c r="J65" s="97"/>
      <c r="K65" s="97"/>
      <c r="L65" s="94">
        <f>1820/1.1297</f>
        <v>1611.0471806674338</v>
      </c>
      <c r="M65" s="97"/>
      <c r="N65" s="447"/>
      <c r="O65" s="94"/>
      <c r="P65" s="94"/>
      <c r="Q65" s="94"/>
      <c r="R65" s="97"/>
      <c r="S65" s="94">
        <f>0.25/1.1297</f>
        <v>0.22129768965212004</v>
      </c>
      <c r="T65" s="97"/>
      <c r="U65" s="96"/>
      <c r="V65" s="97"/>
      <c r="W65" s="97"/>
      <c r="X65" s="97"/>
      <c r="Y65" s="97"/>
      <c r="Z65" s="94">
        <f>73/1.1297*$BE$4</f>
        <v>86.422593941981859</v>
      </c>
      <c r="AA65" s="97"/>
      <c r="AB65" s="96"/>
      <c r="AC65" s="97"/>
      <c r="AD65" s="97"/>
      <c r="AE65" s="97"/>
      <c r="AF65" s="97"/>
      <c r="AG65" s="97">
        <v>0</v>
      </c>
      <c r="AH65" s="97"/>
      <c r="AI65" s="96"/>
      <c r="AJ65" s="97"/>
      <c r="AK65" s="97"/>
      <c r="AL65" s="97"/>
      <c r="AM65" s="97"/>
      <c r="AN65" s="97"/>
      <c r="AO65" s="97"/>
      <c r="AP65" s="96"/>
      <c r="AQ65" s="97"/>
      <c r="AR65" s="97"/>
      <c r="AS65" s="97"/>
      <c r="AT65" s="97"/>
      <c r="AU65" s="97">
        <v>20</v>
      </c>
      <c r="AV65" s="43"/>
      <c r="AW65" s="104" t="s">
        <v>472</v>
      </c>
    </row>
    <row r="66" spans="1:49" x14ac:dyDescent="0.3">
      <c r="A66" s="960"/>
      <c r="B66" s="1018"/>
      <c r="C66" s="689">
        <v>4</v>
      </c>
      <c r="D66" s="105" t="s">
        <v>31</v>
      </c>
      <c r="E66" s="105">
        <v>2022</v>
      </c>
      <c r="F66" s="690" t="s">
        <v>19</v>
      </c>
      <c r="G66" s="110"/>
      <c r="H66" s="111"/>
      <c r="I66" s="111"/>
      <c r="J66" s="111"/>
      <c r="K66" s="111"/>
      <c r="L66" s="108"/>
      <c r="M66" s="111"/>
      <c r="N66" s="113">
        <v>3</v>
      </c>
      <c r="O66" s="108">
        <v>2.5</v>
      </c>
      <c r="P66" s="108">
        <v>2</v>
      </c>
      <c r="Q66" s="108">
        <v>1.5</v>
      </c>
      <c r="R66" s="108">
        <v>1.35</v>
      </c>
      <c r="S66" s="108">
        <v>1.2</v>
      </c>
      <c r="T66" s="107">
        <f>R66+((S66-R66)/(2050-2045))*(2060-2045)</f>
        <v>0.89999999999999969</v>
      </c>
      <c r="U66" s="110">
        <f>0*$BE$4</f>
        <v>0</v>
      </c>
      <c r="V66" s="111">
        <f t="shared" ref="V66:Z66" si="73">0*$BE$4</f>
        <v>0</v>
      </c>
      <c r="W66" s="111">
        <f t="shared" si="73"/>
        <v>0</v>
      </c>
      <c r="X66" s="111">
        <f t="shared" si="73"/>
        <v>0</v>
      </c>
      <c r="Y66" s="117">
        <f t="shared" si="73"/>
        <v>0</v>
      </c>
      <c r="Z66" s="111">
        <f t="shared" si="73"/>
        <v>0</v>
      </c>
      <c r="AA66" s="378">
        <f>Y66+((Z66-Y66)/(2050-2045))*(2060-2045)</f>
        <v>0</v>
      </c>
      <c r="AB66" s="110">
        <v>0</v>
      </c>
      <c r="AC66" s="111">
        <v>0</v>
      </c>
      <c r="AD66" s="111">
        <v>0</v>
      </c>
      <c r="AE66" s="111">
        <v>0</v>
      </c>
      <c r="AF66" s="117">
        <v>0</v>
      </c>
      <c r="AG66" s="111">
        <v>0</v>
      </c>
      <c r="AH66" s="378">
        <f>AF66+((AG66-AF66)/(2050-2045))*(2060-2045)</f>
        <v>0</v>
      </c>
      <c r="AI66" s="110"/>
      <c r="AJ66" s="111"/>
      <c r="AK66" s="111"/>
      <c r="AL66" s="111"/>
      <c r="AM66" s="111"/>
      <c r="AN66" s="111"/>
      <c r="AO66" s="111"/>
      <c r="AP66" s="110">
        <v>100</v>
      </c>
      <c r="AQ66" s="111">
        <v>100</v>
      </c>
      <c r="AR66" s="111">
        <v>100</v>
      </c>
      <c r="AS66" s="111">
        <v>100</v>
      </c>
      <c r="AT66" s="111">
        <v>100</v>
      </c>
      <c r="AU66" s="111">
        <v>100</v>
      </c>
      <c r="AV66" s="118">
        <f>AT66+((AU66-AT66)/(2050-2045))*(2060-2045)</f>
        <v>100</v>
      </c>
      <c r="AW66" s="104" t="s">
        <v>473</v>
      </c>
    </row>
    <row r="67" spans="1:49" x14ac:dyDescent="0.3">
      <c r="A67" s="960"/>
      <c r="B67" s="1018"/>
      <c r="C67" s="689">
        <v>14</v>
      </c>
      <c r="D67" s="750" t="s">
        <v>66</v>
      </c>
      <c r="E67" s="105">
        <v>2014</v>
      </c>
      <c r="F67" s="690" t="s">
        <v>19</v>
      </c>
      <c r="G67" s="110"/>
      <c r="H67" s="111"/>
      <c r="I67" s="111"/>
      <c r="J67" s="111"/>
      <c r="K67" s="111"/>
      <c r="L67" s="108"/>
      <c r="M67" s="111"/>
      <c r="N67" s="113"/>
      <c r="O67" s="108"/>
      <c r="P67" s="108">
        <v>0.5</v>
      </c>
      <c r="Q67" s="108"/>
      <c r="R67" s="111"/>
      <c r="S67" s="108"/>
      <c r="T67" s="111"/>
      <c r="U67" s="110"/>
      <c r="V67" s="111"/>
      <c r="W67" s="107">
        <f t="shared" ref="W67:W69" si="74">P67*0.02*$BE$4</f>
        <v>1.3374192380309164E-2</v>
      </c>
      <c r="X67" s="111"/>
      <c r="Y67" s="111"/>
      <c r="Z67" s="111"/>
      <c r="AA67" s="111"/>
      <c r="AB67" s="110"/>
      <c r="AC67" s="111"/>
      <c r="AD67" s="111"/>
      <c r="AE67" s="111"/>
      <c r="AF67" s="111"/>
      <c r="AG67" s="111"/>
      <c r="AH67" s="111"/>
      <c r="AI67" s="110"/>
      <c r="AJ67" s="111"/>
      <c r="AK67" s="111"/>
      <c r="AL67" s="111"/>
      <c r="AM67" s="111"/>
      <c r="AN67" s="111"/>
      <c r="AO67" s="111"/>
      <c r="AP67" s="110"/>
      <c r="AQ67" s="111"/>
      <c r="AR67" s="111"/>
      <c r="AS67" s="111"/>
      <c r="AT67" s="111"/>
      <c r="AU67" s="111"/>
      <c r="AV67" s="46"/>
      <c r="AW67" s="104" t="s">
        <v>474</v>
      </c>
    </row>
    <row r="68" spans="1:49" x14ac:dyDescent="0.3">
      <c r="A68" s="960"/>
      <c r="B68" s="1018"/>
      <c r="C68" s="689">
        <v>15</v>
      </c>
      <c r="D68" s="750" t="s">
        <v>68</v>
      </c>
      <c r="E68" s="105">
        <v>2017</v>
      </c>
      <c r="F68" s="690" t="s">
        <v>19</v>
      </c>
      <c r="G68" s="110"/>
      <c r="H68" s="111"/>
      <c r="I68" s="111"/>
      <c r="J68" s="111"/>
      <c r="K68" s="111"/>
      <c r="L68" s="108"/>
      <c r="M68" s="111"/>
      <c r="N68" s="113"/>
      <c r="O68" s="108"/>
      <c r="P68" s="108">
        <v>1</v>
      </c>
      <c r="Q68" s="108"/>
      <c r="R68" s="111"/>
      <c r="S68" s="108"/>
      <c r="T68" s="111"/>
      <c r="U68" s="110"/>
      <c r="V68" s="111"/>
      <c r="W68" s="107">
        <f t="shared" si="74"/>
        <v>2.6748384760618329E-2</v>
      </c>
      <c r="X68" s="111"/>
      <c r="Y68" s="111"/>
      <c r="Z68" s="111"/>
      <c r="AA68" s="111"/>
      <c r="AB68" s="110"/>
      <c r="AC68" s="111"/>
      <c r="AD68" s="111"/>
      <c r="AE68" s="111"/>
      <c r="AF68" s="111"/>
      <c r="AG68" s="111"/>
      <c r="AH68" s="111"/>
      <c r="AI68" s="110"/>
      <c r="AJ68" s="111"/>
      <c r="AK68" s="111"/>
      <c r="AL68" s="111"/>
      <c r="AM68" s="111"/>
      <c r="AN68" s="111"/>
      <c r="AO68" s="111"/>
      <c r="AP68" s="110"/>
      <c r="AQ68" s="111"/>
      <c r="AR68" s="111"/>
      <c r="AS68" s="111"/>
      <c r="AT68" s="111"/>
      <c r="AU68" s="111"/>
      <c r="AV68" s="46"/>
      <c r="AW68" s="104" t="s">
        <v>475</v>
      </c>
    </row>
    <row r="69" spans="1:49" x14ac:dyDescent="0.3">
      <c r="A69" s="960"/>
      <c r="B69" s="1018"/>
      <c r="C69" s="689">
        <v>16</v>
      </c>
      <c r="D69" s="750" t="s">
        <v>70</v>
      </c>
      <c r="E69" s="105">
        <v>2014</v>
      </c>
      <c r="F69" s="690" t="s">
        <v>19</v>
      </c>
      <c r="G69" s="110"/>
      <c r="H69" s="111"/>
      <c r="I69" s="111"/>
      <c r="J69" s="111"/>
      <c r="K69" s="111"/>
      <c r="L69" s="108"/>
      <c r="M69" s="111"/>
      <c r="N69" s="113"/>
      <c r="O69" s="108"/>
      <c r="P69" s="108">
        <v>0.2</v>
      </c>
      <c r="Q69" s="108"/>
      <c r="R69" s="111"/>
      <c r="S69" s="108"/>
      <c r="T69" s="111"/>
      <c r="U69" s="110"/>
      <c r="V69" s="111"/>
      <c r="W69" s="107">
        <f t="shared" si="74"/>
        <v>5.3496769521236658E-3</v>
      </c>
      <c r="X69" s="111"/>
      <c r="Y69" s="111"/>
      <c r="Z69" s="111"/>
      <c r="AA69" s="111"/>
      <c r="AB69" s="110"/>
      <c r="AC69" s="111"/>
      <c r="AD69" s="111"/>
      <c r="AE69" s="111"/>
      <c r="AF69" s="111"/>
      <c r="AG69" s="111"/>
      <c r="AH69" s="111"/>
      <c r="AI69" s="110"/>
      <c r="AJ69" s="111"/>
      <c r="AK69" s="111"/>
      <c r="AL69" s="111"/>
      <c r="AM69" s="111"/>
      <c r="AN69" s="111"/>
      <c r="AO69" s="111"/>
      <c r="AP69" s="110"/>
      <c r="AQ69" s="111"/>
      <c r="AR69" s="111"/>
      <c r="AS69" s="111"/>
      <c r="AT69" s="111"/>
      <c r="AU69" s="111"/>
      <c r="AV69" s="46"/>
      <c r="AW69" s="104" t="s">
        <v>476</v>
      </c>
    </row>
    <row r="70" spans="1:49" x14ac:dyDescent="0.3">
      <c r="A70" s="960"/>
      <c r="B70" s="1018"/>
      <c r="C70" s="689">
        <v>18</v>
      </c>
      <c r="D70" s="750" t="s">
        <v>76</v>
      </c>
      <c r="E70" s="105">
        <v>2021</v>
      </c>
      <c r="F70" s="690" t="s">
        <v>19</v>
      </c>
      <c r="G70" s="110"/>
      <c r="H70" s="111"/>
      <c r="I70" s="111"/>
      <c r="J70" s="111"/>
      <c r="K70" s="111"/>
      <c r="L70" s="108"/>
      <c r="M70" s="111"/>
      <c r="N70" s="113">
        <f t="shared" ref="N70:N72" si="75">N8</f>
        <v>3.1202917366227195E-2</v>
      </c>
      <c r="O70" s="108"/>
      <c r="P70" s="108"/>
      <c r="Q70" s="108"/>
      <c r="R70" s="111"/>
      <c r="S70" s="108"/>
      <c r="T70" s="111"/>
      <c r="U70" s="110"/>
      <c r="V70" s="111"/>
      <c r="W70" s="111"/>
      <c r="X70" s="111"/>
      <c r="Y70" s="111"/>
      <c r="Z70" s="111"/>
      <c r="AA70" s="111"/>
      <c r="AB70" s="110"/>
      <c r="AC70" s="111"/>
      <c r="AD70" s="111"/>
      <c r="AE70" s="111"/>
      <c r="AF70" s="111"/>
      <c r="AG70" s="111"/>
      <c r="AH70" s="111"/>
      <c r="AI70" s="110"/>
      <c r="AJ70" s="111"/>
      <c r="AK70" s="111"/>
      <c r="AL70" s="111"/>
      <c r="AM70" s="111"/>
      <c r="AN70" s="111"/>
      <c r="AO70" s="111"/>
      <c r="AP70" s="110"/>
      <c r="AQ70" s="111"/>
      <c r="AR70" s="111"/>
      <c r="AS70" s="111"/>
      <c r="AT70" s="111"/>
      <c r="AU70" s="111"/>
      <c r="AV70" s="46"/>
      <c r="AW70" t="s">
        <v>477</v>
      </c>
    </row>
    <row r="71" spans="1:49" x14ac:dyDescent="0.3">
      <c r="A71" s="960"/>
      <c r="B71" s="1018"/>
      <c r="C71" s="689">
        <v>18</v>
      </c>
      <c r="D71" s="750" t="s">
        <v>76</v>
      </c>
      <c r="E71" s="105">
        <v>2021</v>
      </c>
      <c r="F71" s="690" t="s">
        <v>19</v>
      </c>
      <c r="G71" s="110"/>
      <c r="H71" s="111"/>
      <c r="I71" s="111"/>
      <c r="J71" s="111"/>
      <c r="K71" s="111"/>
      <c r="L71" s="108"/>
      <c r="M71" s="111"/>
      <c r="N71" s="113">
        <f t="shared" si="75"/>
        <v>3.2725010896287057E-2</v>
      </c>
      <c r="O71" s="108"/>
      <c r="P71" s="108"/>
      <c r="Q71" s="108"/>
      <c r="R71" s="111"/>
      <c r="S71" s="108"/>
      <c r="T71" s="111"/>
      <c r="U71" s="110"/>
      <c r="V71" s="111"/>
      <c r="W71" s="111"/>
      <c r="X71" s="111"/>
      <c r="Y71" s="111"/>
      <c r="Z71" s="111"/>
      <c r="AA71" s="111"/>
      <c r="AB71" s="110"/>
      <c r="AC71" s="111"/>
      <c r="AD71" s="111"/>
      <c r="AE71" s="111"/>
      <c r="AF71" s="111"/>
      <c r="AG71" s="111"/>
      <c r="AH71" s="111"/>
      <c r="AI71" s="110"/>
      <c r="AJ71" s="111"/>
      <c r="AK71" s="111"/>
      <c r="AL71" s="111"/>
      <c r="AM71" s="111"/>
      <c r="AN71" s="111"/>
      <c r="AO71" s="111"/>
      <c r="AP71" s="110"/>
      <c r="AQ71" s="111"/>
      <c r="AR71" s="111"/>
      <c r="AS71" s="111"/>
      <c r="AT71" s="111"/>
      <c r="AU71" s="111"/>
      <c r="AV71" s="46"/>
      <c r="AW71" t="s">
        <v>478</v>
      </c>
    </row>
    <row r="72" spans="1:49" x14ac:dyDescent="0.3">
      <c r="A72" s="960"/>
      <c r="B72" s="1018"/>
      <c r="C72" s="691">
        <v>18</v>
      </c>
      <c r="D72" s="751" t="s">
        <v>76</v>
      </c>
      <c r="E72" s="120">
        <v>2021</v>
      </c>
      <c r="F72" s="692" t="s">
        <v>19</v>
      </c>
      <c r="G72" s="123"/>
      <c r="H72" s="124"/>
      <c r="I72" s="124"/>
      <c r="J72" s="124"/>
      <c r="K72" s="124"/>
      <c r="L72" s="121"/>
      <c r="M72" s="124"/>
      <c r="N72" s="587">
        <f t="shared" si="75"/>
        <v>4.0842843056606334E-2</v>
      </c>
      <c r="O72" s="121"/>
      <c r="P72" s="121"/>
      <c r="Q72" s="121"/>
      <c r="R72" s="124"/>
      <c r="S72" s="121"/>
      <c r="T72" s="124"/>
      <c r="U72" s="123"/>
      <c r="V72" s="124"/>
      <c r="W72" s="124"/>
      <c r="X72" s="124"/>
      <c r="Y72" s="124"/>
      <c r="Z72" s="124"/>
      <c r="AA72" s="124"/>
      <c r="AB72" s="123"/>
      <c r="AC72" s="124"/>
      <c r="AD72" s="124"/>
      <c r="AE72" s="124"/>
      <c r="AF72" s="124"/>
      <c r="AG72" s="124"/>
      <c r="AH72" s="124"/>
      <c r="AI72" s="123"/>
      <c r="AJ72" s="124"/>
      <c r="AK72" s="124"/>
      <c r="AL72" s="124"/>
      <c r="AM72" s="124"/>
      <c r="AN72" s="124"/>
      <c r="AO72" s="124"/>
      <c r="AP72" s="123"/>
      <c r="AQ72" s="124"/>
      <c r="AR72" s="124"/>
      <c r="AS72" s="124"/>
      <c r="AT72" s="124"/>
      <c r="AU72" s="124"/>
      <c r="AV72" s="51"/>
      <c r="AW72" t="s">
        <v>479</v>
      </c>
    </row>
    <row r="73" spans="1:49" x14ac:dyDescent="0.3">
      <c r="A73" s="960"/>
      <c r="B73" s="693" t="s">
        <v>267</v>
      </c>
      <c r="C73" s="131"/>
      <c r="D73" s="126"/>
      <c r="E73" s="126"/>
      <c r="F73" s="132"/>
      <c r="G73" s="131"/>
      <c r="H73" s="126"/>
      <c r="I73" s="126"/>
      <c r="J73" s="126"/>
      <c r="K73" s="126"/>
      <c r="L73" s="128">
        <f>MIN(L65:L72)</f>
        <v>1611.0471806674338</v>
      </c>
      <c r="M73" s="126"/>
      <c r="N73" s="127">
        <f t="shared" ref="N73:AH73" si="76">MIN(N65:N72)</f>
        <v>3.1202917366227195E-2</v>
      </c>
      <c r="O73" s="128">
        <f t="shared" si="76"/>
        <v>2.5</v>
      </c>
      <c r="P73" s="128">
        <f t="shared" si="76"/>
        <v>0.2</v>
      </c>
      <c r="Q73" s="128">
        <f t="shared" si="76"/>
        <v>1.5</v>
      </c>
      <c r="R73" s="126">
        <f t="shared" si="76"/>
        <v>1.35</v>
      </c>
      <c r="S73" s="128">
        <f t="shared" si="76"/>
        <v>0.22129768965212004</v>
      </c>
      <c r="T73" s="128">
        <f t="shared" si="76"/>
        <v>0.89999999999999969</v>
      </c>
      <c r="U73" s="131">
        <f t="shared" si="76"/>
        <v>0</v>
      </c>
      <c r="V73" s="126">
        <f t="shared" si="76"/>
        <v>0</v>
      </c>
      <c r="W73" s="128">
        <f t="shared" si="76"/>
        <v>0</v>
      </c>
      <c r="X73" s="126">
        <f t="shared" si="76"/>
        <v>0</v>
      </c>
      <c r="Y73" s="126">
        <f t="shared" si="76"/>
        <v>0</v>
      </c>
      <c r="Z73" s="126">
        <f t="shared" si="76"/>
        <v>0</v>
      </c>
      <c r="AA73" s="126">
        <f t="shared" si="76"/>
        <v>0</v>
      </c>
      <c r="AB73" s="131">
        <f t="shared" si="76"/>
        <v>0</v>
      </c>
      <c r="AC73" s="126">
        <f t="shared" si="76"/>
        <v>0</v>
      </c>
      <c r="AD73" s="126">
        <f t="shared" si="76"/>
        <v>0</v>
      </c>
      <c r="AE73" s="126">
        <f t="shared" si="76"/>
        <v>0</v>
      </c>
      <c r="AF73" s="126">
        <f t="shared" si="76"/>
        <v>0</v>
      </c>
      <c r="AG73" s="126">
        <f t="shared" si="76"/>
        <v>0</v>
      </c>
      <c r="AH73" s="126">
        <f t="shared" si="76"/>
        <v>0</v>
      </c>
      <c r="AI73" s="131"/>
      <c r="AJ73" s="126"/>
      <c r="AK73" s="126"/>
      <c r="AL73" s="126"/>
      <c r="AM73" s="126"/>
      <c r="AN73" s="126"/>
      <c r="AO73" s="126"/>
      <c r="AP73" s="131">
        <f t="shared" ref="AP73:AV73" si="77">MIN(AP65:AP72)</f>
        <v>100</v>
      </c>
      <c r="AQ73" s="126">
        <f t="shared" si="77"/>
        <v>100</v>
      </c>
      <c r="AR73" s="126">
        <f t="shared" si="77"/>
        <v>100</v>
      </c>
      <c r="AS73" s="126">
        <f t="shared" si="77"/>
        <v>100</v>
      </c>
      <c r="AT73" s="126">
        <f t="shared" si="77"/>
        <v>100</v>
      </c>
      <c r="AU73" s="126">
        <f t="shared" si="77"/>
        <v>20</v>
      </c>
      <c r="AV73" s="132">
        <f t="shared" si="77"/>
        <v>100</v>
      </c>
      <c r="AW73" s="104"/>
    </row>
    <row r="74" spans="1:49" x14ac:dyDescent="0.3">
      <c r="A74" s="960"/>
      <c r="B74" s="694" t="s">
        <v>268</v>
      </c>
      <c r="C74" s="139"/>
      <c r="D74" s="134"/>
      <c r="E74" s="134"/>
      <c r="F74" s="140"/>
      <c r="G74" s="139"/>
      <c r="H74" s="134"/>
      <c r="I74" s="134"/>
      <c r="J74" s="134"/>
      <c r="K74" s="134"/>
      <c r="L74" s="136">
        <f>AVERAGE(L65:L72)</f>
        <v>1611.0471806674338</v>
      </c>
      <c r="M74" s="134"/>
      <c r="N74" s="135">
        <f t="shared" ref="N74:AH74" si="78">AVERAGE(N65:N72)</f>
        <v>0.77619269282978021</v>
      </c>
      <c r="O74" s="136">
        <f t="shared" si="78"/>
        <v>2.5</v>
      </c>
      <c r="P74" s="136">
        <f t="shared" si="78"/>
        <v>0.92500000000000004</v>
      </c>
      <c r="Q74" s="136">
        <f t="shared" si="78"/>
        <v>1.5</v>
      </c>
      <c r="R74" s="136">
        <f t="shared" si="78"/>
        <v>1.35</v>
      </c>
      <c r="S74" s="136">
        <f t="shared" si="78"/>
        <v>0.71064884482605994</v>
      </c>
      <c r="T74" s="136">
        <f t="shared" si="78"/>
        <v>0.89999999999999969</v>
      </c>
      <c r="U74" s="139">
        <f t="shared" si="78"/>
        <v>0</v>
      </c>
      <c r="V74" s="134">
        <f t="shared" si="78"/>
        <v>0</v>
      </c>
      <c r="W74" s="136">
        <f t="shared" si="78"/>
        <v>1.1368063523262788E-2</v>
      </c>
      <c r="X74" s="134">
        <f t="shared" si="78"/>
        <v>0</v>
      </c>
      <c r="Y74" s="134">
        <f t="shared" si="78"/>
        <v>0</v>
      </c>
      <c r="Z74" s="136">
        <f t="shared" si="78"/>
        <v>43.211296970990929</v>
      </c>
      <c r="AA74" s="134">
        <f t="shared" si="78"/>
        <v>0</v>
      </c>
      <c r="AB74" s="139">
        <f t="shared" si="78"/>
        <v>0</v>
      </c>
      <c r="AC74" s="134">
        <f t="shared" si="78"/>
        <v>0</v>
      </c>
      <c r="AD74" s="134">
        <f t="shared" si="78"/>
        <v>0</v>
      </c>
      <c r="AE74" s="134">
        <f t="shared" si="78"/>
        <v>0</v>
      </c>
      <c r="AF74" s="134">
        <f t="shared" si="78"/>
        <v>0</v>
      </c>
      <c r="AG74" s="134">
        <f t="shared" si="78"/>
        <v>0</v>
      </c>
      <c r="AH74" s="134">
        <f t="shared" si="78"/>
        <v>0</v>
      </c>
      <c r="AI74" s="139"/>
      <c r="AJ74" s="134"/>
      <c r="AK74" s="134"/>
      <c r="AL74" s="134"/>
      <c r="AM74" s="134"/>
      <c r="AN74" s="134"/>
      <c r="AO74" s="134"/>
      <c r="AP74" s="139">
        <f t="shared" ref="AP74:AV74" si="79">AVERAGE(AP65:AP72)</f>
        <v>100</v>
      </c>
      <c r="AQ74" s="134">
        <f t="shared" si="79"/>
        <v>100</v>
      </c>
      <c r="AR74" s="134">
        <f t="shared" si="79"/>
        <v>100</v>
      </c>
      <c r="AS74" s="134">
        <f t="shared" si="79"/>
        <v>100</v>
      </c>
      <c r="AT74" s="134">
        <f t="shared" si="79"/>
        <v>100</v>
      </c>
      <c r="AU74" s="134">
        <f t="shared" si="79"/>
        <v>60</v>
      </c>
      <c r="AV74" s="140">
        <f t="shared" si="79"/>
        <v>100</v>
      </c>
      <c r="AW74" s="104"/>
    </row>
    <row r="75" spans="1:49" x14ac:dyDescent="0.3">
      <c r="A75" s="960"/>
      <c r="B75" s="695" t="s">
        <v>269</v>
      </c>
      <c r="C75" s="145"/>
      <c r="D75" s="142"/>
      <c r="E75" s="142"/>
      <c r="F75" s="146"/>
      <c r="G75" s="145"/>
      <c r="H75" s="142"/>
      <c r="I75" s="142"/>
      <c r="J75" s="142"/>
      <c r="K75" s="142"/>
      <c r="L75" s="143">
        <f>MAX(L65:L72)</f>
        <v>1611.0471806674338</v>
      </c>
      <c r="M75" s="142"/>
      <c r="N75" s="591">
        <f t="shared" ref="N75:AH75" si="80">MAX(N65:N72)</f>
        <v>3</v>
      </c>
      <c r="O75" s="143">
        <f t="shared" si="80"/>
        <v>2.5</v>
      </c>
      <c r="P75" s="143">
        <f t="shared" si="80"/>
        <v>2</v>
      </c>
      <c r="Q75" s="143">
        <f t="shared" si="80"/>
        <v>1.5</v>
      </c>
      <c r="R75" s="143">
        <f t="shared" si="80"/>
        <v>1.35</v>
      </c>
      <c r="S75" s="143">
        <f t="shared" si="80"/>
        <v>1.2</v>
      </c>
      <c r="T75" s="143">
        <f t="shared" si="80"/>
        <v>0.89999999999999969</v>
      </c>
      <c r="U75" s="145">
        <f t="shared" si="80"/>
        <v>0</v>
      </c>
      <c r="V75" s="142">
        <f t="shared" si="80"/>
        <v>0</v>
      </c>
      <c r="W75" s="143">
        <f t="shared" si="80"/>
        <v>2.6748384760618329E-2</v>
      </c>
      <c r="X75" s="142">
        <f t="shared" si="80"/>
        <v>0</v>
      </c>
      <c r="Y75" s="142">
        <f t="shared" si="80"/>
        <v>0</v>
      </c>
      <c r="Z75" s="143">
        <f t="shared" si="80"/>
        <v>86.422593941981859</v>
      </c>
      <c r="AA75" s="142">
        <f t="shared" si="80"/>
        <v>0</v>
      </c>
      <c r="AB75" s="145">
        <f t="shared" si="80"/>
        <v>0</v>
      </c>
      <c r="AC75" s="142">
        <f t="shared" si="80"/>
        <v>0</v>
      </c>
      <c r="AD75" s="142">
        <f t="shared" si="80"/>
        <v>0</v>
      </c>
      <c r="AE75" s="142">
        <f t="shared" si="80"/>
        <v>0</v>
      </c>
      <c r="AF75" s="142">
        <f t="shared" si="80"/>
        <v>0</v>
      </c>
      <c r="AG75" s="142">
        <f t="shared" si="80"/>
        <v>0</v>
      </c>
      <c r="AH75" s="142">
        <f t="shared" si="80"/>
        <v>0</v>
      </c>
      <c r="AI75" s="145"/>
      <c r="AJ75" s="142"/>
      <c r="AK75" s="142"/>
      <c r="AL75" s="142"/>
      <c r="AM75" s="142"/>
      <c r="AN75" s="142"/>
      <c r="AO75" s="142"/>
      <c r="AP75" s="145">
        <f t="shared" ref="AP75:AV75" si="81">MAX(AP65:AP72)</f>
        <v>100</v>
      </c>
      <c r="AQ75" s="142">
        <f t="shared" si="81"/>
        <v>100</v>
      </c>
      <c r="AR75" s="142">
        <f t="shared" si="81"/>
        <v>100</v>
      </c>
      <c r="AS75" s="142">
        <f t="shared" si="81"/>
        <v>100</v>
      </c>
      <c r="AT75" s="142">
        <f t="shared" si="81"/>
        <v>100</v>
      </c>
      <c r="AU75" s="142">
        <f t="shared" si="81"/>
        <v>100</v>
      </c>
      <c r="AV75" s="146">
        <f t="shared" si="81"/>
        <v>100</v>
      </c>
      <c r="AW75" s="104"/>
    </row>
    <row r="76" spans="1:49" ht="15" customHeight="1" x14ac:dyDescent="0.3">
      <c r="A76" s="960"/>
      <c r="B76" s="943" t="s">
        <v>480</v>
      </c>
      <c r="C76" s="737">
        <v>2</v>
      </c>
      <c r="D76" s="623" t="s">
        <v>23</v>
      </c>
      <c r="E76" s="623">
        <v>2019</v>
      </c>
      <c r="F76" s="280" t="s">
        <v>19</v>
      </c>
      <c r="G76" s="278"/>
      <c r="H76" s="279"/>
      <c r="I76" s="279"/>
      <c r="J76" s="279"/>
      <c r="K76" s="279"/>
      <c r="L76" s="281">
        <f>95/1.1297</f>
        <v>84.093122067805623</v>
      </c>
      <c r="M76" s="279"/>
      <c r="N76" s="508"/>
      <c r="O76" s="281"/>
      <c r="P76" s="281"/>
      <c r="Q76" s="281"/>
      <c r="R76" s="279"/>
      <c r="S76" s="281">
        <f>110/1.1297</f>
        <v>97.370983446932826</v>
      </c>
      <c r="T76" s="279"/>
      <c r="U76" s="278"/>
      <c r="V76" s="279"/>
      <c r="W76" s="279"/>
      <c r="X76" s="279"/>
      <c r="Y76" s="279"/>
      <c r="Z76" s="281">
        <f>10/1.1297*$BE$4</f>
        <v>11.838711498901626</v>
      </c>
      <c r="AA76" s="279"/>
      <c r="AB76" s="278"/>
      <c r="AC76" s="279"/>
      <c r="AD76" s="279"/>
      <c r="AE76" s="279"/>
      <c r="AF76" s="279"/>
      <c r="AG76" s="281">
        <f>3/1.1297</f>
        <v>2.6555722758254405</v>
      </c>
      <c r="AH76" s="279"/>
      <c r="AI76" s="278"/>
      <c r="AJ76" s="279"/>
      <c r="AK76" s="279"/>
      <c r="AL76" s="279"/>
      <c r="AM76" s="279"/>
      <c r="AN76" s="279">
        <v>86</v>
      </c>
      <c r="AO76" s="279"/>
      <c r="AP76" s="278"/>
      <c r="AQ76" s="279"/>
      <c r="AR76" s="279"/>
      <c r="AS76" s="279"/>
      <c r="AT76" s="279"/>
      <c r="AU76" s="279">
        <v>13</v>
      </c>
      <c r="AV76" s="7"/>
      <c r="AW76" s="104"/>
    </row>
    <row r="77" spans="1:49" x14ac:dyDescent="0.3">
      <c r="A77" s="960"/>
      <c r="B77" s="944"/>
      <c r="C77" s="738">
        <v>4</v>
      </c>
      <c r="D77" s="626" t="s">
        <v>31</v>
      </c>
      <c r="E77" s="626">
        <v>2022</v>
      </c>
      <c r="F77" s="291" t="s">
        <v>19</v>
      </c>
      <c r="G77" s="289"/>
      <c r="H77" s="290"/>
      <c r="I77" s="290"/>
      <c r="J77" s="290"/>
      <c r="K77" s="290"/>
      <c r="L77" s="282"/>
      <c r="M77" s="290"/>
      <c r="N77" s="510">
        <f>232</f>
        <v>232</v>
      </c>
      <c r="O77" s="282">
        <v>187</v>
      </c>
      <c r="P77" s="282">
        <v>142</v>
      </c>
      <c r="Q77" s="282">
        <v>94</v>
      </c>
      <c r="R77" s="282">
        <v>84.5</v>
      </c>
      <c r="S77" s="282">
        <v>75</v>
      </c>
      <c r="T77" s="107">
        <f>R77+((S77-R77)/(2050-2045))*(2060-2045)</f>
        <v>56</v>
      </c>
      <c r="U77" s="106">
        <f t="shared" ref="U77:U79" si="82">N77*0.02*$BE$4</f>
        <v>6.2056252644634515</v>
      </c>
      <c r="V77" s="107">
        <f t="shared" ref="V77:AA84" si="83">O77*0.02*$BE$4</f>
        <v>5.0019479502356274</v>
      </c>
      <c r="W77" s="107">
        <f t="shared" si="83"/>
        <v>3.7982706360078025</v>
      </c>
      <c r="X77" s="107">
        <f t="shared" si="83"/>
        <v>2.514348167498123</v>
      </c>
      <c r="Y77" s="107">
        <f t="shared" si="83"/>
        <v>2.2602385122722488</v>
      </c>
      <c r="Z77" s="107">
        <f t="shared" si="83"/>
        <v>2.0061288570463747</v>
      </c>
      <c r="AA77" s="107">
        <f t="shared" si="83"/>
        <v>1.4979095465946266</v>
      </c>
      <c r="AB77" s="289"/>
      <c r="AC77" s="290"/>
      <c r="AD77" s="290"/>
      <c r="AE77" s="290"/>
      <c r="AF77" s="290"/>
      <c r="AG77" s="282"/>
      <c r="AH77" s="290"/>
      <c r="AI77" s="289"/>
      <c r="AJ77" s="290"/>
      <c r="AK77" s="290"/>
      <c r="AL77" s="290"/>
      <c r="AM77" s="290"/>
      <c r="AN77" s="290"/>
      <c r="AO77" s="290"/>
      <c r="AP77" s="289">
        <v>20</v>
      </c>
      <c r="AQ77" s="290">
        <v>22.5</v>
      </c>
      <c r="AR77" s="290">
        <v>25</v>
      </c>
      <c r="AS77" s="290">
        <v>30</v>
      </c>
      <c r="AT77" s="290">
        <v>30</v>
      </c>
      <c r="AU77" s="290">
        <v>30</v>
      </c>
      <c r="AV77" s="118">
        <f>AT77+((AU77-AT77)/(2050-2045))*(2060-2045)</f>
        <v>30</v>
      </c>
      <c r="AW77" s="104"/>
    </row>
    <row r="78" spans="1:49" x14ac:dyDescent="0.3">
      <c r="A78" s="960"/>
      <c r="B78" s="944"/>
      <c r="C78" s="738">
        <v>8</v>
      </c>
      <c r="D78" s="627" t="s">
        <v>45</v>
      </c>
      <c r="E78" s="626">
        <v>2021</v>
      </c>
      <c r="F78" s="291" t="s">
        <v>19</v>
      </c>
      <c r="G78" s="289"/>
      <c r="H78" s="290"/>
      <c r="I78" s="290"/>
      <c r="J78" s="290"/>
      <c r="K78" s="290"/>
      <c r="L78" s="282"/>
      <c r="M78" s="290"/>
      <c r="N78" s="510">
        <v>500</v>
      </c>
      <c r="O78" s="107">
        <f t="shared" ref="O78:O84" si="84">N78+((P78-N78)/(2030-2020))*(2025-2020)</f>
        <v>400</v>
      </c>
      <c r="P78" s="282">
        <v>300</v>
      </c>
      <c r="Q78" s="282">
        <v>150</v>
      </c>
      <c r="R78" s="107">
        <v>75</v>
      </c>
      <c r="S78" s="107">
        <v>75</v>
      </c>
      <c r="T78" s="107">
        <v>75</v>
      </c>
      <c r="U78" s="106">
        <f t="shared" si="82"/>
        <v>13.374192380309164</v>
      </c>
      <c r="V78" s="107">
        <f t="shared" si="83"/>
        <v>10.699353904247332</v>
      </c>
      <c r="W78" s="107">
        <f t="shared" ref="W78:W79" si="85">P78*0.02*$BE$4</f>
        <v>8.0245154281854987</v>
      </c>
      <c r="X78" s="107">
        <f t="shared" ref="X78:X79" si="86">Q78*0.02*$BE$4</f>
        <v>4.0122577140927493</v>
      </c>
      <c r="Y78" s="107">
        <f t="shared" ref="Y78:Y79" si="87">R78*0.02*$BE$4</f>
        <v>2.0061288570463747</v>
      </c>
      <c r="Z78" s="107">
        <f t="shared" ref="Z78:Z79" si="88">S78*0.02*$BE$4</f>
        <v>2.0061288570463747</v>
      </c>
      <c r="AA78" s="107">
        <f t="shared" ref="AA78:AA79" si="89">T78*0.02*$BE$4</f>
        <v>2.0061288570463747</v>
      </c>
      <c r="AB78" s="289"/>
      <c r="AC78" s="290"/>
      <c r="AD78" s="290"/>
      <c r="AE78" s="290"/>
      <c r="AF78" s="290"/>
      <c r="AG78" s="282"/>
      <c r="AH78" s="290"/>
      <c r="AI78" s="289">
        <v>90</v>
      </c>
      <c r="AJ78" s="290"/>
      <c r="AK78" s="290"/>
      <c r="AL78" s="290"/>
      <c r="AM78" s="290"/>
      <c r="AN78" s="290"/>
      <c r="AO78" s="290"/>
      <c r="AP78" s="289">
        <v>15</v>
      </c>
      <c r="AQ78" s="290"/>
      <c r="AR78" s="290"/>
      <c r="AS78" s="290"/>
      <c r="AT78" s="290"/>
      <c r="AU78" s="290"/>
      <c r="AV78" s="11"/>
      <c r="AW78" s="104" t="s">
        <v>481</v>
      </c>
    </row>
    <row r="79" spans="1:49" x14ac:dyDescent="0.3">
      <c r="A79" s="960"/>
      <c r="B79" s="944"/>
      <c r="C79" s="738">
        <v>8</v>
      </c>
      <c r="D79" s="627" t="s">
        <v>45</v>
      </c>
      <c r="E79" s="626">
        <v>2021</v>
      </c>
      <c r="F79" s="291" t="s">
        <v>19</v>
      </c>
      <c r="G79" s="289"/>
      <c r="H79" s="290"/>
      <c r="I79" s="290"/>
      <c r="J79" s="290"/>
      <c r="K79" s="290"/>
      <c r="L79" s="282"/>
      <c r="M79" s="290"/>
      <c r="N79" s="510">
        <v>700</v>
      </c>
      <c r="O79" s="107">
        <f t="shared" si="84"/>
        <v>615</v>
      </c>
      <c r="P79" s="282">
        <v>530</v>
      </c>
      <c r="Q79" s="282">
        <v>420</v>
      </c>
      <c r="R79" s="107">
        <f t="shared" ref="R79:R85" si="90">Q79+((S79-Q79)/(2050-2040))*(2045-2040)</f>
        <v>365</v>
      </c>
      <c r="S79" s="107">
        <v>310</v>
      </c>
      <c r="T79" s="107">
        <f t="shared" ref="T79:T84" si="91">R79+((S79-R79)/(2050-2045))*(2060-2045)</f>
        <v>200</v>
      </c>
      <c r="U79" s="106">
        <f t="shared" si="82"/>
        <v>18.72386933243283</v>
      </c>
      <c r="V79" s="107">
        <f t="shared" si="83"/>
        <v>16.450256627780274</v>
      </c>
      <c r="W79" s="107">
        <f t="shared" si="85"/>
        <v>14.176643923127713</v>
      </c>
      <c r="X79" s="107">
        <f t="shared" si="86"/>
        <v>11.234321599459699</v>
      </c>
      <c r="Y79" s="107">
        <f t="shared" si="87"/>
        <v>9.7631604376256895</v>
      </c>
      <c r="Z79" s="107">
        <f t="shared" si="88"/>
        <v>8.2919992757916816</v>
      </c>
      <c r="AA79" s="107">
        <f t="shared" si="89"/>
        <v>5.3496769521236658</v>
      </c>
      <c r="AB79" s="289"/>
      <c r="AC79" s="290"/>
      <c r="AD79" s="290"/>
      <c r="AE79" s="290"/>
      <c r="AF79" s="290"/>
      <c r="AG79" s="282"/>
      <c r="AH79" s="290"/>
      <c r="AI79" s="289">
        <v>90</v>
      </c>
      <c r="AJ79" s="290"/>
      <c r="AK79" s="290"/>
      <c r="AL79" s="290"/>
      <c r="AM79" s="290"/>
      <c r="AN79" s="290"/>
      <c r="AO79" s="290"/>
      <c r="AP79" s="289">
        <v>15</v>
      </c>
      <c r="AQ79" s="290"/>
      <c r="AR79" s="290"/>
      <c r="AS79" s="290"/>
      <c r="AT79" s="290"/>
      <c r="AU79" s="290"/>
      <c r="AV79" s="11"/>
      <c r="AW79" s="104" t="s">
        <v>482</v>
      </c>
    </row>
    <row r="80" spans="1:49" x14ac:dyDescent="0.3">
      <c r="A80" s="960"/>
      <c r="B80" s="944"/>
      <c r="C80" s="738">
        <v>7</v>
      </c>
      <c r="D80" s="627" t="s">
        <v>42</v>
      </c>
      <c r="E80" s="626">
        <v>2020</v>
      </c>
      <c r="F80" s="291" t="s">
        <v>19</v>
      </c>
      <c r="G80" s="289"/>
      <c r="H80" s="290"/>
      <c r="I80" s="290"/>
      <c r="J80" s="290"/>
      <c r="K80" s="290"/>
      <c r="L80" s="282"/>
      <c r="M80" s="290"/>
      <c r="N80" s="510">
        <v>350</v>
      </c>
      <c r="O80" s="107">
        <f t="shared" si="84"/>
        <v>325</v>
      </c>
      <c r="P80" s="282">
        <v>300</v>
      </c>
      <c r="Q80" s="282">
        <v>250</v>
      </c>
      <c r="R80" s="107">
        <f t="shared" si="90"/>
        <v>225</v>
      </c>
      <c r="S80" s="282">
        <v>200</v>
      </c>
      <c r="T80" s="107">
        <f t="shared" si="91"/>
        <v>150</v>
      </c>
      <c r="U80" s="510">
        <f>0*$BE$4</f>
        <v>0</v>
      </c>
      <c r="V80" s="107">
        <v>0</v>
      </c>
      <c r="W80" s="282">
        <f>0*$BE$4</f>
        <v>0</v>
      </c>
      <c r="X80" s="282">
        <f>0*$BE$4</f>
        <v>0</v>
      </c>
      <c r="Y80" s="107">
        <f>X80+((Z80-X80)/(2050-2040))*(2045-2040)</f>
        <v>0</v>
      </c>
      <c r="Z80" s="282">
        <f>0*$BE$4</f>
        <v>0</v>
      </c>
      <c r="AA80" s="107">
        <f>Y80+((Z80-Y80)/(2050-2045))*(2060-2045)</f>
        <v>0</v>
      </c>
      <c r="AB80" s="289"/>
      <c r="AC80" s="290"/>
      <c r="AD80" s="290"/>
      <c r="AE80" s="290"/>
      <c r="AF80" s="290"/>
      <c r="AG80" s="282"/>
      <c r="AH80" s="290"/>
      <c r="AI80" s="289"/>
      <c r="AJ80" s="290"/>
      <c r="AK80" s="290"/>
      <c r="AL80" s="290"/>
      <c r="AM80" s="290"/>
      <c r="AN80" s="290"/>
      <c r="AO80" s="290"/>
      <c r="AP80" s="289"/>
      <c r="AQ80" s="290"/>
      <c r="AR80" s="290"/>
      <c r="AS80" s="290"/>
      <c r="AT80" s="290"/>
      <c r="AU80" s="290"/>
      <c r="AV80" s="11"/>
      <c r="AW80" s="104"/>
    </row>
    <row r="81" spans="1:54" x14ac:dyDescent="0.3">
      <c r="A81" s="960"/>
      <c r="B81" s="944"/>
      <c r="C81" s="738">
        <v>6</v>
      </c>
      <c r="D81" s="627" t="s">
        <v>39</v>
      </c>
      <c r="E81" s="626">
        <v>2020</v>
      </c>
      <c r="F81" s="291" t="s">
        <v>19</v>
      </c>
      <c r="G81" s="289"/>
      <c r="H81" s="290"/>
      <c r="I81" s="290"/>
      <c r="J81" s="290"/>
      <c r="K81" s="290"/>
      <c r="L81" s="282"/>
      <c r="M81" s="290"/>
      <c r="N81" s="510">
        <f t="shared" ref="N81:N84" si="92">(310)/1.1422</f>
        <v>271.40605848362804</v>
      </c>
      <c r="O81" s="107">
        <f t="shared" si="84"/>
        <v>214.49833654351249</v>
      </c>
      <c r="P81" s="282">
        <f>(180)/1.1422</f>
        <v>157.59061460339694</v>
      </c>
      <c r="Q81" s="107">
        <f t="shared" ref="Q81:Q84" si="93">P81+((S81-P81)/(2050-2030))*(2040-2030)</f>
        <v>135.70302924181402</v>
      </c>
      <c r="R81" s="107">
        <f t="shared" si="90"/>
        <v>124.75923656102258</v>
      </c>
      <c r="S81" s="282">
        <f>(130)/1.1422</f>
        <v>113.81544388023113</v>
      </c>
      <c r="T81" s="107">
        <f t="shared" si="91"/>
        <v>91.927858518648236</v>
      </c>
      <c r="U81" s="106">
        <f t="shared" ref="U81:U84" si="94">N81*0.02*$BE$4</f>
        <v>7.2596736786829634</v>
      </c>
      <c r="V81" s="107">
        <f t="shared" si="83"/>
        <v>5.737484036378472</v>
      </c>
      <c r="W81" s="107">
        <f t="shared" si="83"/>
        <v>4.2152943940739789</v>
      </c>
      <c r="X81" s="107">
        <f t="shared" si="83"/>
        <v>3.6298368393414817</v>
      </c>
      <c r="Y81" s="107">
        <f t="shared" si="83"/>
        <v>3.3371080619752331</v>
      </c>
      <c r="Z81" s="107">
        <f t="shared" si="83"/>
        <v>3.044379284608985</v>
      </c>
      <c r="AA81" s="107">
        <f t="shared" si="83"/>
        <v>2.4589217298764883</v>
      </c>
      <c r="AB81" s="289"/>
      <c r="AC81" s="290"/>
      <c r="AD81" s="290"/>
      <c r="AE81" s="290"/>
      <c r="AF81" s="290"/>
      <c r="AG81" s="282"/>
      <c r="AH81" s="290"/>
      <c r="AI81" s="289"/>
      <c r="AJ81" s="290"/>
      <c r="AK81" s="290"/>
      <c r="AL81" s="290"/>
      <c r="AM81" s="290"/>
      <c r="AN81" s="290"/>
      <c r="AO81" s="290"/>
      <c r="AP81" s="289"/>
      <c r="AQ81" s="290"/>
      <c r="AR81" s="290"/>
      <c r="AS81" s="290"/>
      <c r="AT81" s="290"/>
      <c r="AU81" s="290"/>
      <c r="AV81" s="11"/>
      <c r="AW81" t="s">
        <v>483</v>
      </c>
    </row>
    <row r="82" spans="1:54" x14ac:dyDescent="0.3">
      <c r="A82" s="960"/>
      <c r="B82" s="944"/>
      <c r="C82" s="738">
        <v>6</v>
      </c>
      <c r="D82" s="627" t="s">
        <v>39</v>
      </c>
      <c r="E82" s="626">
        <v>2020</v>
      </c>
      <c r="F82" s="291" t="s">
        <v>19</v>
      </c>
      <c r="G82" s="289"/>
      <c r="H82" s="290"/>
      <c r="I82" s="290"/>
      <c r="J82" s="290"/>
      <c r="K82" s="290"/>
      <c r="L82" s="282"/>
      <c r="M82" s="290"/>
      <c r="N82" s="510">
        <f t="shared" si="92"/>
        <v>271.40605848362804</v>
      </c>
      <c r="O82" s="107">
        <f t="shared" si="84"/>
        <v>210.12081947119592</v>
      </c>
      <c r="P82" s="282">
        <f t="shared" ref="P82:P83" si="95">(170)/1.1422</f>
        <v>148.83558045876379</v>
      </c>
      <c r="Q82" s="107">
        <f t="shared" si="93"/>
        <v>126.94799509718086</v>
      </c>
      <c r="R82" s="107">
        <f t="shared" si="90"/>
        <v>116.0042024163894</v>
      </c>
      <c r="S82" s="282">
        <f>(120)/1.1422</f>
        <v>105.06040973559796</v>
      </c>
      <c r="T82" s="107">
        <f t="shared" si="91"/>
        <v>83.172824374015065</v>
      </c>
      <c r="U82" s="106">
        <f t="shared" si="94"/>
        <v>7.2596736786829634</v>
      </c>
      <c r="V82" s="107">
        <f t="shared" si="83"/>
        <v>5.6203925254319715</v>
      </c>
      <c r="W82" s="107">
        <f t="shared" ref="W82:W84" si="96">P82*0.02*$BE$4</f>
        <v>3.9811113721809805</v>
      </c>
      <c r="X82" s="107">
        <f t="shared" ref="X82:X84" si="97">Q82*0.02*$BE$4</f>
        <v>3.3956538174484829</v>
      </c>
      <c r="Y82" s="107">
        <f t="shared" ref="Y82:Y84" si="98">R82*0.02*$BE$4</f>
        <v>3.1029250400822344</v>
      </c>
      <c r="Z82" s="107">
        <f t="shared" ref="Z82:Z84" si="99">S82*0.02*$BE$4</f>
        <v>2.8101962627159858</v>
      </c>
      <c r="AA82" s="107">
        <f t="shared" ref="AA82:AA84" si="100">T82*0.02*$BE$4</f>
        <v>2.224738707983489</v>
      </c>
      <c r="AB82" s="289"/>
      <c r="AC82" s="290"/>
      <c r="AD82" s="290"/>
      <c r="AE82" s="290"/>
      <c r="AF82" s="290"/>
      <c r="AG82" s="282"/>
      <c r="AH82" s="290"/>
      <c r="AI82" s="289"/>
      <c r="AJ82" s="290"/>
      <c r="AK82" s="290"/>
      <c r="AL82" s="290"/>
      <c r="AM82" s="290"/>
      <c r="AN82" s="290"/>
      <c r="AO82" s="290"/>
      <c r="AP82" s="289"/>
      <c r="AQ82" s="290"/>
      <c r="AR82" s="290"/>
      <c r="AS82" s="290"/>
      <c r="AT82" s="290"/>
      <c r="AU82" s="290"/>
      <c r="AV82" s="11"/>
      <c r="AW82" t="s">
        <v>484</v>
      </c>
    </row>
    <row r="83" spans="1:54" x14ac:dyDescent="0.3">
      <c r="A83" s="960"/>
      <c r="B83" s="944"/>
      <c r="C83" s="738">
        <v>6</v>
      </c>
      <c r="D83" s="627" t="s">
        <v>39</v>
      </c>
      <c r="E83" s="626">
        <v>2020</v>
      </c>
      <c r="F83" s="291" t="s">
        <v>19</v>
      </c>
      <c r="G83" s="289"/>
      <c r="H83" s="290"/>
      <c r="I83" s="290"/>
      <c r="J83" s="290"/>
      <c r="K83" s="290"/>
      <c r="L83" s="282"/>
      <c r="M83" s="290"/>
      <c r="N83" s="510">
        <f t="shared" si="92"/>
        <v>271.40605848362804</v>
      </c>
      <c r="O83" s="107">
        <f t="shared" si="84"/>
        <v>210.12081947119592</v>
      </c>
      <c r="P83" s="282">
        <f t="shared" si="95"/>
        <v>148.83558045876379</v>
      </c>
      <c r="Q83" s="107">
        <f t="shared" si="93"/>
        <v>124.75923656102259</v>
      </c>
      <c r="R83" s="107">
        <f t="shared" si="90"/>
        <v>112.72106461215199</v>
      </c>
      <c r="S83" s="282">
        <f>(115)/1.1422</f>
        <v>100.68289266328138</v>
      </c>
      <c r="T83" s="107">
        <f t="shared" si="91"/>
        <v>76.606548765540154</v>
      </c>
      <c r="U83" s="106">
        <f t="shared" si="94"/>
        <v>7.2596736786829634</v>
      </c>
      <c r="V83" s="107">
        <f t="shared" si="83"/>
        <v>5.6203925254319715</v>
      </c>
      <c r="W83" s="107">
        <f t="shared" si="96"/>
        <v>3.9811113721809805</v>
      </c>
      <c r="X83" s="107">
        <f t="shared" si="97"/>
        <v>3.3371080619752336</v>
      </c>
      <c r="Y83" s="107">
        <f t="shared" si="98"/>
        <v>3.0151064068723601</v>
      </c>
      <c r="Z83" s="107">
        <f t="shared" si="99"/>
        <v>2.6931047517694866</v>
      </c>
      <c r="AA83" s="107">
        <f t="shared" si="100"/>
        <v>2.0491014415637392</v>
      </c>
      <c r="AB83" s="289"/>
      <c r="AC83" s="290"/>
      <c r="AD83" s="290"/>
      <c r="AE83" s="290"/>
      <c r="AF83" s="290"/>
      <c r="AG83" s="282"/>
      <c r="AH83" s="290"/>
      <c r="AI83" s="289"/>
      <c r="AJ83" s="290"/>
      <c r="AK83" s="290"/>
      <c r="AL83" s="290"/>
      <c r="AM83" s="290"/>
      <c r="AN83" s="290"/>
      <c r="AO83" s="290"/>
      <c r="AP83" s="289"/>
      <c r="AQ83" s="290"/>
      <c r="AR83" s="290"/>
      <c r="AS83" s="290"/>
      <c r="AT83" s="290"/>
      <c r="AU83" s="290"/>
      <c r="AV83" s="11"/>
      <c r="AW83" t="s">
        <v>485</v>
      </c>
    </row>
    <row r="84" spans="1:54" x14ac:dyDescent="0.3">
      <c r="A84" s="960"/>
      <c r="B84" s="944"/>
      <c r="C84" s="738">
        <v>6</v>
      </c>
      <c r="D84" s="627" t="s">
        <v>39</v>
      </c>
      <c r="E84" s="626">
        <v>2020</v>
      </c>
      <c r="F84" s="291" t="s">
        <v>19</v>
      </c>
      <c r="G84" s="289"/>
      <c r="H84" s="290"/>
      <c r="I84" s="290"/>
      <c r="J84" s="290"/>
      <c r="K84" s="290"/>
      <c r="L84" s="282"/>
      <c r="M84" s="290"/>
      <c r="N84" s="510">
        <f t="shared" si="92"/>
        <v>271.40605848362804</v>
      </c>
      <c r="O84" s="107">
        <f t="shared" si="84"/>
        <v>186.04447557345472</v>
      </c>
      <c r="P84" s="282">
        <f>(115)/1.1422</f>
        <v>100.68289266328138</v>
      </c>
      <c r="Q84" s="107">
        <f t="shared" si="93"/>
        <v>98.49413412712309</v>
      </c>
      <c r="R84" s="107">
        <f t="shared" si="90"/>
        <v>97.399754859043952</v>
      </c>
      <c r="S84" s="282">
        <f>(110)/1.1422</f>
        <v>96.3053755909648</v>
      </c>
      <c r="T84" s="107">
        <f t="shared" si="91"/>
        <v>94.116617054806497</v>
      </c>
      <c r="U84" s="106">
        <f t="shared" si="94"/>
        <v>7.2596736786829634</v>
      </c>
      <c r="V84" s="107">
        <f t="shared" si="83"/>
        <v>4.9763892152262255</v>
      </c>
      <c r="W84" s="107">
        <f t="shared" si="96"/>
        <v>2.6931047517694866</v>
      </c>
      <c r="X84" s="107">
        <f t="shared" si="97"/>
        <v>2.6345589962962368</v>
      </c>
      <c r="Y84" s="107">
        <f t="shared" si="98"/>
        <v>2.6052861185596123</v>
      </c>
      <c r="Z84" s="107">
        <f t="shared" si="99"/>
        <v>2.5760132408229874</v>
      </c>
      <c r="AA84" s="107">
        <f t="shared" si="100"/>
        <v>2.5174674853497372</v>
      </c>
      <c r="AB84" s="289"/>
      <c r="AC84" s="290"/>
      <c r="AD84" s="290"/>
      <c r="AE84" s="290"/>
      <c r="AF84" s="290"/>
      <c r="AG84" s="282"/>
      <c r="AH84" s="290"/>
      <c r="AI84" s="289"/>
      <c r="AJ84" s="290"/>
      <c r="AK84" s="290"/>
      <c r="AL84" s="290"/>
      <c r="AM84" s="290"/>
      <c r="AN84" s="290"/>
      <c r="AO84" s="290"/>
      <c r="AP84" s="289"/>
      <c r="AQ84" s="290"/>
      <c r="AR84" s="290"/>
      <c r="AS84" s="290"/>
      <c r="AT84" s="290"/>
      <c r="AU84" s="290"/>
      <c r="AV84" s="11"/>
      <c r="AW84" t="s">
        <v>486</v>
      </c>
    </row>
    <row r="85" spans="1:54" x14ac:dyDescent="0.3">
      <c r="A85" s="960"/>
      <c r="B85" s="945"/>
      <c r="C85" s="739">
        <v>5</v>
      </c>
      <c r="D85" s="752" t="s">
        <v>35</v>
      </c>
      <c r="E85" s="651">
        <v>2021</v>
      </c>
      <c r="F85" s="301" t="s">
        <v>19</v>
      </c>
      <c r="G85" s="299"/>
      <c r="H85" s="300"/>
      <c r="I85" s="300"/>
      <c r="J85" s="300"/>
      <c r="K85" s="300"/>
      <c r="L85" s="302"/>
      <c r="M85" s="300"/>
      <c r="N85" s="512">
        <v>350</v>
      </c>
      <c r="O85" s="302">
        <v>275</v>
      </c>
      <c r="P85" s="302">
        <v>225</v>
      </c>
      <c r="Q85" s="302">
        <v>125</v>
      </c>
      <c r="R85" s="122">
        <f t="shared" si="90"/>
        <v>102.5</v>
      </c>
      <c r="S85" s="302">
        <v>80</v>
      </c>
      <c r="T85" s="107">
        <v>80</v>
      </c>
      <c r="U85" s="512">
        <f>N85*0.04*$BE$4</f>
        <v>18.72386933243283</v>
      </c>
      <c r="V85" s="302">
        <f t="shared" ref="V85:X85" si="101">O85*0.04*$BE$4</f>
        <v>14.711611618340081</v>
      </c>
      <c r="W85" s="302">
        <f t="shared" si="101"/>
        <v>12.036773142278248</v>
      </c>
      <c r="X85" s="302">
        <f t="shared" si="101"/>
        <v>6.6870961901545822</v>
      </c>
      <c r="Y85" s="107">
        <f>X85+((Z85-X85)/(2050-2040))*(2045-2040)</f>
        <v>5.4834188759267573</v>
      </c>
      <c r="Z85" s="302">
        <f>S85*0.04*$BE$4</f>
        <v>4.2797415616989332</v>
      </c>
      <c r="AA85" s="107">
        <f>Z85+((AB85-Z85)/(2050-2040))*(2045-2040)</f>
        <v>2.1398707808494666</v>
      </c>
      <c r="AB85" s="299"/>
      <c r="AC85" s="300"/>
      <c r="AD85" s="300"/>
      <c r="AE85" s="300"/>
      <c r="AF85" s="300"/>
      <c r="AG85" s="302"/>
      <c r="AH85" s="300"/>
      <c r="AI85" s="299"/>
      <c r="AJ85" s="300"/>
      <c r="AK85" s="300"/>
      <c r="AL85" s="300"/>
      <c r="AM85" s="300"/>
      <c r="AN85" s="300"/>
      <c r="AO85" s="300"/>
      <c r="AP85" s="299">
        <v>15</v>
      </c>
      <c r="AQ85" s="300">
        <v>15</v>
      </c>
      <c r="AR85" s="300">
        <v>15</v>
      </c>
      <c r="AS85" s="300">
        <v>20</v>
      </c>
      <c r="AT85" s="378">
        <f>AS85+((AU85-AS85)/(2050-2040))*(2045-2040)</f>
        <v>20</v>
      </c>
      <c r="AU85" s="300">
        <v>20</v>
      </c>
      <c r="AV85" s="118">
        <f>AT85+((AU85-AT85)/(2050-2045))*(2060-2045)</f>
        <v>20</v>
      </c>
    </row>
    <row r="86" spans="1:54" x14ac:dyDescent="0.3">
      <c r="A86" s="960"/>
      <c r="B86" s="753" t="s">
        <v>267</v>
      </c>
      <c r="C86" s="317"/>
      <c r="D86" s="318"/>
      <c r="E86" s="318"/>
      <c r="F86" s="321"/>
      <c r="G86" s="317"/>
      <c r="H86" s="318"/>
      <c r="I86" s="318"/>
      <c r="J86" s="318"/>
      <c r="K86" s="318"/>
      <c r="L86" s="313">
        <f>MIN(L76:L85)</f>
        <v>84.093122067805623</v>
      </c>
      <c r="M86" s="318"/>
      <c r="N86" s="312">
        <f t="shared" ref="N86:AA86" si="102">MIN(N76:N85)</f>
        <v>232</v>
      </c>
      <c r="O86" s="313">
        <f t="shared" si="102"/>
        <v>186.04447557345472</v>
      </c>
      <c r="P86" s="313">
        <f t="shared" si="102"/>
        <v>100.68289266328138</v>
      </c>
      <c r="Q86" s="313">
        <f t="shared" si="102"/>
        <v>94</v>
      </c>
      <c r="R86" s="313">
        <f t="shared" si="102"/>
        <v>75</v>
      </c>
      <c r="S86" s="313">
        <f t="shared" si="102"/>
        <v>75</v>
      </c>
      <c r="T86" s="313">
        <f t="shared" si="102"/>
        <v>56</v>
      </c>
      <c r="U86" s="312">
        <f t="shared" si="102"/>
        <v>0</v>
      </c>
      <c r="V86" s="313">
        <f t="shared" si="102"/>
        <v>0</v>
      </c>
      <c r="W86" s="313">
        <f t="shared" si="102"/>
        <v>0</v>
      </c>
      <c r="X86" s="313">
        <f t="shared" si="102"/>
        <v>0</v>
      </c>
      <c r="Y86" s="313">
        <f t="shared" si="102"/>
        <v>0</v>
      </c>
      <c r="Z86" s="313">
        <f t="shared" si="102"/>
        <v>0</v>
      </c>
      <c r="AA86" s="313">
        <f t="shared" si="102"/>
        <v>0</v>
      </c>
      <c r="AB86" s="317"/>
      <c r="AC86" s="318"/>
      <c r="AD86" s="318"/>
      <c r="AE86" s="318"/>
      <c r="AF86" s="318"/>
      <c r="AG86" s="313">
        <f>MIN(AG76:AG85)</f>
        <v>2.6555722758254405</v>
      </c>
      <c r="AH86" s="318"/>
      <c r="AI86" s="317">
        <f>MIN(AI76:AI85)</f>
        <v>90</v>
      </c>
      <c r="AJ86" s="318"/>
      <c r="AK86" s="318"/>
      <c r="AL86" s="318"/>
      <c r="AM86" s="318"/>
      <c r="AN86" s="318">
        <f>MIN(AN76:AN85)</f>
        <v>86</v>
      </c>
      <c r="AO86" s="318"/>
      <c r="AP86" s="317">
        <f t="shared" ref="AP86:AV86" si="103">MIN(AP76:AP85)</f>
        <v>15</v>
      </c>
      <c r="AQ86" s="318">
        <f t="shared" si="103"/>
        <v>15</v>
      </c>
      <c r="AR86" s="318">
        <f t="shared" si="103"/>
        <v>15</v>
      </c>
      <c r="AS86" s="318">
        <f t="shared" si="103"/>
        <v>20</v>
      </c>
      <c r="AT86" s="318">
        <f t="shared" si="103"/>
        <v>20</v>
      </c>
      <c r="AU86" s="318">
        <f t="shared" si="103"/>
        <v>13</v>
      </c>
      <c r="AV86" s="321">
        <f t="shared" si="103"/>
        <v>20</v>
      </c>
      <c r="AW86" s="104"/>
    </row>
    <row r="87" spans="1:54" x14ac:dyDescent="0.3">
      <c r="A87" s="960"/>
      <c r="B87" s="718" t="s">
        <v>268</v>
      </c>
      <c r="C87" s="328"/>
      <c r="D87" s="311"/>
      <c r="E87" s="311"/>
      <c r="F87" s="331"/>
      <c r="G87" s="328"/>
      <c r="H87" s="311"/>
      <c r="I87" s="311"/>
      <c r="J87" s="311"/>
      <c r="K87" s="311"/>
      <c r="L87" s="324">
        <f>AVERAGE(L76:L85)</f>
        <v>84.093122067805623</v>
      </c>
      <c r="M87" s="311"/>
      <c r="N87" s="323">
        <f t="shared" ref="N87:AA87" si="104">AVERAGE(N76:N85)</f>
        <v>357.51380377050128</v>
      </c>
      <c r="O87" s="324">
        <f t="shared" si="104"/>
        <v>291.42049456215102</v>
      </c>
      <c r="P87" s="324">
        <f t="shared" si="104"/>
        <v>228.10496313157844</v>
      </c>
      <c r="Q87" s="324">
        <f t="shared" si="104"/>
        <v>169.43382166968229</v>
      </c>
      <c r="R87" s="324">
        <f t="shared" si="104"/>
        <v>144.76491760540088</v>
      </c>
      <c r="S87" s="324">
        <f t="shared" si="104"/>
        <v>125.3235105317008</v>
      </c>
      <c r="T87" s="324">
        <f t="shared" si="104"/>
        <v>100.75820541255666</v>
      </c>
      <c r="U87" s="323">
        <f t="shared" si="104"/>
        <v>9.5629167804855708</v>
      </c>
      <c r="V87" s="324">
        <f t="shared" si="104"/>
        <v>7.6464253781191065</v>
      </c>
      <c r="W87" s="324">
        <f t="shared" si="104"/>
        <v>5.8785361133116334</v>
      </c>
      <c r="X87" s="324">
        <f t="shared" si="104"/>
        <v>4.160575709585177</v>
      </c>
      <c r="Y87" s="324">
        <f t="shared" si="104"/>
        <v>3.5081524789289449</v>
      </c>
      <c r="Z87" s="324">
        <f t="shared" si="104"/>
        <v>3.9546403590402441</v>
      </c>
      <c r="AA87" s="324">
        <f t="shared" si="104"/>
        <v>2.2493128334875099</v>
      </c>
      <c r="AB87" s="328"/>
      <c r="AC87" s="311"/>
      <c r="AD87" s="311"/>
      <c r="AE87" s="311"/>
      <c r="AF87" s="311"/>
      <c r="AG87" s="324">
        <f>AVERAGE(AG76:AG85)</f>
        <v>2.6555722758254405</v>
      </c>
      <c r="AH87" s="311"/>
      <c r="AI87" s="328">
        <f>AVERAGE(AI76:AI85)</f>
        <v>90</v>
      </c>
      <c r="AJ87" s="311"/>
      <c r="AK87" s="311"/>
      <c r="AL87" s="311"/>
      <c r="AM87" s="311"/>
      <c r="AN87" s="311">
        <f>AVERAGE(AN76:AN85)</f>
        <v>86</v>
      </c>
      <c r="AO87" s="311"/>
      <c r="AP87" s="328">
        <f t="shared" ref="AP87:AV87" si="105">AVERAGE(AP76:AP85)</f>
        <v>16.25</v>
      </c>
      <c r="AQ87" s="311">
        <f t="shared" si="105"/>
        <v>18.75</v>
      </c>
      <c r="AR87" s="311">
        <f t="shared" si="105"/>
        <v>20</v>
      </c>
      <c r="AS87" s="311">
        <f t="shared" si="105"/>
        <v>25</v>
      </c>
      <c r="AT87" s="311">
        <f t="shared" si="105"/>
        <v>25</v>
      </c>
      <c r="AU87" s="311">
        <f t="shared" si="105"/>
        <v>21</v>
      </c>
      <c r="AV87" s="331">
        <f t="shared" si="105"/>
        <v>25</v>
      </c>
      <c r="AW87" s="104"/>
    </row>
    <row r="88" spans="1:54" x14ac:dyDescent="0.3">
      <c r="A88" s="960"/>
      <c r="B88" s="719" t="s">
        <v>269</v>
      </c>
      <c r="C88" s="339"/>
      <c r="D88" s="333"/>
      <c r="E88" s="333"/>
      <c r="F88" s="342"/>
      <c r="G88" s="339"/>
      <c r="H88" s="333"/>
      <c r="I88" s="333"/>
      <c r="J88" s="333"/>
      <c r="K88" s="333"/>
      <c r="L88" s="335">
        <f>MAX(L76:L85)</f>
        <v>84.093122067805623</v>
      </c>
      <c r="M88" s="333"/>
      <c r="N88" s="334">
        <f t="shared" ref="N88:AA88" si="106">MAX(N76:N85)</f>
        <v>700</v>
      </c>
      <c r="O88" s="335">
        <f t="shared" si="106"/>
        <v>615</v>
      </c>
      <c r="P88" s="335">
        <f t="shared" si="106"/>
        <v>530</v>
      </c>
      <c r="Q88" s="335">
        <f t="shared" si="106"/>
        <v>420</v>
      </c>
      <c r="R88" s="335">
        <f t="shared" si="106"/>
        <v>365</v>
      </c>
      <c r="S88" s="335">
        <f t="shared" si="106"/>
        <v>310</v>
      </c>
      <c r="T88" s="335">
        <f t="shared" si="106"/>
        <v>200</v>
      </c>
      <c r="U88" s="334">
        <f t="shared" si="106"/>
        <v>18.72386933243283</v>
      </c>
      <c r="V88" s="335">
        <f t="shared" si="106"/>
        <v>16.450256627780274</v>
      </c>
      <c r="W88" s="335">
        <f t="shared" si="106"/>
        <v>14.176643923127713</v>
      </c>
      <c r="X88" s="335">
        <f t="shared" si="106"/>
        <v>11.234321599459699</v>
      </c>
      <c r="Y88" s="335">
        <f t="shared" si="106"/>
        <v>9.7631604376256895</v>
      </c>
      <c r="Z88" s="335">
        <f t="shared" si="106"/>
        <v>11.838711498901626</v>
      </c>
      <c r="AA88" s="335">
        <f t="shared" si="106"/>
        <v>5.3496769521236658</v>
      </c>
      <c r="AB88" s="339"/>
      <c r="AC88" s="333"/>
      <c r="AD88" s="333"/>
      <c r="AE88" s="333"/>
      <c r="AF88" s="333"/>
      <c r="AG88" s="335">
        <f>MAX(AG76:AG85)</f>
        <v>2.6555722758254405</v>
      </c>
      <c r="AH88" s="333"/>
      <c r="AI88" s="339">
        <f>MAX(AI76:AI85)</f>
        <v>90</v>
      </c>
      <c r="AJ88" s="333"/>
      <c r="AK88" s="333"/>
      <c r="AL88" s="333"/>
      <c r="AM88" s="333"/>
      <c r="AN88" s="333">
        <f>MAX(AN76:AN85)</f>
        <v>86</v>
      </c>
      <c r="AO88" s="333"/>
      <c r="AP88" s="339">
        <f t="shared" ref="AP88:AV88" si="107">MAX(AP76:AP85)</f>
        <v>20</v>
      </c>
      <c r="AQ88" s="333">
        <f t="shared" si="107"/>
        <v>22.5</v>
      </c>
      <c r="AR88" s="333">
        <f t="shared" si="107"/>
        <v>25</v>
      </c>
      <c r="AS88" s="333">
        <f t="shared" si="107"/>
        <v>30</v>
      </c>
      <c r="AT88" s="333">
        <f t="shared" si="107"/>
        <v>30</v>
      </c>
      <c r="AU88" s="333">
        <f t="shared" si="107"/>
        <v>30</v>
      </c>
      <c r="AV88" s="342">
        <f t="shared" si="107"/>
        <v>30</v>
      </c>
      <c r="AW88" s="104"/>
    </row>
    <row r="89" spans="1:54" ht="14.4" customHeight="1" x14ac:dyDescent="0.3">
      <c r="A89" s="960"/>
      <c r="B89" s="939" t="s">
        <v>487</v>
      </c>
      <c r="C89" s="744">
        <v>4</v>
      </c>
      <c r="D89" s="744" t="s">
        <v>31</v>
      </c>
      <c r="E89" s="744">
        <v>2022</v>
      </c>
      <c r="F89" s="710" t="s">
        <v>19</v>
      </c>
      <c r="G89" s="244">
        <v>19.41</v>
      </c>
      <c r="H89" s="245">
        <f>16.28</f>
        <v>16.28</v>
      </c>
      <c r="I89" s="245">
        <f>13.15</f>
        <v>13.15</v>
      </c>
      <c r="J89" s="245">
        <f>12.13</f>
        <v>12.13</v>
      </c>
      <c r="K89" s="245">
        <v>12.1</v>
      </c>
      <c r="L89" s="245">
        <f>12.06</f>
        <v>12.06</v>
      </c>
      <c r="M89" s="93">
        <f>K89+((L89-K89)/(2050-2045))*(2060-2045)</f>
        <v>11.980000000000002</v>
      </c>
      <c r="N89" s="754"/>
      <c r="O89" s="755"/>
      <c r="P89" s="755"/>
      <c r="Q89" s="755"/>
      <c r="R89" s="755"/>
      <c r="S89" s="755"/>
      <c r="T89" s="756"/>
      <c r="U89" s="244">
        <f>G89*0.01*$BE$4</f>
        <v>0.25959307410180088</v>
      </c>
      <c r="V89" s="245">
        <f t="shared" ref="V89:Z91" si="108">H89*0.01*$BE$4</f>
        <v>0.21773185195143324</v>
      </c>
      <c r="W89" s="245">
        <f t="shared" si="108"/>
        <v>0.17587062980106552</v>
      </c>
      <c r="X89" s="245">
        <f t="shared" si="108"/>
        <v>0.16222895357315018</v>
      </c>
      <c r="Y89" s="245">
        <f>K89*0.01*$BE$4</f>
        <v>0.16182772780174087</v>
      </c>
      <c r="Z89" s="245">
        <f>L89*0.01*$BE$4</f>
        <v>0.16129276010652854</v>
      </c>
      <c r="AA89" s="95">
        <f>Y89+((Z89-Y89)/(2050-2045))*(2060-2045)</f>
        <v>0.16022282471610388</v>
      </c>
      <c r="AB89" s="240"/>
      <c r="AC89" s="236"/>
      <c r="AD89" s="236"/>
      <c r="AE89" s="236"/>
      <c r="AF89" s="242"/>
      <c r="AG89" s="236"/>
      <c r="AH89" s="667"/>
      <c r="AI89" s="240"/>
      <c r="AJ89" s="236"/>
      <c r="AK89" s="236"/>
      <c r="AL89" s="236"/>
      <c r="AM89" s="242"/>
      <c r="AN89" s="236"/>
      <c r="AO89" s="667"/>
      <c r="AP89" s="240">
        <v>30</v>
      </c>
      <c r="AQ89" s="236">
        <v>30</v>
      </c>
      <c r="AR89" s="236">
        <v>30</v>
      </c>
      <c r="AS89" s="236">
        <v>30</v>
      </c>
      <c r="AT89" s="242">
        <v>30</v>
      </c>
      <c r="AU89" s="236">
        <v>30</v>
      </c>
      <c r="AV89" s="103">
        <f>AT89+((AU89-AT89)/(2050-2045))*(2060-2045)</f>
        <v>30</v>
      </c>
    </row>
    <row r="90" spans="1:54" x14ac:dyDescent="0.3">
      <c r="A90" s="960"/>
      <c r="B90" s="970"/>
      <c r="C90" s="744">
        <v>22</v>
      </c>
      <c r="D90" s="757" t="s">
        <v>86</v>
      </c>
      <c r="E90" s="744">
        <v>2016</v>
      </c>
      <c r="F90" s="710" t="s">
        <v>19</v>
      </c>
      <c r="G90" s="247"/>
      <c r="H90" s="243"/>
      <c r="I90" s="245"/>
      <c r="J90" s="245"/>
      <c r="K90" s="245"/>
      <c r="L90" s="245">
        <f>10.04/1.1069</f>
        <v>9.0703767277983545</v>
      </c>
      <c r="M90" s="245"/>
      <c r="N90" s="758"/>
      <c r="O90" s="759"/>
      <c r="P90" s="759"/>
      <c r="Q90" s="759"/>
      <c r="R90" s="759"/>
      <c r="S90" s="759"/>
      <c r="T90" s="760"/>
      <c r="U90" s="244"/>
      <c r="V90" s="245"/>
      <c r="W90" s="245"/>
      <c r="X90" s="245"/>
      <c r="Y90" s="245"/>
      <c r="Z90" s="107">
        <f t="shared" si="108"/>
        <v>0.12130896331945433</v>
      </c>
      <c r="AA90" s="246"/>
      <c r="AB90" s="247"/>
      <c r="AC90" s="243"/>
      <c r="AD90" s="243"/>
      <c r="AE90" s="243"/>
      <c r="AF90" s="245"/>
      <c r="AG90" s="243"/>
      <c r="AH90" s="246"/>
      <c r="AI90" s="247"/>
      <c r="AJ90" s="243"/>
      <c r="AK90" s="243"/>
      <c r="AL90" s="243"/>
      <c r="AM90" s="245"/>
      <c r="AN90" s="243"/>
      <c r="AO90" s="246"/>
      <c r="AP90" s="247"/>
      <c r="AQ90" s="243"/>
      <c r="AR90" s="243"/>
      <c r="AS90" s="243"/>
      <c r="AT90" s="245"/>
      <c r="AU90" s="243"/>
      <c r="AV90" s="246"/>
      <c r="AW90" s="104" t="s">
        <v>488</v>
      </c>
    </row>
    <row r="91" spans="1:54" x14ac:dyDescent="0.3">
      <c r="A91" s="960"/>
      <c r="B91" s="971"/>
      <c r="C91" s="761">
        <v>22</v>
      </c>
      <c r="D91" s="762" t="s">
        <v>86</v>
      </c>
      <c r="E91" s="761">
        <v>2016</v>
      </c>
      <c r="F91" s="711" t="s">
        <v>19</v>
      </c>
      <c r="G91" s="250"/>
      <c r="H91" s="248"/>
      <c r="I91" s="249"/>
      <c r="J91" s="249"/>
      <c r="K91" s="249"/>
      <c r="L91" s="249">
        <f>16.35/1.1069</f>
        <v>14.770982021862862</v>
      </c>
      <c r="M91" s="249"/>
      <c r="N91" s="763"/>
      <c r="O91" s="764"/>
      <c r="P91" s="764"/>
      <c r="Q91" s="764"/>
      <c r="R91" s="764"/>
      <c r="S91" s="764"/>
      <c r="T91" s="765"/>
      <c r="U91" s="671"/>
      <c r="V91" s="249"/>
      <c r="W91" s="249"/>
      <c r="X91" s="249"/>
      <c r="Y91" s="249"/>
      <c r="Z91" s="122">
        <f t="shared" si="108"/>
        <v>0.19754995520648197</v>
      </c>
      <c r="AA91" s="766"/>
      <c r="AB91" s="250"/>
      <c r="AC91" s="248"/>
      <c r="AD91" s="248"/>
      <c r="AE91" s="248"/>
      <c r="AF91" s="249"/>
      <c r="AG91" s="248"/>
      <c r="AH91" s="766"/>
      <c r="AI91" s="250"/>
      <c r="AJ91" s="248"/>
      <c r="AK91" s="248"/>
      <c r="AL91" s="248"/>
      <c r="AM91" s="249"/>
      <c r="AN91" s="248"/>
      <c r="AO91" s="766"/>
      <c r="AP91" s="250"/>
      <c r="AQ91" s="248"/>
      <c r="AR91" s="248"/>
      <c r="AS91" s="248"/>
      <c r="AT91" s="249"/>
      <c r="AU91" s="248"/>
      <c r="AV91" s="766"/>
      <c r="AW91" s="104" t="s">
        <v>489</v>
      </c>
    </row>
    <row r="92" spans="1:54" x14ac:dyDescent="0.3">
      <c r="A92" s="960"/>
      <c r="B92" s="260" t="s">
        <v>267</v>
      </c>
      <c r="C92" s="767"/>
      <c r="D92" s="768"/>
      <c r="E92" s="767"/>
      <c r="F92" s="769"/>
      <c r="G92" s="262"/>
      <c r="H92" s="261"/>
      <c r="I92" s="263"/>
      <c r="J92" s="263"/>
      <c r="K92" s="263"/>
      <c r="L92" s="263">
        <f>MIN(L89:L91)</f>
        <v>9.0703767277983545</v>
      </c>
      <c r="M92" s="263"/>
      <c r="N92" s="262"/>
      <c r="O92" s="261"/>
      <c r="P92" s="263"/>
      <c r="Q92" s="263"/>
      <c r="R92" s="263"/>
      <c r="S92" s="263"/>
      <c r="T92" s="264"/>
      <c r="U92" s="263">
        <f t="shared" ref="U92:AA92" si="109">MIN(U89:U91)</f>
        <v>0.25959307410180088</v>
      </c>
      <c r="V92" s="263">
        <f t="shared" si="109"/>
        <v>0.21773185195143324</v>
      </c>
      <c r="W92" s="263">
        <f t="shared" si="109"/>
        <v>0.17587062980106552</v>
      </c>
      <c r="X92" s="263">
        <f t="shared" si="109"/>
        <v>0.16222895357315018</v>
      </c>
      <c r="Y92" s="263">
        <f t="shared" si="109"/>
        <v>0.16182772780174087</v>
      </c>
      <c r="Z92" s="263">
        <f t="shared" si="109"/>
        <v>0.12130896331945433</v>
      </c>
      <c r="AA92" s="263">
        <f t="shared" si="109"/>
        <v>0.16022282471610388</v>
      </c>
      <c r="AB92" s="265"/>
      <c r="AC92" s="261"/>
      <c r="AD92" s="261"/>
      <c r="AE92" s="261"/>
      <c r="AF92" s="263"/>
      <c r="AG92" s="261"/>
      <c r="AH92" s="264"/>
      <c r="AI92" s="265"/>
      <c r="AJ92" s="261"/>
      <c r="AK92" s="261"/>
      <c r="AL92" s="261"/>
      <c r="AM92" s="263"/>
      <c r="AN92" s="261"/>
      <c r="AO92" s="264"/>
      <c r="AP92" s="263">
        <f t="shared" ref="AP92:AV92" si="110">MIN(AP89:AP91)</f>
        <v>30</v>
      </c>
      <c r="AQ92" s="263">
        <f t="shared" si="110"/>
        <v>30</v>
      </c>
      <c r="AR92" s="263">
        <f t="shared" si="110"/>
        <v>30</v>
      </c>
      <c r="AS92" s="263">
        <f t="shared" si="110"/>
        <v>30</v>
      </c>
      <c r="AT92" s="263">
        <f t="shared" si="110"/>
        <v>30</v>
      </c>
      <c r="AU92" s="263">
        <f t="shared" si="110"/>
        <v>30</v>
      </c>
      <c r="AV92" s="263">
        <f t="shared" si="110"/>
        <v>30</v>
      </c>
    </row>
    <row r="93" spans="1:54" x14ac:dyDescent="0.3">
      <c r="A93" s="960"/>
      <c r="B93" s="260" t="s">
        <v>268</v>
      </c>
      <c r="C93" s="767"/>
      <c r="D93" s="767"/>
      <c r="E93" s="767"/>
      <c r="F93" s="769"/>
      <c r="G93" s="262"/>
      <c r="H93" s="263"/>
      <c r="I93" s="263"/>
      <c r="J93" s="263"/>
      <c r="K93" s="263"/>
      <c r="L93" s="263">
        <f>MEDIAN(L89:L91)</f>
        <v>12.06</v>
      </c>
      <c r="M93" s="263"/>
      <c r="N93" s="262"/>
      <c r="O93" s="261"/>
      <c r="P93" s="263"/>
      <c r="Q93" s="263"/>
      <c r="R93" s="263"/>
      <c r="S93" s="263"/>
      <c r="T93" s="264"/>
      <c r="U93" s="263">
        <f>MEDIAN(U89:U91)</f>
        <v>0.25959307410180088</v>
      </c>
      <c r="V93" s="263">
        <f t="shared" ref="V93:Y93" si="111">MEDIAN(V89:V91)</f>
        <v>0.21773185195143324</v>
      </c>
      <c r="W93" s="263">
        <f t="shared" si="111"/>
        <v>0.17587062980106552</v>
      </c>
      <c r="X93" s="263">
        <f t="shared" si="111"/>
        <v>0.16222895357315018</v>
      </c>
      <c r="Y93" s="263">
        <f t="shared" si="111"/>
        <v>0.16182772780174087</v>
      </c>
      <c r="Z93" s="263">
        <f>MEDIAN(Z89:Z91)</f>
        <v>0.16129276010652854</v>
      </c>
      <c r="AA93" s="263">
        <f>MEDIAN(AA89:AA91)</f>
        <v>0.16022282471610388</v>
      </c>
      <c r="AB93" s="265"/>
      <c r="AC93" s="261"/>
      <c r="AD93" s="261"/>
      <c r="AE93" s="261"/>
      <c r="AF93" s="263"/>
      <c r="AG93" s="261"/>
      <c r="AH93" s="264"/>
      <c r="AI93" s="265"/>
      <c r="AJ93" s="261"/>
      <c r="AK93" s="261"/>
      <c r="AL93" s="261"/>
      <c r="AM93" s="263"/>
      <c r="AN93" s="261"/>
      <c r="AO93" s="264"/>
      <c r="AP93" s="263">
        <f t="shared" ref="AP93:AV93" si="112">MEDIAN(AP89:AP91)</f>
        <v>30</v>
      </c>
      <c r="AQ93" s="263">
        <f t="shared" si="112"/>
        <v>30</v>
      </c>
      <c r="AR93" s="263">
        <f t="shared" si="112"/>
        <v>30</v>
      </c>
      <c r="AS93" s="263">
        <f t="shared" si="112"/>
        <v>30</v>
      </c>
      <c r="AT93" s="263">
        <f t="shared" si="112"/>
        <v>30</v>
      </c>
      <c r="AU93" s="263">
        <f t="shared" si="112"/>
        <v>30</v>
      </c>
      <c r="AV93" s="263">
        <f t="shared" si="112"/>
        <v>30</v>
      </c>
    </row>
    <row r="94" spans="1:54" x14ac:dyDescent="0.3">
      <c r="A94" s="960"/>
      <c r="B94" s="269" t="s">
        <v>269</v>
      </c>
      <c r="C94" s="770"/>
      <c r="D94" s="770"/>
      <c r="E94" s="770"/>
      <c r="F94" s="771"/>
      <c r="G94" s="270"/>
      <c r="H94" s="274"/>
      <c r="I94" s="274"/>
      <c r="J94" s="274"/>
      <c r="K94" s="274"/>
      <c r="L94" s="271">
        <f>MAX(L89:L91)</f>
        <v>14.770982021862862</v>
      </c>
      <c r="M94" s="274"/>
      <c r="N94" s="270"/>
      <c r="O94" s="274"/>
      <c r="P94" s="274"/>
      <c r="Q94" s="274"/>
      <c r="R94" s="274"/>
      <c r="S94" s="271"/>
      <c r="T94" s="277"/>
      <c r="U94" s="271">
        <f>MAX(U89:U91)</f>
        <v>0.25959307410180088</v>
      </c>
      <c r="V94" s="271">
        <f t="shared" ref="V94:AA94" si="113">MAX(V89:V91)</f>
        <v>0.21773185195143324</v>
      </c>
      <c r="W94" s="271">
        <f t="shared" si="113"/>
        <v>0.17587062980106552</v>
      </c>
      <c r="X94" s="271">
        <f t="shared" si="113"/>
        <v>0.16222895357315018</v>
      </c>
      <c r="Y94" s="271">
        <f t="shared" si="113"/>
        <v>0.16182772780174087</v>
      </c>
      <c r="Z94" s="271">
        <f t="shared" si="113"/>
        <v>0.19754995520648197</v>
      </c>
      <c r="AA94" s="271">
        <f t="shared" si="113"/>
        <v>0.16022282471610388</v>
      </c>
      <c r="AB94" s="273"/>
      <c r="AC94" s="274"/>
      <c r="AD94" s="274"/>
      <c r="AE94" s="274"/>
      <c r="AF94" s="274"/>
      <c r="AG94" s="274"/>
      <c r="AH94" s="277"/>
      <c r="AI94" s="273"/>
      <c r="AJ94" s="274"/>
      <c r="AK94" s="274"/>
      <c r="AL94" s="274"/>
      <c r="AM94" s="274"/>
      <c r="AN94" s="274"/>
      <c r="AO94" s="277"/>
      <c r="AP94" s="271">
        <f t="shared" ref="AP94:AV94" si="114">MAX(AP89:AP91)</f>
        <v>30</v>
      </c>
      <c r="AQ94" s="271">
        <f t="shared" si="114"/>
        <v>30</v>
      </c>
      <c r="AR94" s="271">
        <f t="shared" si="114"/>
        <v>30</v>
      </c>
      <c r="AS94" s="271">
        <f t="shared" si="114"/>
        <v>30</v>
      </c>
      <c r="AT94" s="271">
        <f t="shared" si="114"/>
        <v>30</v>
      </c>
      <c r="AU94" s="271">
        <f t="shared" si="114"/>
        <v>30</v>
      </c>
      <c r="AV94" s="271">
        <f t="shared" si="114"/>
        <v>30</v>
      </c>
    </row>
    <row r="95" spans="1:54" x14ac:dyDescent="0.3">
      <c r="A95" s="678"/>
      <c r="B95" s="678"/>
      <c r="C95" s="445"/>
      <c r="D95" s="439"/>
      <c r="E95" s="439"/>
      <c r="F95" s="446"/>
      <c r="G95" s="445"/>
      <c r="H95" s="439"/>
      <c r="I95" s="439"/>
      <c r="J95" s="439"/>
      <c r="K95" s="439"/>
      <c r="L95" s="441"/>
      <c r="M95" s="439"/>
      <c r="N95" s="440"/>
      <c r="O95" s="441"/>
      <c r="P95" s="441"/>
      <c r="Q95" s="441"/>
      <c r="R95" s="441"/>
      <c r="S95" s="441"/>
      <c r="T95" s="441"/>
      <c r="U95" s="445"/>
      <c r="V95" s="439"/>
      <c r="W95" s="439"/>
      <c r="X95" s="439"/>
      <c r="Y95" s="439"/>
      <c r="Z95" s="441"/>
      <c r="AA95" s="439"/>
      <c r="AB95" s="445"/>
      <c r="AC95" s="439"/>
      <c r="AD95" s="439"/>
      <c r="AE95" s="439"/>
      <c r="AF95" s="439"/>
      <c r="AG95" s="441"/>
      <c r="AH95" s="439"/>
      <c r="AI95" s="445"/>
      <c r="AJ95" s="439"/>
      <c r="AK95" s="439"/>
      <c r="AL95" s="439"/>
      <c r="AM95" s="439"/>
      <c r="AN95" s="439"/>
      <c r="AO95" s="439"/>
      <c r="AP95" s="445"/>
      <c r="AQ95" s="439"/>
      <c r="AR95" s="439"/>
      <c r="AS95" s="439"/>
      <c r="AT95" s="439"/>
      <c r="AU95" s="439"/>
      <c r="AV95" s="446"/>
      <c r="AW95" s="635"/>
      <c r="AX95" s="635"/>
      <c r="AY95" s="635"/>
      <c r="AZ95" s="635"/>
      <c r="BA95" s="635"/>
      <c r="BB95" s="635"/>
    </row>
    <row r="96" spans="1:54" ht="15" customHeight="1" x14ac:dyDescent="0.3">
      <c r="A96" s="1019" t="s">
        <v>130</v>
      </c>
      <c r="B96" s="986" t="s">
        <v>471</v>
      </c>
      <c r="C96" s="687">
        <v>2</v>
      </c>
      <c r="D96" s="90" t="s">
        <v>23</v>
      </c>
      <c r="E96" s="90">
        <v>2019</v>
      </c>
      <c r="F96" s="688" t="s">
        <v>19</v>
      </c>
      <c r="G96" s="96"/>
      <c r="H96" s="97"/>
      <c r="I96" s="97"/>
      <c r="J96" s="97"/>
      <c r="K96" s="97"/>
      <c r="L96" s="94">
        <f>1820/1.1297</f>
        <v>1611.0471806674338</v>
      </c>
      <c r="M96" s="97"/>
      <c r="N96" s="447"/>
      <c r="O96" s="94"/>
      <c r="P96" s="94"/>
      <c r="Q96" s="94"/>
      <c r="R96" s="97"/>
      <c r="S96" s="94">
        <f>0.25/1.1297</f>
        <v>0.22129768965212004</v>
      </c>
      <c r="T96" s="97"/>
      <c r="U96" s="96"/>
      <c r="V96" s="97"/>
      <c r="W96" s="97"/>
      <c r="X96" s="97"/>
      <c r="Y96" s="97"/>
      <c r="Z96" s="94">
        <f>73/1.1297*$BE$5</f>
        <v>37.67061406121492</v>
      </c>
      <c r="AA96" s="97"/>
      <c r="AB96" s="96"/>
      <c r="AC96" s="97"/>
      <c r="AD96" s="97"/>
      <c r="AE96" s="97"/>
      <c r="AF96" s="97"/>
      <c r="AG96" s="97">
        <v>0</v>
      </c>
      <c r="AH96" s="97"/>
      <c r="AI96" s="96"/>
      <c r="AJ96" s="97"/>
      <c r="AK96" s="97"/>
      <c r="AL96" s="97"/>
      <c r="AM96" s="97"/>
      <c r="AN96" s="97"/>
      <c r="AO96" s="97"/>
      <c r="AP96" s="96"/>
      <c r="AQ96" s="97"/>
      <c r="AR96" s="97"/>
      <c r="AS96" s="97"/>
      <c r="AT96" s="97"/>
      <c r="AU96" s="97">
        <v>20</v>
      </c>
      <c r="AV96" s="43"/>
      <c r="AW96" s="104" t="s">
        <v>472</v>
      </c>
    </row>
    <row r="97" spans="1:49" x14ac:dyDescent="0.3">
      <c r="A97" s="853"/>
      <c r="B97" s="1018"/>
      <c r="C97" s="689">
        <v>4</v>
      </c>
      <c r="D97" s="105" t="s">
        <v>31</v>
      </c>
      <c r="E97" s="105">
        <v>2022</v>
      </c>
      <c r="F97" s="690" t="s">
        <v>19</v>
      </c>
      <c r="G97" s="110"/>
      <c r="H97" s="111"/>
      <c r="I97" s="111"/>
      <c r="J97" s="111"/>
      <c r="K97" s="111"/>
      <c r="L97" s="108"/>
      <c r="M97" s="111"/>
      <c r="N97" s="113">
        <v>3</v>
      </c>
      <c r="O97" s="108">
        <v>2.5</v>
      </c>
      <c r="P97" s="108">
        <v>2</v>
      </c>
      <c r="Q97" s="108">
        <v>1.5</v>
      </c>
      <c r="R97" s="108">
        <v>1.35</v>
      </c>
      <c r="S97" s="108">
        <v>1.2</v>
      </c>
      <c r="T97" s="107">
        <f>R97+((S97-R97)/(2050-2045))*(2060-2045)</f>
        <v>0.89999999999999969</v>
      </c>
      <c r="U97" s="110">
        <f>0*$BE$5</f>
        <v>0</v>
      </c>
      <c r="V97" s="111">
        <f t="shared" ref="V97:Z97" si="115">0*$BE$5</f>
        <v>0</v>
      </c>
      <c r="W97" s="111">
        <f t="shared" si="115"/>
        <v>0</v>
      </c>
      <c r="X97" s="111">
        <f t="shared" si="115"/>
        <v>0</v>
      </c>
      <c r="Y97" s="117">
        <f t="shared" si="115"/>
        <v>0</v>
      </c>
      <c r="Z97" s="111">
        <f t="shared" si="115"/>
        <v>0</v>
      </c>
      <c r="AA97" s="378">
        <f>Y97+((Z97-Y97)/(2050-2045))*(2060-2045)</f>
        <v>0</v>
      </c>
      <c r="AB97" s="110">
        <v>0</v>
      </c>
      <c r="AC97" s="111">
        <v>0</v>
      </c>
      <c r="AD97" s="111">
        <v>0</v>
      </c>
      <c r="AE97" s="111">
        <v>0</v>
      </c>
      <c r="AF97" s="117">
        <v>0</v>
      </c>
      <c r="AG97" s="111">
        <v>0</v>
      </c>
      <c r="AH97" s="378">
        <f>AF97+((AG97-AF97)/(2050-2045))*(2060-2045)</f>
        <v>0</v>
      </c>
      <c r="AI97" s="110"/>
      <c r="AJ97" s="111"/>
      <c r="AK97" s="111"/>
      <c r="AL97" s="111"/>
      <c r="AM97" s="111"/>
      <c r="AN97" s="111"/>
      <c r="AO97" s="111"/>
      <c r="AP97" s="110">
        <v>100</v>
      </c>
      <c r="AQ97" s="111">
        <v>100</v>
      </c>
      <c r="AR97" s="111">
        <v>100</v>
      </c>
      <c r="AS97" s="111">
        <v>100</v>
      </c>
      <c r="AT97" s="111">
        <v>100</v>
      </c>
      <c r="AU97" s="111">
        <v>100</v>
      </c>
      <c r="AV97" s="118">
        <f>AT97+((AU97-AT97)/(2050-2045))*(2060-2045)</f>
        <v>100</v>
      </c>
      <c r="AW97" s="104" t="s">
        <v>473</v>
      </c>
    </row>
    <row r="98" spans="1:49" x14ac:dyDescent="0.3">
      <c r="A98" s="853"/>
      <c r="B98" s="1018"/>
      <c r="C98" s="689">
        <v>14</v>
      </c>
      <c r="D98" s="750" t="s">
        <v>66</v>
      </c>
      <c r="E98" s="105">
        <v>2014</v>
      </c>
      <c r="F98" s="690" t="s">
        <v>19</v>
      </c>
      <c r="G98" s="110"/>
      <c r="H98" s="111"/>
      <c r="I98" s="111"/>
      <c r="J98" s="111"/>
      <c r="K98" s="111"/>
      <c r="L98" s="108"/>
      <c r="M98" s="111"/>
      <c r="N98" s="113"/>
      <c r="O98" s="108"/>
      <c r="P98" s="108">
        <v>0.5</v>
      </c>
      <c r="Q98" s="108"/>
      <c r="R98" s="111"/>
      <c r="S98" s="108"/>
      <c r="T98" s="111"/>
      <c r="U98" s="110"/>
      <c r="V98" s="111"/>
      <c r="W98" s="107">
        <f t="shared" ref="W98:W99" si="116">P98*0.02*$BE$5</f>
        <v>5.8296565349252732E-3</v>
      </c>
      <c r="X98" s="111"/>
      <c r="Y98" s="111"/>
      <c r="Z98" s="111"/>
      <c r="AA98" s="111"/>
      <c r="AB98" s="110"/>
      <c r="AC98" s="111"/>
      <c r="AD98" s="111"/>
      <c r="AE98" s="111"/>
      <c r="AF98" s="111"/>
      <c r="AG98" s="111"/>
      <c r="AH98" s="111"/>
      <c r="AI98" s="110"/>
      <c r="AJ98" s="111"/>
      <c r="AK98" s="111"/>
      <c r="AL98" s="111"/>
      <c r="AM98" s="111"/>
      <c r="AN98" s="111"/>
      <c r="AO98" s="111"/>
      <c r="AP98" s="110"/>
      <c r="AQ98" s="111"/>
      <c r="AR98" s="111"/>
      <c r="AS98" s="111"/>
      <c r="AT98" s="111"/>
      <c r="AU98" s="111"/>
      <c r="AV98" s="46"/>
      <c r="AW98" s="104" t="s">
        <v>474</v>
      </c>
    </row>
    <row r="99" spans="1:49" x14ac:dyDescent="0.3">
      <c r="A99" s="853"/>
      <c r="B99" s="1018"/>
      <c r="C99" s="689">
        <v>15</v>
      </c>
      <c r="D99" s="750" t="s">
        <v>68</v>
      </c>
      <c r="E99" s="105">
        <v>2017</v>
      </c>
      <c r="F99" s="690" t="s">
        <v>19</v>
      </c>
      <c r="G99" s="110"/>
      <c r="H99" s="111"/>
      <c r="I99" s="111"/>
      <c r="J99" s="111"/>
      <c r="K99" s="111"/>
      <c r="L99" s="108"/>
      <c r="M99" s="111"/>
      <c r="N99" s="113"/>
      <c r="O99" s="108"/>
      <c r="P99" s="108">
        <v>1</v>
      </c>
      <c r="Q99" s="108"/>
      <c r="R99" s="111"/>
      <c r="S99" s="108"/>
      <c r="T99" s="111"/>
      <c r="U99" s="110"/>
      <c r="V99" s="111"/>
      <c r="W99" s="107">
        <f t="shared" si="116"/>
        <v>1.1659313069850546E-2</v>
      </c>
      <c r="X99" s="111"/>
      <c r="Y99" s="111"/>
      <c r="Z99" s="111"/>
      <c r="AA99" s="111"/>
      <c r="AB99" s="110"/>
      <c r="AC99" s="111"/>
      <c r="AD99" s="111"/>
      <c r="AE99" s="111"/>
      <c r="AF99" s="111"/>
      <c r="AG99" s="111"/>
      <c r="AH99" s="111"/>
      <c r="AI99" s="110"/>
      <c r="AJ99" s="111"/>
      <c r="AK99" s="111"/>
      <c r="AL99" s="111"/>
      <c r="AM99" s="111"/>
      <c r="AN99" s="111"/>
      <c r="AO99" s="111"/>
      <c r="AP99" s="110"/>
      <c r="AQ99" s="111"/>
      <c r="AR99" s="111"/>
      <c r="AS99" s="111"/>
      <c r="AT99" s="111"/>
      <c r="AU99" s="111"/>
      <c r="AV99" s="46"/>
      <c r="AW99" s="104" t="s">
        <v>475</v>
      </c>
    </row>
    <row r="100" spans="1:49" x14ac:dyDescent="0.3">
      <c r="A100" s="853"/>
      <c r="B100" s="1018"/>
      <c r="C100" s="689">
        <v>16</v>
      </c>
      <c r="D100" s="750" t="s">
        <v>70</v>
      </c>
      <c r="E100" s="105">
        <v>2014</v>
      </c>
      <c r="F100" s="690" t="s">
        <v>19</v>
      </c>
      <c r="G100" s="110"/>
      <c r="H100" s="111"/>
      <c r="I100" s="111"/>
      <c r="J100" s="111"/>
      <c r="K100" s="111"/>
      <c r="L100" s="108"/>
      <c r="M100" s="111"/>
      <c r="N100" s="113"/>
      <c r="O100" s="108"/>
      <c r="P100" s="108">
        <v>0.2</v>
      </c>
      <c r="Q100" s="108"/>
      <c r="R100" s="111"/>
      <c r="S100" s="108"/>
      <c r="T100" s="111"/>
      <c r="U100" s="110"/>
      <c r="V100" s="111"/>
      <c r="W100" s="107">
        <f>P100*0.02*$BE$5</f>
        <v>2.3318626139701092E-3</v>
      </c>
      <c r="X100" s="111"/>
      <c r="Y100" s="111"/>
      <c r="Z100" s="111"/>
      <c r="AA100" s="111"/>
      <c r="AB100" s="110"/>
      <c r="AC100" s="111"/>
      <c r="AD100" s="111"/>
      <c r="AE100" s="111"/>
      <c r="AF100" s="111"/>
      <c r="AG100" s="111"/>
      <c r="AH100" s="111"/>
      <c r="AI100" s="110"/>
      <c r="AJ100" s="111"/>
      <c r="AK100" s="111"/>
      <c r="AL100" s="111"/>
      <c r="AM100" s="111"/>
      <c r="AN100" s="111"/>
      <c r="AO100" s="111"/>
      <c r="AP100" s="110"/>
      <c r="AQ100" s="111"/>
      <c r="AR100" s="111"/>
      <c r="AS100" s="111"/>
      <c r="AT100" s="111"/>
      <c r="AU100" s="111"/>
      <c r="AV100" s="46"/>
      <c r="AW100" s="104" t="s">
        <v>476</v>
      </c>
    </row>
    <row r="101" spans="1:49" x14ac:dyDescent="0.3">
      <c r="A101" s="853"/>
      <c r="B101" s="1018"/>
      <c r="C101" s="689">
        <v>18</v>
      </c>
      <c r="D101" s="750" t="s">
        <v>76</v>
      </c>
      <c r="E101" s="105">
        <v>2021</v>
      </c>
      <c r="F101" s="690" t="s">
        <v>19</v>
      </c>
      <c r="G101" s="110"/>
      <c r="H101" s="111"/>
      <c r="I101" s="111"/>
      <c r="J101" s="111"/>
      <c r="K101" s="111"/>
      <c r="L101" s="108"/>
      <c r="M101" s="111"/>
      <c r="N101" s="113">
        <f t="shared" ref="N101:N103" si="117">N8</f>
        <v>3.1202917366227195E-2</v>
      </c>
      <c r="O101" s="108"/>
      <c r="P101" s="108"/>
      <c r="Q101" s="108"/>
      <c r="R101" s="111"/>
      <c r="S101" s="108"/>
      <c r="T101" s="111"/>
      <c r="U101" s="110"/>
      <c r="V101" s="111"/>
      <c r="W101" s="108"/>
      <c r="X101" s="111"/>
      <c r="Y101" s="111"/>
      <c r="Z101" s="111"/>
      <c r="AA101" s="111"/>
      <c r="AB101" s="110"/>
      <c r="AC101" s="111"/>
      <c r="AD101" s="111"/>
      <c r="AE101" s="111"/>
      <c r="AF101" s="111"/>
      <c r="AG101" s="111"/>
      <c r="AH101" s="111"/>
      <c r="AI101" s="110"/>
      <c r="AJ101" s="111"/>
      <c r="AK101" s="111"/>
      <c r="AL101" s="111"/>
      <c r="AM101" s="111"/>
      <c r="AN101" s="111"/>
      <c r="AO101" s="111"/>
      <c r="AP101" s="110"/>
      <c r="AQ101" s="111"/>
      <c r="AR101" s="111"/>
      <c r="AS101" s="111"/>
      <c r="AT101" s="111"/>
      <c r="AU101" s="111"/>
      <c r="AV101" s="46"/>
      <c r="AW101" t="s">
        <v>477</v>
      </c>
    </row>
    <row r="102" spans="1:49" x14ac:dyDescent="0.3">
      <c r="A102" s="853"/>
      <c r="B102" s="1018"/>
      <c r="C102" s="689">
        <v>18</v>
      </c>
      <c r="D102" s="750" t="s">
        <v>76</v>
      </c>
      <c r="E102" s="105">
        <v>2021</v>
      </c>
      <c r="F102" s="690" t="s">
        <v>19</v>
      </c>
      <c r="G102" s="110"/>
      <c r="H102" s="111"/>
      <c r="I102" s="111"/>
      <c r="J102" s="111"/>
      <c r="K102" s="111"/>
      <c r="L102" s="108"/>
      <c r="M102" s="111"/>
      <c r="N102" s="113">
        <f t="shared" si="117"/>
        <v>3.2725010896287057E-2</v>
      </c>
      <c r="O102" s="108"/>
      <c r="P102" s="108"/>
      <c r="Q102" s="108"/>
      <c r="R102" s="111"/>
      <c r="S102" s="108"/>
      <c r="T102" s="111"/>
      <c r="U102" s="110"/>
      <c r="V102" s="111"/>
      <c r="W102" s="108"/>
      <c r="X102" s="111"/>
      <c r="Y102" s="111"/>
      <c r="Z102" s="111"/>
      <c r="AA102" s="111"/>
      <c r="AB102" s="110"/>
      <c r="AC102" s="111"/>
      <c r="AD102" s="111"/>
      <c r="AE102" s="111"/>
      <c r="AF102" s="111"/>
      <c r="AG102" s="111"/>
      <c r="AH102" s="111"/>
      <c r="AI102" s="110"/>
      <c r="AJ102" s="111"/>
      <c r="AK102" s="111"/>
      <c r="AL102" s="111"/>
      <c r="AM102" s="111"/>
      <c r="AN102" s="111"/>
      <c r="AO102" s="111"/>
      <c r="AP102" s="110"/>
      <c r="AQ102" s="111"/>
      <c r="AR102" s="111"/>
      <c r="AS102" s="111"/>
      <c r="AT102" s="111"/>
      <c r="AU102" s="111"/>
      <c r="AV102" s="46"/>
      <c r="AW102" t="s">
        <v>478</v>
      </c>
    </row>
    <row r="103" spans="1:49" x14ac:dyDescent="0.3">
      <c r="A103" s="853"/>
      <c r="B103" s="1018"/>
      <c r="C103" s="691">
        <v>18</v>
      </c>
      <c r="D103" s="751" t="s">
        <v>76</v>
      </c>
      <c r="E103" s="120">
        <v>2021</v>
      </c>
      <c r="F103" s="692" t="s">
        <v>19</v>
      </c>
      <c r="G103" s="123"/>
      <c r="H103" s="124"/>
      <c r="I103" s="124"/>
      <c r="J103" s="124"/>
      <c r="K103" s="124"/>
      <c r="L103" s="121"/>
      <c r="M103" s="124"/>
      <c r="N103" s="587">
        <f t="shared" si="117"/>
        <v>4.0842843056606334E-2</v>
      </c>
      <c r="O103" s="121"/>
      <c r="P103" s="121"/>
      <c r="Q103" s="121"/>
      <c r="R103" s="124"/>
      <c r="S103" s="121"/>
      <c r="T103" s="124"/>
      <c r="U103" s="123"/>
      <c r="V103" s="124"/>
      <c r="W103" s="121"/>
      <c r="X103" s="124"/>
      <c r="Y103" s="124"/>
      <c r="Z103" s="124"/>
      <c r="AA103" s="124"/>
      <c r="AB103" s="123"/>
      <c r="AC103" s="124"/>
      <c r="AD103" s="124"/>
      <c r="AE103" s="124"/>
      <c r="AF103" s="124"/>
      <c r="AG103" s="124"/>
      <c r="AH103" s="124"/>
      <c r="AI103" s="123"/>
      <c r="AJ103" s="124"/>
      <c r="AK103" s="124"/>
      <c r="AL103" s="124"/>
      <c r="AM103" s="124"/>
      <c r="AN103" s="124"/>
      <c r="AO103" s="124"/>
      <c r="AP103" s="123"/>
      <c r="AQ103" s="124"/>
      <c r="AR103" s="124"/>
      <c r="AS103" s="124"/>
      <c r="AT103" s="124"/>
      <c r="AU103" s="124"/>
      <c r="AV103" s="51"/>
      <c r="AW103" t="s">
        <v>479</v>
      </c>
    </row>
    <row r="104" spans="1:49" x14ac:dyDescent="0.3">
      <c r="A104" s="853"/>
      <c r="B104" s="693" t="s">
        <v>267</v>
      </c>
      <c r="C104" s="131"/>
      <c r="D104" s="126"/>
      <c r="E104" s="126"/>
      <c r="F104" s="132"/>
      <c r="G104" s="131"/>
      <c r="H104" s="126"/>
      <c r="I104" s="126"/>
      <c r="J104" s="126"/>
      <c r="K104" s="126"/>
      <c r="L104" s="128">
        <f>MIN(L96:L103)</f>
        <v>1611.0471806674338</v>
      </c>
      <c r="M104" s="126"/>
      <c r="N104" s="127">
        <f t="shared" ref="N104:AH104" si="118">MIN(N96:N103)</f>
        <v>3.1202917366227195E-2</v>
      </c>
      <c r="O104" s="128">
        <f t="shared" si="118"/>
        <v>2.5</v>
      </c>
      <c r="P104" s="128">
        <f t="shared" si="118"/>
        <v>0.2</v>
      </c>
      <c r="Q104" s="128">
        <f t="shared" si="118"/>
        <v>1.5</v>
      </c>
      <c r="R104" s="126">
        <f t="shared" si="118"/>
        <v>1.35</v>
      </c>
      <c r="S104" s="128">
        <f t="shared" si="118"/>
        <v>0.22129768965212004</v>
      </c>
      <c r="T104" s="128">
        <f t="shared" si="118"/>
        <v>0.89999999999999969</v>
      </c>
      <c r="U104" s="131">
        <f t="shared" si="118"/>
        <v>0</v>
      </c>
      <c r="V104" s="126">
        <f t="shared" si="118"/>
        <v>0</v>
      </c>
      <c r="W104" s="128">
        <f t="shared" si="118"/>
        <v>0</v>
      </c>
      <c r="X104" s="126">
        <f t="shared" si="118"/>
        <v>0</v>
      </c>
      <c r="Y104" s="126">
        <f t="shared" si="118"/>
        <v>0</v>
      </c>
      <c r="Z104" s="126">
        <f t="shared" si="118"/>
        <v>0</v>
      </c>
      <c r="AA104" s="126">
        <f t="shared" si="118"/>
        <v>0</v>
      </c>
      <c r="AB104" s="131">
        <f t="shared" si="118"/>
        <v>0</v>
      </c>
      <c r="AC104" s="126">
        <f t="shared" si="118"/>
        <v>0</v>
      </c>
      <c r="AD104" s="126">
        <f t="shared" si="118"/>
        <v>0</v>
      </c>
      <c r="AE104" s="126">
        <f t="shared" si="118"/>
        <v>0</v>
      </c>
      <c r="AF104" s="126">
        <f t="shared" si="118"/>
        <v>0</v>
      </c>
      <c r="AG104" s="126">
        <f t="shared" si="118"/>
        <v>0</v>
      </c>
      <c r="AH104" s="126">
        <f t="shared" si="118"/>
        <v>0</v>
      </c>
      <c r="AI104" s="131"/>
      <c r="AJ104" s="126"/>
      <c r="AK104" s="126"/>
      <c r="AL104" s="126"/>
      <c r="AM104" s="126"/>
      <c r="AN104" s="126"/>
      <c r="AO104" s="126"/>
      <c r="AP104" s="131">
        <f t="shared" ref="AP104:AV104" si="119">MIN(AP96:AP103)</f>
        <v>100</v>
      </c>
      <c r="AQ104" s="126">
        <f t="shared" si="119"/>
        <v>100</v>
      </c>
      <c r="AR104" s="126">
        <f t="shared" si="119"/>
        <v>100</v>
      </c>
      <c r="AS104" s="126">
        <f t="shared" si="119"/>
        <v>100</v>
      </c>
      <c r="AT104" s="126">
        <f t="shared" si="119"/>
        <v>100</v>
      </c>
      <c r="AU104" s="126">
        <f t="shared" si="119"/>
        <v>20</v>
      </c>
      <c r="AV104" s="132">
        <f t="shared" si="119"/>
        <v>100</v>
      </c>
      <c r="AW104" s="104"/>
    </row>
    <row r="105" spans="1:49" x14ac:dyDescent="0.3">
      <c r="A105" s="853"/>
      <c r="B105" s="694" t="s">
        <v>268</v>
      </c>
      <c r="C105" s="139"/>
      <c r="D105" s="134"/>
      <c r="E105" s="134"/>
      <c r="F105" s="140"/>
      <c r="G105" s="139"/>
      <c r="H105" s="134"/>
      <c r="I105" s="134"/>
      <c r="J105" s="134"/>
      <c r="K105" s="134"/>
      <c r="L105" s="136">
        <f>AVERAGE(L96:L103)</f>
        <v>1611.0471806674338</v>
      </c>
      <c r="M105" s="134"/>
      <c r="N105" s="135">
        <f t="shared" ref="N105:AH105" si="120">AVERAGE(N96:N103)</f>
        <v>0.77619269282978021</v>
      </c>
      <c r="O105" s="136">
        <f t="shared" si="120"/>
        <v>2.5</v>
      </c>
      <c r="P105" s="136">
        <f t="shared" si="120"/>
        <v>0.92500000000000004</v>
      </c>
      <c r="Q105" s="136">
        <f t="shared" si="120"/>
        <v>1.5</v>
      </c>
      <c r="R105" s="136">
        <f t="shared" si="120"/>
        <v>1.35</v>
      </c>
      <c r="S105" s="136">
        <f t="shared" si="120"/>
        <v>0.71064884482605994</v>
      </c>
      <c r="T105" s="136">
        <f t="shared" si="120"/>
        <v>0.89999999999999969</v>
      </c>
      <c r="U105" s="139">
        <f t="shared" si="120"/>
        <v>0</v>
      </c>
      <c r="V105" s="134">
        <f t="shared" si="120"/>
        <v>0</v>
      </c>
      <c r="W105" s="136">
        <f t="shared" si="120"/>
        <v>4.9552080546864819E-3</v>
      </c>
      <c r="X105" s="134">
        <f t="shared" si="120"/>
        <v>0</v>
      </c>
      <c r="Y105" s="134">
        <f t="shared" si="120"/>
        <v>0</v>
      </c>
      <c r="Z105" s="136">
        <f t="shared" si="120"/>
        <v>18.83530703060746</v>
      </c>
      <c r="AA105" s="134">
        <f t="shared" si="120"/>
        <v>0</v>
      </c>
      <c r="AB105" s="139">
        <f t="shared" si="120"/>
        <v>0</v>
      </c>
      <c r="AC105" s="134">
        <f t="shared" si="120"/>
        <v>0</v>
      </c>
      <c r="AD105" s="134">
        <f t="shared" si="120"/>
        <v>0</v>
      </c>
      <c r="AE105" s="134">
        <f t="shared" si="120"/>
        <v>0</v>
      </c>
      <c r="AF105" s="134">
        <f t="shared" si="120"/>
        <v>0</v>
      </c>
      <c r="AG105" s="134">
        <f t="shared" si="120"/>
        <v>0</v>
      </c>
      <c r="AH105" s="134">
        <f t="shared" si="120"/>
        <v>0</v>
      </c>
      <c r="AI105" s="139"/>
      <c r="AJ105" s="134"/>
      <c r="AK105" s="134"/>
      <c r="AL105" s="134"/>
      <c r="AM105" s="134"/>
      <c r="AN105" s="134"/>
      <c r="AO105" s="134"/>
      <c r="AP105" s="139">
        <f t="shared" ref="AP105:AV105" si="121">AVERAGE(AP96:AP103)</f>
        <v>100</v>
      </c>
      <c r="AQ105" s="134">
        <f t="shared" si="121"/>
        <v>100</v>
      </c>
      <c r="AR105" s="134">
        <f t="shared" si="121"/>
        <v>100</v>
      </c>
      <c r="AS105" s="134">
        <f t="shared" si="121"/>
        <v>100</v>
      </c>
      <c r="AT105" s="134">
        <f t="shared" si="121"/>
        <v>100</v>
      </c>
      <c r="AU105" s="134">
        <f t="shared" si="121"/>
        <v>60</v>
      </c>
      <c r="AV105" s="140">
        <f t="shared" si="121"/>
        <v>100</v>
      </c>
      <c r="AW105" s="104"/>
    </row>
    <row r="106" spans="1:49" x14ac:dyDescent="0.3">
      <c r="A106" s="853"/>
      <c r="B106" s="695" t="s">
        <v>269</v>
      </c>
      <c r="C106" s="145"/>
      <c r="D106" s="142"/>
      <c r="E106" s="142"/>
      <c r="F106" s="146"/>
      <c r="G106" s="145"/>
      <c r="H106" s="142"/>
      <c r="I106" s="142"/>
      <c r="J106" s="142"/>
      <c r="K106" s="142"/>
      <c r="L106" s="143">
        <f>MAX(L96:L103)</f>
        <v>1611.0471806674338</v>
      </c>
      <c r="M106" s="142"/>
      <c r="N106" s="591">
        <f t="shared" ref="N106:AH106" si="122">MAX(N96:N103)</f>
        <v>3</v>
      </c>
      <c r="O106" s="143">
        <f t="shared" si="122"/>
        <v>2.5</v>
      </c>
      <c r="P106" s="143">
        <f t="shared" si="122"/>
        <v>2</v>
      </c>
      <c r="Q106" s="143">
        <f t="shared" si="122"/>
        <v>1.5</v>
      </c>
      <c r="R106" s="143">
        <f t="shared" si="122"/>
        <v>1.35</v>
      </c>
      <c r="S106" s="143">
        <f t="shared" si="122"/>
        <v>1.2</v>
      </c>
      <c r="T106" s="143">
        <f t="shared" si="122"/>
        <v>0.89999999999999969</v>
      </c>
      <c r="U106" s="145">
        <f t="shared" si="122"/>
        <v>0</v>
      </c>
      <c r="V106" s="142">
        <f t="shared" si="122"/>
        <v>0</v>
      </c>
      <c r="W106" s="143">
        <f t="shared" si="122"/>
        <v>1.1659313069850546E-2</v>
      </c>
      <c r="X106" s="142">
        <f t="shared" si="122"/>
        <v>0</v>
      </c>
      <c r="Y106" s="142">
        <f t="shared" si="122"/>
        <v>0</v>
      </c>
      <c r="Z106" s="143">
        <f t="shared" si="122"/>
        <v>37.67061406121492</v>
      </c>
      <c r="AA106" s="142">
        <f t="shared" si="122"/>
        <v>0</v>
      </c>
      <c r="AB106" s="145">
        <f t="shared" si="122"/>
        <v>0</v>
      </c>
      <c r="AC106" s="142">
        <f t="shared" si="122"/>
        <v>0</v>
      </c>
      <c r="AD106" s="142">
        <f t="shared" si="122"/>
        <v>0</v>
      </c>
      <c r="AE106" s="142">
        <f t="shared" si="122"/>
        <v>0</v>
      </c>
      <c r="AF106" s="142">
        <f t="shared" si="122"/>
        <v>0</v>
      </c>
      <c r="AG106" s="142">
        <f t="shared" si="122"/>
        <v>0</v>
      </c>
      <c r="AH106" s="142">
        <f t="shared" si="122"/>
        <v>0</v>
      </c>
      <c r="AI106" s="145"/>
      <c r="AJ106" s="142"/>
      <c r="AK106" s="142"/>
      <c r="AL106" s="142"/>
      <c r="AM106" s="142"/>
      <c r="AN106" s="142"/>
      <c r="AO106" s="142"/>
      <c r="AP106" s="145">
        <f t="shared" ref="AP106:AV106" si="123">MAX(AP96:AP103)</f>
        <v>100</v>
      </c>
      <c r="AQ106" s="142">
        <f t="shared" si="123"/>
        <v>100</v>
      </c>
      <c r="AR106" s="142">
        <f t="shared" si="123"/>
        <v>100</v>
      </c>
      <c r="AS106" s="142">
        <f t="shared" si="123"/>
        <v>100</v>
      </c>
      <c r="AT106" s="142">
        <f t="shared" si="123"/>
        <v>100</v>
      </c>
      <c r="AU106" s="142">
        <f t="shared" si="123"/>
        <v>100</v>
      </c>
      <c r="AV106" s="146">
        <f t="shared" si="123"/>
        <v>100</v>
      </c>
      <c r="AW106" s="104"/>
    </row>
    <row r="107" spans="1:49" ht="15" customHeight="1" x14ac:dyDescent="0.3">
      <c r="A107" s="853"/>
      <c r="B107" s="943" t="s">
        <v>480</v>
      </c>
      <c r="C107" s="737">
        <v>2</v>
      </c>
      <c r="D107" s="623" t="s">
        <v>23</v>
      </c>
      <c r="E107" s="623">
        <v>2019</v>
      </c>
      <c r="F107" s="280" t="s">
        <v>19</v>
      </c>
      <c r="G107" s="278"/>
      <c r="H107" s="279"/>
      <c r="I107" s="279"/>
      <c r="J107" s="279"/>
      <c r="K107" s="279"/>
      <c r="L107" s="281">
        <f>95/1.1297</f>
        <v>84.093122067805623</v>
      </c>
      <c r="M107" s="279"/>
      <c r="N107" s="508"/>
      <c r="O107" s="281"/>
      <c r="P107" s="281"/>
      <c r="Q107" s="281"/>
      <c r="R107" s="279"/>
      <c r="S107" s="281">
        <f>110/1.1297</f>
        <v>97.370983446932826</v>
      </c>
      <c r="T107" s="279"/>
      <c r="U107" s="278"/>
      <c r="V107" s="279"/>
      <c r="W107" s="279"/>
      <c r="X107" s="279"/>
      <c r="Y107" s="279"/>
      <c r="Z107" s="281">
        <f>10/1.1297</f>
        <v>8.8519075860848027</v>
      </c>
      <c r="AA107" s="279"/>
      <c r="AB107" s="278"/>
      <c r="AC107" s="279"/>
      <c r="AD107" s="279"/>
      <c r="AE107" s="279"/>
      <c r="AF107" s="279"/>
      <c r="AG107" s="281">
        <f>3/1.1297</f>
        <v>2.6555722758254405</v>
      </c>
      <c r="AH107" s="279"/>
      <c r="AI107" s="278"/>
      <c r="AJ107" s="279"/>
      <c r="AK107" s="279"/>
      <c r="AL107" s="279"/>
      <c r="AM107" s="279"/>
      <c r="AN107" s="279">
        <v>86</v>
      </c>
      <c r="AO107" s="279"/>
      <c r="AP107" s="278"/>
      <c r="AQ107" s="279"/>
      <c r="AR107" s="279"/>
      <c r="AS107" s="279"/>
      <c r="AT107" s="279"/>
      <c r="AU107" s="279">
        <v>13</v>
      </c>
      <c r="AV107" s="7"/>
      <c r="AW107" s="104"/>
    </row>
    <row r="108" spans="1:49" x14ac:dyDescent="0.3">
      <c r="A108" s="853"/>
      <c r="B108" s="944"/>
      <c r="C108" s="738">
        <v>4</v>
      </c>
      <c r="D108" s="626" t="s">
        <v>31</v>
      </c>
      <c r="E108" s="626">
        <v>2022</v>
      </c>
      <c r="F108" s="291" t="s">
        <v>19</v>
      </c>
      <c r="G108" s="289"/>
      <c r="H108" s="290"/>
      <c r="I108" s="290"/>
      <c r="J108" s="290"/>
      <c r="K108" s="290"/>
      <c r="L108" s="282"/>
      <c r="M108" s="290"/>
      <c r="N108" s="510">
        <f>232</f>
        <v>232</v>
      </c>
      <c r="O108" s="282">
        <v>187</v>
      </c>
      <c r="P108" s="282">
        <v>142</v>
      </c>
      <c r="Q108" s="282">
        <v>94</v>
      </c>
      <c r="R108" s="282">
        <v>84.5</v>
      </c>
      <c r="S108" s="282">
        <v>75</v>
      </c>
      <c r="T108" s="107">
        <f>R108+((S108-R108)/(2050-2045))*(2060-2045)</f>
        <v>56</v>
      </c>
      <c r="U108" s="106">
        <f t="shared" ref="U108:U110" si="124">N108*0.02*$BE$5</f>
        <v>2.7049606322053266</v>
      </c>
      <c r="V108" s="107">
        <f t="shared" ref="V108:AA115" si="125">O108*0.02*$BE$5</f>
        <v>2.1802915440620523</v>
      </c>
      <c r="W108" s="107">
        <f t="shared" si="125"/>
        <v>1.6556224559187773</v>
      </c>
      <c r="X108" s="107">
        <f t="shared" si="125"/>
        <v>1.0959754285659513</v>
      </c>
      <c r="Y108" s="107">
        <f t="shared" si="125"/>
        <v>0.98521195440237108</v>
      </c>
      <c r="Z108" s="107">
        <f t="shared" si="125"/>
        <v>0.87444848023879085</v>
      </c>
      <c r="AA108" s="107">
        <f t="shared" si="125"/>
        <v>0.6529215319116306</v>
      </c>
      <c r="AB108" s="289"/>
      <c r="AC108" s="290"/>
      <c r="AD108" s="290"/>
      <c r="AE108" s="290"/>
      <c r="AF108" s="290"/>
      <c r="AG108" s="282"/>
      <c r="AH108" s="290"/>
      <c r="AI108" s="289"/>
      <c r="AJ108" s="290"/>
      <c r="AK108" s="290"/>
      <c r="AL108" s="290"/>
      <c r="AM108" s="290"/>
      <c r="AN108" s="290"/>
      <c r="AO108" s="290"/>
      <c r="AP108" s="289">
        <v>20</v>
      </c>
      <c r="AQ108" s="290">
        <v>22.5</v>
      </c>
      <c r="AR108" s="290">
        <v>25</v>
      </c>
      <c r="AS108" s="290">
        <v>30</v>
      </c>
      <c r="AT108" s="290">
        <v>30</v>
      </c>
      <c r="AU108" s="290">
        <v>30</v>
      </c>
      <c r="AV108" s="118">
        <f>AT108+((AU108-AT108)/(2050-2045))*(2060-2045)</f>
        <v>30</v>
      </c>
      <c r="AW108" s="104"/>
    </row>
    <row r="109" spans="1:49" x14ac:dyDescent="0.3">
      <c r="A109" s="853"/>
      <c r="B109" s="944"/>
      <c r="C109" s="738">
        <v>8</v>
      </c>
      <c r="D109" s="627" t="s">
        <v>45</v>
      </c>
      <c r="E109" s="626">
        <v>2021</v>
      </c>
      <c r="F109" s="291" t="s">
        <v>19</v>
      </c>
      <c r="G109" s="289"/>
      <c r="H109" s="290"/>
      <c r="I109" s="290"/>
      <c r="J109" s="290"/>
      <c r="K109" s="290"/>
      <c r="L109" s="282"/>
      <c r="M109" s="290"/>
      <c r="N109" s="510">
        <v>500</v>
      </c>
      <c r="O109" s="107">
        <f t="shared" ref="O109:O115" si="126">N109+((P109-N109)/(2030-2020))*(2025-2020)</f>
        <v>400</v>
      </c>
      <c r="P109" s="282">
        <v>300</v>
      </c>
      <c r="Q109" s="282">
        <v>150</v>
      </c>
      <c r="R109" s="107">
        <v>75</v>
      </c>
      <c r="S109" s="107">
        <v>75</v>
      </c>
      <c r="T109" s="107">
        <v>75</v>
      </c>
      <c r="U109" s="106">
        <f t="shared" si="124"/>
        <v>5.8296565349252729</v>
      </c>
      <c r="V109" s="107">
        <f t="shared" si="125"/>
        <v>4.6637252279402182</v>
      </c>
      <c r="W109" s="107">
        <f t="shared" ref="W109:W110" si="127">P109*0.02*$BE$5</f>
        <v>3.4977939209551634</v>
      </c>
      <c r="X109" s="107">
        <f t="shared" ref="X109:X110" si="128">Q109*0.02*$BE$5</f>
        <v>1.7488969604775817</v>
      </c>
      <c r="Y109" s="107">
        <f t="shared" ref="Y109:Y110" si="129">R109*0.02*$BE$5</f>
        <v>0.87444848023879085</v>
      </c>
      <c r="Z109" s="107">
        <f t="shared" ref="Z109:Z110" si="130">S109*0.02*$BE$5</f>
        <v>0.87444848023879085</v>
      </c>
      <c r="AA109" s="107">
        <f t="shared" ref="AA109:AA110" si="131">T109*0.02*$BE$5</f>
        <v>0.87444848023879085</v>
      </c>
      <c r="AB109" s="289"/>
      <c r="AC109" s="290"/>
      <c r="AD109" s="290"/>
      <c r="AE109" s="290"/>
      <c r="AF109" s="290"/>
      <c r="AG109" s="282"/>
      <c r="AH109" s="290"/>
      <c r="AI109" s="289">
        <v>90</v>
      </c>
      <c r="AJ109" s="290"/>
      <c r="AK109" s="290"/>
      <c r="AL109" s="290"/>
      <c r="AM109" s="290"/>
      <c r="AN109" s="290"/>
      <c r="AO109" s="290"/>
      <c r="AP109" s="289">
        <v>15</v>
      </c>
      <c r="AQ109" s="290"/>
      <c r="AR109" s="290"/>
      <c r="AS109" s="290"/>
      <c r="AT109" s="290"/>
      <c r="AU109" s="290"/>
      <c r="AV109" s="11"/>
      <c r="AW109" s="104" t="s">
        <v>481</v>
      </c>
    </row>
    <row r="110" spans="1:49" x14ac:dyDescent="0.3">
      <c r="A110" s="853"/>
      <c r="B110" s="944"/>
      <c r="C110" s="738">
        <v>8</v>
      </c>
      <c r="D110" s="627" t="s">
        <v>45</v>
      </c>
      <c r="E110" s="626">
        <v>2021</v>
      </c>
      <c r="F110" s="291" t="s">
        <v>19</v>
      </c>
      <c r="G110" s="289"/>
      <c r="H110" s="290"/>
      <c r="I110" s="290"/>
      <c r="J110" s="290"/>
      <c r="K110" s="290"/>
      <c r="L110" s="282"/>
      <c r="M110" s="290"/>
      <c r="N110" s="510">
        <v>700</v>
      </c>
      <c r="O110" s="107">
        <f t="shared" si="126"/>
        <v>615</v>
      </c>
      <c r="P110" s="282">
        <v>530</v>
      </c>
      <c r="Q110" s="282">
        <v>420</v>
      </c>
      <c r="R110" s="107">
        <f t="shared" ref="R110:R116" si="132">Q110+((S110-Q110)/(2050-2040))*(2045-2040)</f>
        <v>365</v>
      </c>
      <c r="S110" s="107">
        <v>310</v>
      </c>
      <c r="T110" s="107">
        <f t="shared" ref="T110:T115" si="133">R110+((S110-R110)/(2050-2045))*(2060-2045)</f>
        <v>200</v>
      </c>
      <c r="U110" s="106">
        <f t="shared" si="124"/>
        <v>8.1615191488953815</v>
      </c>
      <c r="V110" s="107">
        <f t="shared" si="125"/>
        <v>7.1704775379580861</v>
      </c>
      <c r="W110" s="107">
        <f t="shared" si="127"/>
        <v>6.1794359270207888</v>
      </c>
      <c r="X110" s="107">
        <f t="shared" si="128"/>
        <v>4.8969114893372296</v>
      </c>
      <c r="Y110" s="107">
        <f t="shared" si="129"/>
        <v>4.2556492704954492</v>
      </c>
      <c r="Z110" s="107">
        <f t="shared" si="130"/>
        <v>3.6143870516536691</v>
      </c>
      <c r="AA110" s="107">
        <f t="shared" si="131"/>
        <v>2.3318626139701091</v>
      </c>
      <c r="AB110" s="289"/>
      <c r="AC110" s="290"/>
      <c r="AD110" s="290"/>
      <c r="AE110" s="290"/>
      <c r="AF110" s="290"/>
      <c r="AG110" s="282"/>
      <c r="AH110" s="290"/>
      <c r="AI110" s="289">
        <v>90</v>
      </c>
      <c r="AJ110" s="290"/>
      <c r="AK110" s="290"/>
      <c r="AL110" s="290"/>
      <c r="AM110" s="290"/>
      <c r="AN110" s="290"/>
      <c r="AO110" s="290"/>
      <c r="AP110" s="289">
        <v>15</v>
      </c>
      <c r="AQ110" s="290"/>
      <c r="AR110" s="290"/>
      <c r="AS110" s="290"/>
      <c r="AT110" s="290"/>
      <c r="AU110" s="290"/>
      <c r="AV110" s="11"/>
      <c r="AW110" s="104" t="s">
        <v>482</v>
      </c>
    </row>
    <row r="111" spans="1:49" x14ac:dyDescent="0.3">
      <c r="A111" s="853"/>
      <c r="B111" s="944"/>
      <c r="C111" s="738">
        <v>7</v>
      </c>
      <c r="D111" s="627" t="s">
        <v>42</v>
      </c>
      <c r="E111" s="626">
        <v>2020</v>
      </c>
      <c r="F111" s="291" t="s">
        <v>19</v>
      </c>
      <c r="G111" s="289"/>
      <c r="H111" s="290"/>
      <c r="I111" s="290"/>
      <c r="J111" s="290"/>
      <c r="K111" s="290"/>
      <c r="L111" s="282"/>
      <c r="M111" s="290"/>
      <c r="N111" s="510">
        <v>350</v>
      </c>
      <c r="O111" s="107">
        <f t="shared" si="126"/>
        <v>325</v>
      </c>
      <c r="P111" s="282">
        <v>300</v>
      </c>
      <c r="Q111" s="282">
        <v>250</v>
      </c>
      <c r="R111" s="107">
        <f t="shared" si="132"/>
        <v>225</v>
      </c>
      <c r="S111" s="282">
        <v>200</v>
      </c>
      <c r="T111" s="107">
        <f t="shared" si="133"/>
        <v>150</v>
      </c>
      <c r="U111" s="510">
        <f>0*$BE$5</f>
        <v>0</v>
      </c>
      <c r="V111" s="107">
        <v>0</v>
      </c>
      <c r="W111" s="282">
        <f>0*$BE$5</f>
        <v>0</v>
      </c>
      <c r="X111" s="282">
        <f>0*$BE$5</f>
        <v>0</v>
      </c>
      <c r="Y111" s="107">
        <f>X111+((Z111-X111)/(2050-2040))*(2045-2040)</f>
        <v>0</v>
      </c>
      <c r="Z111" s="282">
        <f>0*$BE$5</f>
        <v>0</v>
      </c>
      <c r="AA111" s="107">
        <f>Y111+((Z111-Y111)/(2050-2045))*(2060-2045)</f>
        <v>0</v>
      </c>
      <c r="AB111" s="289"/>
      <c r="AC111" s="290"/>
      <c r="AD111" s="290"/>
      <c r="AE111" s="290"/>
      <c r="AF111" s="290"/>
      <c r="AG111" s="282"/>
      <c r="AH111" s="290"/>
      <c r="AI111" s="289"/>
      <c r="AJ111" s="290"/>
      <c r="AK111" s="290"/>
      <c r="AL111" s="290"/>
      <c r="AM111" s="290"/>
      <c r="AN111" s="290"/>
      <c r="AO111" s="290"/>
      <c r="AP111" s="289"/>
      <c r="AQ111" s="290"/>
      <c r="AR111" s="290"/>
      <c r="AS111" s="290"/>
      <c r="AT111" s="290"/>
      <c r="AU111" s="290"/>
      <c r="AV111" s="11"/>
      <c r="AW111" s="104"/>
    </row>
    <row r="112" spans="1:49" x14ac:dyDescent="0.3">
      <c r="A112" s="853"/>
      <c r="B112" s="944"/>
      <c r="C112" s="738">
        <v>6</v>
      </c>
      <c r="D112" s="627" t="s">
        <v>39</v>
      </c>
      <c r="E112" s="626">
        <v>2020</v>
      </c>
      <c r="F112" s="291" t="s">
        <v>19</v>
      </c>
      <c r="G112" s="289"/>
      <c r="H112" s="290"/>
      <c r="I112" s="290"/>
      <c r="J112" s="290"/>
      <c r="K112" s="290"/>
      <c r="L112" s="282"/>
      <c r="M112" s="290"/>
      <c r="N112" s="510">
        <f t="shared" ref="N112:N115" si="134">(310)/1.1422</f>
        <v>271.40605848362804</v>
      </c>
      <c r="O112" s="107">
        <f t="shared" si="126"/>
        <v>214.49833654351249</v>
      </c>
      <c r="P112" s="282">
        <f>(180)/1.1422</f>
        <v>157.59061460339694</v>
      </c>
      <c r="Q112" s="107">
        <f t="shared" ref="Q112:Q115" si="135">P112+((S112-P112)/(2050-2030))*(2040-2030)</f>
        <v>135.70302924181402</v>
      </c>
      <c r="R112" s="107">
        <f t="shared" si="132"/>
        <v>124.75923656102258</v>
      </c>
      <c r="S112" s="282">
        <f>(130)/1.1422</f>
        <v>113.81544388023113</v>
      </c>
      <c r="T112" s="107">
        <f t="shared" si="133"/>
        <v>91.927858518648236</v>
      </c>
      <c r="U112" s="106">
        <f t="shared" ref="U112:U115" si="136">N112*0.02*$BE$5</f>
        <v>3.1644082049147864</v>
      </c>
      <c r="V112" s="107">
        <f t="shared" si="125"/>
        <v>2.5009032587229765</v>
      </c>
      <c r="W112" s="107">
        <f t="shared" si="125"/>
        <v>1.8373983125311661</v>
      </c>
      <c r="X112" s="107">
        <f t="shared" si="125"/>
        <v>1.5822041024573932</v>
      </c>
      <c r="Y112" s="107">
        <f t="shared" si="125"/>
        <v>1.4546069974205065</v>
      </c>
      <c r="Z112" s="107">
        <f t="shared" si="125"/>
        <v>1.32700989238362</v>
      </c>
      <c r="AA112" s="107">
        <f t="shared" si="125"/>
        <v>1.0718156823098473</v>
      </c>
      <c r="AB112" s="289"/>
      <c r="AC112" s="290"/>
      <c r="AD112" s="290"/>
      <c r="AE112" s="290"/>
      <c r="AF112" s="290"/>
      <c r="AG112" s="282"/>
      <c r="AH112" s="290"/>
      <c r="AI112" s="289"/>
      <c r="AJ112" s="290"/>
      <c r="AK112" s="290"/>
      <c r="AL112" s="290"/>
      <c r="AM112" s="290"/>
      <c r="AN112" s="290"/>
      <c r="AO112" s="290"/>
      <c r="AP112" s="289"/>
      <c r="AQ112" s="290"/>
      <c r="AR112" s="290"/>
      <c r="AS112" s="290"/>
      <c r="AT112" s="290"/>
      <c r="AU112" s="290"/>
      <c r="AV112" s="11"/>
      <c r="AW112" t="s">
        <v>483</v>
      </c>
    </row>
    <row r="113" spans="1:49" x14ac:dyDescent="0.3">
      <c r="A113" s="853"/>
      <c r="B113" s="944"/>
      <c r="C113" s="738">
        <v>6</v>
      </c>
      <c r="D113" s="627" t="s">
        <v>39</v>
      </c>
      <c r="E113" s="626">
        <v>2020</v>
      </c>
      <c r="F113" s="291" t="s">
        <v>19</v>
      </c>
      <c r="G113" s="289"/>
      <c r="H113" s="290"/>
      <c r="I113" s="290"/>
      <c r="J113" s="290"/>
      <c r="K113" s="290"/>
      <c r="L113" s="282"/>
      <c r="M113" s="290"/>
      <c r="N113" s="510">
        <f t="shared" si="134"/>
        <v>271.40605848362804</v>
      </c>
      <c r="O113" s="107">
        <f t="shared" si="126"/>
        <v>210.12081947119592</v>
      </c>
      <c r="P113" s="282">
        <f t="shared" ref="P113:P114" si="137">(170)/1.1422</f>
        <v>148.83558045876379</v>
      </c>
      <c r="Q113" s="107">
        <f t="shared" si="135"/>
        <v>126.94799509718086</v>
      </c>
      <c r="R113" s="107">
        <f t="shared" si="132"/>
        <v>116.0042024163894</v>
      </c>
      <c r="S113" s="282">
        <f>(120)/1.1422</f>
        <v>105.06040973559796</v>
      </c>
      <c r="T113" s="107">
        <f t="shared" si="133"/>
        <v>83.172824374015065</v>
      </c>
      <c r="U113" s="106">
        <f t="shared" si="136"/>
        <v>3.1644082049147864</v>
      </c>
      <c r="V113" s="107">
        <f t="shared" si="125"/>
        <v>2.4498644167082215</v>
      </c>
      <c r="W113" s="107">
        <f t="shared" ref="W113:W115" si="138">P113*0.02*$BE$5</f>
        <v>1.7353206285016571</v>
      </c>
      <c r="X113" s="107">
        <f t="shared" ref="X113:X115" si="139">Q113*0.02*$BE$5</f>
        <v>1.4801264184278837</v>
      </c>
      <c r="Y113" s="107">
        <f t="shared" ref="Y113:Y115" si="140">R113*0.02*$BE$5</f>
        <v>1.3525293133909972</v>
      </c>
      <c r="Z113" s="107">
        <f t="shared" ref="Z113:Z115" si="141">S113*0.02*$BE$5</f>
        <v>1.2249322083541108</v>
      </c>
      <c r="AA113" s="107">
        <f t="shared" ref="AA113:AA115" si="142">T113*0.02*$BE$5</f>
        <v>0.9697379982803378</v>
      </c>
      <c r="AB113" s="289"/>
      <c r="AC113" s="290"/>
      <c r="AD113" s="290"/>
      <c r="AE113" s="290"/>
      <c r="AF113" s="290"/>
      <c r="AG113" s="282"/>
      <c r="AH113" s="290"/>
      <c r="AI113" s="289"/>
      <c r="AJ113" s="290"/>
      <c r="AK113" s="290"/>
      <c r="AL113" s="290"/>
      <c r="AM113" s="290"/>
      <c r="AN113" s="290"/>
      <c r="AO113" s="290"/>
      <c r="AP113" s="289"/>
      <c r="AQ113" s="290"/>
      <c r="AR113" s="290"/>
      <c r="AS113" s="290"/>
      <c r="AT113" s="290"/>
      <c r="AU113" s="290"/>
      <c r="AV113" s="11"/>
      <c r="AW113" t="s">
        <v>484</v>
      </c>
    </row>
    <row r="114" spans="1:49" x14ac:dyDescent="0.3">
      <c r="A114" s="853"/>
      <c r="B114" s="944"/>
      <c r="C114" s="738">
        <v>6</v>
      </c>
      <c r="D114" s="627" t="s">
        <v>39</v>
      </c>
      <c r="E114" s="626">
        <v>2020</v>
      </c>
      <c r="F114" s="291" t="s">
        <v>19</v>
      </c>
      <c r="G114" s="289"/>
      <c r="H114" s="290"/>
      <c r="I114" s="290"/>
      <c r="J114" s="290"/>
      <c r="K114" s="290"/>
      <c r="L114" s="282"/>
      <c r="M114" s="290"/>
      <c r="N114" s="510">
        <f t="shared" si="134"/>
        <v>271.40605848362804</v>
      </c>
      <c r="O114" s="107">
        <f t="shared" si="126"/>
        <v>210.12081947119592</v>
      </c>
      <c r="P114" s="282">
        <f t="shared" si="137"/>
        <v>148.83558045876379</v>
      </c>
      <c r="Q114" s="107">
        <f t="shared" si="135"/>
        <v>124.75923656102259</v>
      </c>
      <c r="R114" s="107">
        <f t="shared" si="132"/>
        <v>112.72106461215199</v>
      </c>
      <c r="S114" s="282">
        <f>(115)/1.1422</f>
        <v>100.68289266328138</v>
      </c>
      <c r="T114" s="107">
        <f t="shared" si="133"/>
        <v>76.606548765540154</v>
      </c>
      <c r="U114" s="106">
        <f t="shared" si="136"/>
        <v>3.1644082049147864</v>
      </c>
      <c r="V114" s="107">
        <f t="shared" si="125"/>
        <v>2.4498644167082215</v>
      </c>
      <c r="W114" s="107">
        <f t="shared" si="138"/>
        <v>1.7353206285016571</v>
      </c>
      <c r="X114" s="107">
        <f t="shared" si="139"/>
        <v>1.4546069974205067</v>
      </c>
      <c r="Y114" s="107">
        <f t="shared" si="140"/>
        <v>1.3142501818799315</v>
      </c>
      <c r="Z114" s="107">
        <f t="shared" si="141"/>
        <v>1.1738933663393563</v>
      </c>
      <c r="AA114" s="107">
        <f t="shared" si="142"/>
        <v>0.8931797352582056</v>
      </c>
      <c r="AB114" s="289"/>
      <c r="AC114" s="290"/>
      <c r="AD114" s="290"/>
      <c r="AE114" s="290"/>
      <c r="AF114" s="290"/>
      <c r="AG114" s="282"/>
      <c r="AH114" s="290"/>
      <c r="AI114" s="289"/>
      <c r="AJ114" s="290"/>
      <c r="AK114" s="290"/>
      <c r="AL114" s="290"/>
      <c r="AM114" s="290"/>
      <c r="AN114" s="290"/>
      <c r="AO114" s="290"/>
      <c r="AP114" s="289"/>
      <c r="AQ114" s="290"/>
      <c r="AR114" s="290"/>
      <c r="AS114" s="290"/>
      <c r="AT114" s="290"/>
      <c r="AU114" s="290"/>
      <c r="AV114" s="11"/>
      <c r="AW114" t="s">
        <v>485</v>
      </c>
    </row>
    <row r="115" spans="1:49" x14ac:dyDescent="0.3">
      <c r="A115" s="853"/>
      <c r="B115" s="944"/>
      <c r="C115" s="738">
        <v>6</v>
      </c>
      <c r="D115" s="627" t="s">
        <v>39</v>
      </c>
      <c r="E115" s="626">
        <v>2020</v>
      </c>
      <c r="F115" s="291" t="s">
        <v>19</v>
      </c>
      <c r="G115" s="289"/>
      <c r="H115" s="290"/>
      <c r="I115" s="290"/>
      <c r="J115" s="290"/>
      <c r="K115" s="290"/>
      <c r="L115" s="282"/>
      <c r="M115" s="290"/>
      <c r="N115" s="510">
        <f t="shared" si="134"/>
        <v>271.40605848362804</v>
      </c>
      <c r="O115" s="107">
        <f t="shared" si="126"/>
        <v>186.04447557345472</v>
      </c>
      <c r="P115" s="282">
        <f>(115)/1.1422</f>
        <v>100.68289266328138</v>
      </c>
      <c r="Q115" s="107">
        <f t="shared" si="135"/>
        <v>98.49413412712309</v>
      </c>
      <c r="R115" s="107">
        <f t="shared" si="132"/>
        <v>97.399754859043952</v>
      </c>
      <c r="S115" s="282">
        <f>(110)/1.1422</f>
        <v>96.3053755909648</v>
      </c>
      <c r="T115" s="107">
        <f t="shared" si="133"/>
        <v>94.116617054806497</v>
      </c>
      <c r="U115" s="106">
        <f t="shared" si="136"/>
        <v>3.1644082049147864</v>
      </c>
      <c r="V115" s="107">
        <f t="shared" si="125"/>
        <v>2.1691507856270711</v>
      </c>
      <c r="W115" s="107">
        <f t="shared" si="138"/>
        <v>1.1738933663393563</v>
      </c>
      <c r="X115" s="107">
        <f t="shared" si="139"/>
        <v>1.1483739453319788</v>
      </c>
      <c r="Y115" s="107">
        <f t="shared" si="140"/>
        <v>1.1356142348282903</v>
      </c>
      <c r="Z115" s="107">
        <f t="shared" si="141"/>
        <v>1.1228545243246015</v>
      </c>
      <c r="AA115" s="107">
        <f t="shared" si="142"/>
        <v>1.0973351033172241</v>
      </c>
      <c r="AB115" s="289"/>
      <c r="AC115" s="290"/>
      <c r="AD115" s="290"/>
      <c r="AE115" s="290"/>
      <c r="AF115" s="290"/>
      <c r="AG115" s="282"/>
      <c r="AH115" s="290"/>
      <c r="AI115" s="289"/>
      <c r="AJ115" s="290"/>
      <c r="AK115" s="290"/>
      <c r="AL115" s="290"/>
      <c r="AM115" s="290"/>
      <c r="AN115" s="290"/>
      <c r="AO115" s="290"/>
      <c r="AP115" s="289"/>
      <c r="AQ115" s="290"/>
      <c r="AR115" s="290"/>
      <c r="AS115" s="290"/>
      <c r="AT115" s="290"/>
      <c r="AU115" s="290"/>
      <c r="AV115" s="11"/>
      <c r="AW115" t="s">
        <v>486</v>
      </c>
    </row>
    <row r="116" spans="1:49" x14ac:dyDescent="0.3">
      <c r="A116" s="853"/>
      <c r="B116" s="945"/>
      <c r="C116" s="739">
        <v>5</v>
      </c>
      <c r="D116" s="752" t="s">
        <v>35</v>
      </c>
      <c r="E116" s="651">
        <v>2021</v>
      </c>
      <c r="F116" s="301" t="s">
        <v>19</v>
      </c>
      <c r="G116" s="299"/>
      <c r="H116" s="300"/>
      <c r="I116" s="300"/>
      <c r="J116" s="300"/>
      <c r="K116" s="300"/>
      <c r="L116" s="302"/>
      <c r="M116" s="300"/>
      <c r="N116" s="512">
        <v>350</v>
      </c>
      <c r="O116" s="302">
        <v>275</v>
      </c>
      <c r="P116" s="302">
        <v>225</v>
      </c>
      <c r="Q116" s="302">
        <v>125</v>
      </c>
      <c r="R116" s="122">
        <f t="shared" si="132"/>
        <v>102.5</v>
      </c>
      <c r="S116" s="302">
        <v>80</v>
      </c>
      <c r="T116" s="107">
        <v>80</v>
      </c>
      <c r="U116" s="512">
        <f>N116*0.04*$BE$5</f>
        <v>8.1615191488953815</v>
      </c>
      <c r="V116" s="302">
        <f t="shared" ref="V116:X116" si="143">O116*0.04*$BE$5</f>
        <v>6.4126221884178003</v>
      </c>
      <c r="W116" s="302">
        <f t="shared" si="143"/>
        <v>5.2466908814327455</v>
      </c>
      <c r="X116" s="302">
        <f t="shared" si="143"/>
        <v>2.9148282674626365</v>
      </c>
      <c r="Y116" s="107">
        <f>X116+((Z116-X116)/(2050-2040))*(2045-2040)</f>
        <v>2.3901591793193617</v>
      </c>
      <c r="Z116" s="302">
        <f>S116*0.04*$BE$5</f>
        <v>1.8654900911760874</v>
      </c>
      <c r="AA116" s="107">
        <f>Z116+((AB116-Z116)/(2050-2040))*(2045-2040)</f>
        <v>0.93274504558804372</v>
      </c>
      <c r="AB116" s="299"/>
      <c r="AC116" s="300"/>
      <c r="AD116" s="300"/>
      <c r="AE116" s="300"/>
      <c r="AF116" s="300"/>
      <c r="AG116" s="302"/>
      <c r="AH116" s="300"/>
      <c r="AI116" s="299"/>
      <c r="AJ116" s="300"/>
      <c r="AK116" s="300"/>
      <c r="AL116" s="300"/>
      <c r="AM116" s="300"/>
      <c r="AN116" s="300"/>
      <c r="AO116" s="300"/>
      <c r="AP116" s="299">
        <v>15</v>
      </c>
      <c r="AQ116" s="300">
        <v>15</v>
      </c>
      <c r="AR116" s="300">
        <v>15</v>
      </c>
      <c r="AS116" s="300">
        <v>20</v>
      </c>
      <c r="AT116" s="378">
        <f>AS116+((AU116-AS116)/(2050-2040))*(2045-2040)</f>
        <v>20</v>
      </c>
      <c r="AU116" s="300">
        <v>20</v>
      </c>
      <c r="AV116" s="118">
        <f>AT116+((AU116-AT116)/(2050-2045))*(2060-2045)</f>
        <v>20</v>
      </c>
    </row>
    <row r="117" spans="1:49" x14ac:dyDescent="0.3">
      <c r="A117" s="853"/>
      <c r="B117" s="753" t="s">
        <v>267</v>
      </c>
      <c r="C117" s="317"/>
      <c r="D117" s="318"/>
      <c r="E117" s="318"/>
      <c r="F117" s="321"/>
      <c r="G117" s="317"/>
      <c r="H117" s="318"/>
      <c r="I117" s="318"/>
      <c r="J117" s="318"/>
      <c r="K117" s="318"/>
      <c r="L117" s="313">
        <f>MIN(L107:L116)</f>
        <v>84.093122067805623</v>
      </c>
      <c r="M117" s="318"/>
      <c r="N117" s="312">
        <f t="shared" ref="N117:AA117" si="144">MIN(N107:N116)</f>
        <v>232</v>
      </c>
      <c r="O117" s="313">
        <f t="shared" si="144"/>
        <v>186.04447557345472</v>
      </c>
      <c r="P117" s="313">
        <f t="shared" si="144"/>
        <v>100.68289266328138</v>
      </c>
      <c r="Q117" s="313">
        <f t="shared" si="144"/>
        <v>94</v>
      </c>
      <c r="R117" s="313">
        <f t="shared" si="144"/>
        <v>75</v>
      </c>
      <c r="S117" s="313">
        <f t="shared" si="144"/>
        <v>75</v>
      </c>
      <c r="T117" s="313">
        <f t="shared" si="144"/>
        <v>56</v>
      </c>
      <c r="U117" s="312">
        <f t="shared" si="144"/>
        <v>0</v>
      </c>
      <c r="V117" s="313">
        <f t="shared" si="144"/>
        <v>0</v>
      </c>
      <c r="W117" s="313">
        <f t="shared" si="144"/>
        <v>0</v>
      </c>
      <c r="X117" s="313">
        <f t="shared" si="144"/>
        <v>0</v>
      </c>
      <c r="Y117" s="313">
        <f t="shared" si="144"/>
        <v>0</v>
      </c>
      <c r="Z117" s="313">
        <f t="shared" si="144"/>
        <v>0</v>
      </c>
      <c r="AA117" s="313">
        <f t="shared" si="144"/>
        <v>0</v>
      </c>
      <c r="AB117" s="317"/>
      <c r="AC117" s="318"/>
      <c r="AD117" s="318"/>
      <c r="AE117" s="318"/>
      <c r="AF117" s="318"/>
      <c r="AG117" s="313">
        <f>MIN(AG107:AG116)</f>
        <v>2.6555722758254405</v>
      </c>
      <c r="AH117" s="318"/>
      <c r="AI117" s="317">
        <f>MIN(AI107:AI116)</f>
        <v>90</v>
      </c>
      <c r="AJ117" s="318"/>
      <c r="AK117" s="318"/>
      <c r="AL117" s="318"/>
      <c r="AM117" s="318"/>
      <c r="AN117" s="318">
        <f>MIN(AN107:AN116)</f>
        <v>86</v>
      </c>
      <c r="AO117" s="318"/>
      <c r="AP117" s="317">
        <f t="shared" ref="AP117:AV117" si="145">MIN(AP107:AP116)</f>
        <v>15</v>
      </c>
      <c r="AQ117" s="318">
        <f t="shared" si="145"/>
        <v>15</v>
      </c>
      <c r="AR117" s="318">
        <f t="shared" si="145"/>
        <v>15</v>
      </c>
      <c r="AS117" s="318">
        <f t="shared" si="145"/>
        <v>20</v>
      </c>
      <c r="AT117" s="318">
        <f t="shared" si="145"/>
        <v>20</v>
      </c>
      <c r="AU117" s="318">
        <f t="shared" si="145"/>
        <v>13</v>
      </c>
      <c r="AV117" s="321">
        <f t="shared" si="145"/>
        <v>20</v>
      </c>
      <c r="AW117" s="104"/>
    </row>
    <row r="118" spans="1:49" x14ac:dyDescent="0.3">
      <c r="A118" s="853"/>
      <c r="B118" s="718" t="s">
        <v>268</v>
      </c>
      <c r="C118" s="328"/>
      <c r="D118" s="311"/>
      <c r="E118" s="311"/>
      <c r="F118" s="331"/>
      <c r="G118" s="328"/>
      <c r="H118" s="311"/>
      <c r="I118" s="311"/>
      <c r="J118" s="311"/>
      <c r="K118" s="311"/>
      <c r="L118" s="324">
        <f>AVERAGE(L107:L116)</f>
        <v>84.093122067805623</v>
      </c>
      <c r="M118" s="311"/>
      <c r="N118" s="323">
        <f t="shared" ref="N118:AA118" si="146">AVERAGE(N107:N116)</f>
        <v>357.51380377050128</v>
      </c>
      <c r="O118" s="324">
        <f t="shared" si="146"/>
        <v>291.42049456215102</v>
      </c>
      <c r="P118" s="324">
        <f t="shared" si="146"/>
        <v>228.10496313157844</v>
      </c>
      <c r="Q118" s="324">
        <f t="shared" si="146"/>
        <v>169.43382166968229</v>
      </c>
      <c r="R118" s="324">
        <f t="shared" si="146"/>
        <v>144.76491760540088</v>
      </c>
      <c r="S118" s="324">
        <f t="shared" si="146"/>
        <v>125.3235105317008</v>
      </c>
      <c r="T118" s="324">
        <f t="shared" si="146"/>
        <v>100.75820541255666</v>
      </c>
      <c r="U118" s="323">
        <f t="shared" si="146"/>
        <v>4.1683653649533898</v>
      </c>
      <c r="V118" s="324">
        <f t="shared" si="146"/>
        <v>3.3329888195716277</v>
      </c>
      <c r="W118" s="324">
        <f t="shared" si="146"/>
        <v>2.5623862356890346</v>
      </c>
      <c r="X118" s="324">
        <f t="shared" si="146"/>
        <v>1.8135470677201293</v>
      </c>
      <c r="Y118" s="324">
        <f t="shared" si="146"/>
        <v>1.529163290219522</v>
      </c>
      <c r="Z118" s="324">
        <f t="shared" si="146"/>
        <v>2.0929371680793829</v>
      </c>
      <c r="AA118" s="324">
        <f t="shared" si="146"/>
        <v>0.98044957676379874</v>
      </c>
      <c r="AB118" s="328"/>
      <c r="AC118" s="311"/>
      <c r="AD118" s="311"/>
      <c r="AE118" s="311"/>
      <c r="AF118" s="311"/>
      <c r="AG118" s="324">
        <f>AVERAGE(AG107:AG116)</f>
        <v>2.6555722758254405</v>
      </c>
      <c r="AH118" s="311"/>
      <c r="AI118" s="328">
        <f>AVERAGE(AI107:AI116)</f>
        <v>90</v>
      </c>
      <c r="AJ118" s="311"/>
      <c r="AK118" s="311"/>
      <c r="AL118" s="311"/>
      <c r="AM118" s="311"/>
      <c r="AN118" s="311">
        <f>AVERAGE(AN107:AN116)</f>
        <v>86</v>
      </c>
      <c r="AO118" s="311"/>
      <c r="AP118" s="328">
        <f t="shared" ref="AP118:AV118" si="147">AVERAGE(AP107:AP116)</f>
        <v>16.25</v>
      </c>
      <c r="AQ118" s="311">
        <f t="shared" si="147"/>
        <v>18.75</v>
      </c>
      <c r="AR118" s="311">
        <f t="shared" si="147"/>
        <v>20</v>
      </c>
      <c r="AS118" s="311">
        <f t="shared" si="147"/>
        <v>25</v>
      </c>
      <c r="AT118" s="311">
        <f t="shared" si="147"/>
        <v>25</v>
      </c>
      <c r="AU118" s="311">
        <f t="shared" si="147"/>
        <v>21</v>
      </c>
      <c r="AV118" s="331">
        <f t="shared" si="147"/>
        <v>25</v>
      </c>
      <c r="AW118" s="104"/>
    </row>
    <row r="119" spans="1:49" x14ac:dyDescent="0.3">
      <c r="A119" s="853"/>
      <c r="B119" s="719" t="s">
        <v>269</v>
      </c>
      <c r="C119" s="339"/>
      <c r="D119" s="333"/>
      <c r="E119" s="333"/>
      <c r="F119" s="342"/>
      <c r="G119" s="339"/>
      <c r="H119" s="333"/>
      <c r="I119" s="333"/>
      <c r="J119" s="333"/>
      <c r="K119" s="333"/>
      <c r="L119" s="335">
        <f>MAX(L107:L116)</f>
        <v>84.093122067805623</v>
      </c>
      <c r="M119" s="333"/>
      <c r="N119" s="334">
        <f t="shared" ref="N119:AA119" si="148">MAX(N107:N116)</f>
        <v>700</v>
      </c>
      <c r="O119" s="335">
        <f t="shared" si="148"/>
        <v>615</v>
      </c>
      <c r="P119" s="335">
        <f t="shared" si="148"/>
        <v>530</v>
      </c>
      <c r="Q119" s="335">
        <f t="shared" si="148"/>
        <v>420</v>
      </c>
      <c r="R119" s="335">
        <f t="shared" si="148"/>
        <v>365</v>
      </c>
      <c r="S119" s="335">
        <f t="shared" si="148"/>
        <v>310</v>
      </c>
      <c r="T119" s="335">
        <f t="shared" si="148"/>
        <v>200</v>
      </c>
      <c r="U119" s="334">
        <f t="shared" si="148"/>
        <v>8.1615191488953815</v>
      </c>
      <c r="V119" s="335">
        <f t="shared" si="148"/>
        <v>7.1704775379580861</v>
      </c>
      <c r="W119" s="335">
        <f t="shared" si="148"/>
        <v>6.1794359270207888</v>
      </c>
      <c r="X119" s="335">
        <f t="shared" si="148"/>
        <v>4.8969114893372296</v>
      </c>
      <c r="Y119" s="335">
        <f t="shared" si="148"/>
        <v>4.2556492704954492</v>
      </c>
      <c r="Z119" s="335">
        <f t="shared" si="148"/>
        <v>8.8519075860848027</v>
      </c>
      <c r="AA119" s="335">
        <f t="shared" si="148"/>
        <v>2.3318626139701091</v>
      </c>
      <c r="AB119" s="339"/>
      <c r="AC119" s="333"/>
      <c r="AD119" s="333"/>
      <c r="AE119" s="333"/>
      <c r="AF119" s="333"/>
      <c r="AG119" s="335">
        <f>MAX(AG107:AG116)</f>
        <v>2.6555722758254405</v>
      </c>
      <c r="AH119" s="333"/>
      <c r="AI119" s="339">
        <f>MAX(AI107:AI116)</f>
        <v>90</v>
      </c>
      <c r="AJ119" s="333"/>
      <c r="AK119" s="333"/>
      <c r="AL119" s="333"/>
      <c r="AM119" s="333"/>
      <c r="AN119" s="333">
        <f>MAX(AN107:AN116)</f>
        <v>86</v>
      </c>
      <c r="AO119" s="333"/>
      <c r="AP119" s="339">
        <f t="shared" ref="AP119:AV119" si="149">MAX(AP107:AP116)</f>
        <v>20</v>
      </c>
      <c r="AQ119" s="333">
        <f t="shared" si="149"/>
        <v>22.5</v>
      </c>
      <c r="AR119" s="333">
        <f t="shared" si="149"/>
        <v>25</v>
      </c>
      <c r="AS119" s="333">
        <f t="shared" si="149"/>
        <v>30</v>
      </c>
      <c r="AT119" s="333">
        <f t="shared" si="149"/>
        <v>30</v>
      </c>
      <c r="AU119" s="333">
        <f t="shared" si="149"/>
        <v>30</v>
      </c>
      <c r="AV119" s="342">
        <f t="shared" si="149"/>
        <v>30</v>
      </c>
      <c r="AW119" s="104"/>
    </row>
    <row r="120" spans="1:49" ht="14.4" customHeight="1" x14ac:dyDescent="0.3">
      <c r="A120" s="853"/>
      <c r="B120" s="939" t="s">
        <v>487</v>
      </c>
      <c r="C120" s="744">
        <v>4</v>
      </c>
      <c r="D120" s="744" t="s">
        <v>31</v>
      </c>
      <c r="E120" s="744">
        <v>2022</v>
      </c>
      <c r="F120" s="710" t="s">
        <v>19</v>
      </c>
      <c r="G120" s="244">
        <v>19.41</v>
      </c>
      <c r="H120" s="245">
        <f>16.28</f>
        <v>16.28</v>
      </c>
      <c r="I120" s="245">
        <f>13.15</f>
        <v>13.15</v>
      </c>
      <c r="J120" s="245">
        <f>12.13</f>
        <v>12.13</v>
      </c>
      <c r="K120" s="245">
        <v>12.1</v>
      </c>
      <c r="L120" s="245">
        <f>12.06</f>
        <v>12.06</v>
      </c>
      <c r="M120" s="93">
        <f>K120+((L120-K120)/(2050-2045))*(2060-2045)</f>
        <v>11.980000000000002</v>
      </c>
      <c r="N120" s="754"/>
      <c r="O120" s="755"/>
      <c r="P120" s="755"/>
      <c r="Q120" s="755"/>
      <c r="R120" s="755"/>
      <c r="S120" s="755"/>
      <c r="T120" s="756"/>
      <c r="U120" s="244">
        <f>G120*0.01*$BE$5</f>
        <v>0.11315363334289955</v>
      </c>
      <c r="V120" s="245">
        <f t="shared" ref="V120:Z122" si="150">H120*0.01*$BE$5</f>
        <v>9.4906808388583452E-2</v>
      </c>
      <c r="W120" s="245">
        <f t="shared" si="150"/>
        <v>7.6659983434267345E-2</v>
      </c>
      <c r="X120" s="245">
        <f t="shared" si="150"/>
        <v>7.0713733768643566E-2</v>
      </c>
      <c r="Y120" s="245">
        <f t="shared" si="150"/>
        <v>7.0538844072595794E-2</v>
      </c>
      <c r="Z120" s="245">
        <f t="shared" si="150"/>
        <v>7.0305657811198796E-2</v>
      </c>
      <c r="AA120" s="95">
        <f>Y120+((Z120-Y120)/(2050-2045))*(2060-2045)</f>
        <v>6.9839285288404801E-2</v>
      </c>
      <c r="AB120" s="240"/>
      <c r="AC120" s="236"/>
      <c r="AD120" s="236"/>
      <c r="AE120" s="236"/>
      <c r="AF120" s="242"/>
      <c r="AG120" s="236"/>
      <c r="AH120" s="667"/>
      <c r="AI120" s="240"/>
      <c r="AJ120" s="236"/>
      <c r="AK120" s="236"/>
      <c r="AL120" s="236"/>
      <c r="AM120" s="242"/>
      <c r="AN120" s="236"/>
      <c r="AO120" s="667"/>
      <c r="AP120" s="240">
        <v>30</v>
      </c>
      <c r="AQ120" s="236">
        <v>30</v>
      </c>
      <c r="AR120" s="236">
        <v>30</v>
      </c>
      <c r="AS120" s="236">
        <v>30</v>
      </c>
      <c r="AT120" s="242">
        <v>30</v>
      </c>
      <c r="AU120" s="236">
        <v>30</v>
      </c>
      <c r="AV120" s="103">
        <f>AT120+((AU120-AT120)/(2050-2045))*(2060-2045)</f>
        <v>30</v>
      </c>
    </row>
    <row r="121" spans="1:49" x14ac:dyDescent="0.3">
      <c r="A121" s="853"/>
      <c r="B121" s="970"/>
      <c r="C121" s="744">
        <v>22</v>
      </c>
      <c r="D121" s="757" t="s">
        <v>86</v>
      </c>
      <c r="E121" s="744">
        <v>2016</v>
      </c>
      <c r="F121" s="710" t="s">
        <v>19</v>
      </c>
      <c r="G121" s="247"/>
      <c r="H121" s="243"/>
      <c r="I121" s="245"/>
      <c r="J121" s="245"/>
      <c r="K121" s="245"/>
      <c r="L121" s="245">
        <f>10.04/1.1069</f>
        <v>9.0703767277983545</v>
      </c>
      <c r="M121" s="245"/>
      <c r="N121" s="758"/>
      <c r="O121" s="759"/>
      <c r="P121" s="759"/>
      <c r="Q121" s="759"/>
      <c r="R121" s="759"/>
      <c r="S121" s="759"/>
      <c r="T121" s="760"/>
      <c r="U121" s="244"/>
      <c r="V121" s="245"/>
      <c r="W121" s="245"/>
      <c r="X121" s="245"/>
      <c r="Y121" s="245"/>
      <c r="Z121" s="107">
        <f t="shared" si="150"/>
        <v>5.287718096544379E-2</v>
      </c>
      <c r="AA121" s="246"/>
      <c r="AB121" s="247"/>
      <c r="AC121" s="243"/>
      <c r="AD121" s="243"/>
      <c r="AE121" s="243"/>
      <c r="AF121" s="245"/>
      <c r="AG121" s="243"/>
      <c r="AH121" s="246"/>
      <c r="AI121" s="247"/>
      <c r="AJ121" s="243"/>
      <c r="AK121" s="243"/>
      <c r="AL121" s="243"/>
      <c r="AM121" s="245"/>
      <c r="AN121" s="243"/>
      <c r="AO121" s="246"/>
      <c r="AP121" s="247"/>
      <c r="AQ121" s="243"/>
      <c r="AR121" s="243"/>
      <c r="AS121" s="243"/>
      <c r="AT121" s="245"/>
      <c r="AU121" s="243"/>
      <c r="AV121" s="246"/>
      <c r="AW121" s="104" t="s">
        <v>488</v>
      </c>
    </row>
    <row r="122" spans="1:49" x14ac:dyDescent="0.3">
      <c r="A122" s="853"/>
      <c r="B122" s="971"/>
      <c r="C122" s="761">
        <v>22</v>
      </c>
      <c r="D122" s="762" t="s">
        <v>86</v>
      </c>
      <c r="E122" s="761">
        <v>2016</v>
      </c>
      <c r="F122" s="711" t="s">
        <v>19</v>
      </c>
      <c r="G122" s="250"/>
      <c r="H122" s="248"/>
      <c r="I122" s="249"/>
      <c r="J122" s="249"/>
      <c r="K122" s="249"/>
      <c r="L122" s="249">
        <f>16.35/1.1069</f>
        <v>14.770982021862862</v>
      </c>
      <c r="M122" s="249"/>
      <c r="N122" s="763"/>
      <c r="O122" s="764"/>
      <c r="P122" s="764"/>
      <c r="Q122" s="764"/>
      <c r="R122" s="764"/>
      <c r="S122" s="764"/>
      <c r="T122" s="765"/>
      <c r="U122" s="671"/>
      <c r="V122" s="249"/>
      <c r="W122" s="249"/>
      <c r="X122" s="249"/>
      <c r="Y122" s="249"/>
      <c r="Z122" s="122">
        <f t="shared" si="150"/>
        <v>8.6109751871016563E-2</v>
      </c>
      <c r="AA122" s="766"/>
      <c r="AB122" s="250"/>
      <c r="AC122" s="248"/>
      <c r="AD122" s="248"/>
      <c r="AE122" s="248"/>
      <c r="AF122" s="249"/>
      <c r="AG122" s="248"/>
      <c r="AH122" s="766"/>
      <c r="AI122" s="250"/>
      <c r="AJ122" s="248"/>
      <c r="AK122" s="248"/>
      <c r="AL122" s="248"/>
      <c r="AM122" s="249"/>
      <c r="AN122" s="248"/>
      <c r="AO122" s="766"/>
      <c r="AP122" s="250"/>
      <c r="AQ122" s="248"/>
      <c r="AR122" s="248"/>
      <c r="AS122" s="248"/>
      <c r="AT122" s="249"/>
      <c r="AU122" s="248"/>
      <c r="AV122" s="766"/>
      <c r="AW122" s="104" t="s">
        <v>489</v>
      </c>
    </row>
    <row r="123" spans="1:49" x14ac:dyDescent="0.3">
      <c r="A123" s="853"/>
      <c r="B123" s="260" t="s">
        <v>267</v>
      </c>
      <c r="C123" s="767"/>
      <c r="D123" s="768"/>
      <c r="E123" s="767"/>
      <c r="F123" s="769"/>
      <c r="G123" s="262"/>
      <c r="H123" s="261"/>
      <c r="I123" s="263"/>
      <c r="J123" s="263"/>
      <c r="K123" s="263"/>
      <c r="L123" s="263">
        <f>MIN(L120:L122)</f>
        <v>9.0703767277983545</v>
      </c>
      <c r="M123" s="263"/>
      <c r="N123" s="262"/>
      <c r="O123" s="261"/>
      <c r="P123" s="263"/>
      <c r="Q123" s="263"/>
      <c r="R123" s="263"/>
      <c r="S123" s="263"/>
      <c r="T123" s="264"/>
      <c r="U123" s="263">
        <f t="shared" ref="U123:AA123" si="151">MIN(U120:U122)</f>
        <v>0.11315363334289955</v>
      </c>
      <c r="V123" s="263">
        <f t="shared" si="151"/>
        <v>9.4906808388583452E-2</v>
      </c>
      <c r="W123" s="263">
        <f t="shared" si="151"/>
        <v>7.6659983434267345E-2</v>
      </c>
      <c r="X123" s="263">
        <f t="shared" si="151"/>
        <v>7.0713733768643566E-2</v>
      </c>
      <c r="Y123" s="263">
        <f t="shared" si="151"/>
        <v>7.0538844072595794E-2</v>
      </c>
      <c r="Z123" s="263">
        <f t="shared" si="151"/>
        <v>5.287718096544379E-2</v>
      </c>
      <c r="AA123" s="263">
        <f t="shared" si="151"/>
        <v>6.9839285288404801E-2</v>
      </c>
      <c r="AB123" s="265"/>
      <c r="AC123" s="261"/>
      <c r="AD123" s="261"/>
      <c r="AE123" s="261"/>
      <c r="AF123" s="263"/>
      <c r="AG123" s="261"/>
      <c r="AH123" s="264"/>
      <c r="AI123" s="265"/>
      <c r="AJ123" s="261"/>
      <c r="AK123" s="261"/>
      <c r="AL123" s="261"/>
      <c r="AM123" s="263"/>
      <c r="AN123" s="261"/>
      <c r="AO123" s="264"/>
      <c r="AP123" s="263">
        <f t="shared" ref="AP123:AV123" si="152">MIN(AP120:AP122)</f>
        <v>30</v>
      </c>
      <c r="AQ123" s="263">
        <f t="shared" si="152"/>
        <v>30</v>
      </c>
      <c r="AR123" s="263">
        <f t="shared" si="152"/>
        <v>30</v>
      </c>
      <c r="AS123" s="263">
        <f t="shared" si="152"/>
        <v>30</v>
      </c>
      <c r="AT123" s="263">
        <f t="shared" si="152"/>
        <v>30</v>
      </c>
      <c r="AU123" s="263">
        <f t="shared" si="152"/>
        <v>30</v>
      </c>
      <c r="AV123" s="263">
        <f t="shared" si="152"/>
        <v>30</v>
      </c>
    </row>
    <row r="124" spans="1:49" x14ac:dyDescent="0.3">
      <c r="A124" s="853"/>
      <c r="B124" s="260" t="s">
        <v>268</v>
      </c>
      <c r="C124" s="767"/>
      <c r="D124" s="767"/>
      <c r="E124" s="767"/>
      <c r="F124" s="769"/>
      <c r="G124" s="262"/>
      <c r="H124" s="263"/>
      <c r="I124" s="263"/>
      <c r="J124" s="263"/>
      <c r="K124" s="263"/>
      <c r="L124" s="263">
        <f>MEDIAN(L120:L122)</f>
        <v>12.06</v>
      </c>
      <c r="M124" s="263"/>
      <c r="N124" s="262"/>
      <c r="O124" s="261"/>
      <c r="P124" s="263"/>
      <c r="Q124" s="263"/>
      <c r="R124" s="263"/>
      <c r="S124" s="263"/>
      <c r="T124" s="264"/>
      <c r="U124" s="263">
        <f>MEDIAN(U120:U122)</f>
        <v>0.11315363334289955</v>
      </c>
      <c r="V124" s="263">
        <f t="shared" ref="V124:Y124" si="153">MEDIAN(V120:V122)</f>
        <v>9.4906808388583452E-2</v>
      </c>
      <c r="W124" s="263">
        <f t="shared" si="153"/>
        <v>7.6659983434267345E-2</v>
      </c>
      <c r="X124" s="263">
        <f t="shared" si="153"/>
        <v>7.0713733768643566E-2</v>
      </c>
      <c r="Y124" s="263">
        <f t="shared" si="153"/>
        <v>7.0538844072595794E-2</v>
      </c>
      <c r="Z124" s="263">
        <f>MEDIAN(Z120:Z122)</f>
        <v>7.0305657811198796E-2</v>
      </c>
      <c r="AA124" s="263">
        <f>MEDIAN(AA120:AA122)</f>
        <v>6.9839285288404801E-2</v>
      </c>
      <c r="AB124" s="265"/>
      <c r="AC124" s="261"/>
      <c r="AD124" s="261"/>
      <c r="AE124" s="261"/>
      <c r="AF124" s="263"/>
      <c r="AG124" s="261"/>
      <c r="AH124" s="264"/>
      <c r="AI124" s="265"/>
      <c r="AJ124" s="261"/>
      <c r="AK124" s="261"/>
      <c r="AL124" s="261"/>
      <c r="AM124" s="263"/>
      <c r="AN124" s="261"/>
      <c r="AO124" s="264"/>
      <c r="AP124" s="263">
        <f t="shared" ref="AP124:AV124" si="154">MEDIAN(AP120:AP122)</f>
        <v>30</v>
      </c>
      <c r="AQ124" s="263">
        <f t="shared" si="154"/>
        <v>30</v>
      </c>
      <c r="AR124" s="263">
        <f t="shared" si="154"/>
        <v>30</v>
      </c>
      <c r="AS124" s="263">
        <f t="shared" si="154"/>
        <v>30</v>
      </c>
      <c r="AT124" s="263">
        <f t="shared" si="154"/>
        <v>30</v>
      </c>
      <c r="AU124" s="263">
        <f t="shared" si="154"/>
        <v>30</v>
      </c>
      <c r="AV124" s="263">
        <f t="shared" si="154"/>
        <v>30</v>
      </c>
    </row>
    <row r="125" spans="1:49" x14ac:dyDescent="0.3">
      <c r="A125" s="853"/>
      <c r="B125" s="269" t="s">
        <v>269</v>
      </c>
      <c r="C125" s="770"/>
      <c r="D125" s="770"/>
      <c r="E125" s="770"/>
      <c r="F125" s="771"/>
      <c r="G125" s="270"/>
      <c r="H125" s="274"/>
      <c r="I125" s="274"/>
      <c r="J125" s="274"/>
      <c r="K125" s="274"/>
      <c r="L125" s="271">
        <f>MAX(L120:L122)</f>
        <v>14.770982021862862</v>
      </c>
      <c r="M125" s="274"/>
      <c r="N125" s="270"/>
      <c r="O125" s="274"/>
      <c r="P125" s="274"/>
      <c r="Q125" s="274"/>
      <c r="R125" s="274"/>
      <c r="S125" s="271"/>
      <c r="T125" s="277"/>
      <c r="U125" s="271">
        <f>MAX(U120:U122)</f>
        <v>0.11315363334289955</v>
      </c>
      <c r="V125" s="271">
        <f t="shared" ref="V125:AA125" si="155">MAX(V120:V122)</f>
        <v>9.4906808388583452E-2</v>
      </c>
      <c r="W125" s="271">
        <f t="shared" si="155"/>
        <v>7.6659983434267345E-2</v>
      </c>
      <c r="X125" s="271">
        <f t="shared" si="155"/>
        <v>7.0713733768643566E-2</v>
      </c>
      <c r="Y125" s="271">
        <f t="shared" si="155"/>
        <v>7.0538844072595794E-2</v>
      </c>
      <c r="Z125" s="271">
        <f t="shared" si="155"/>
        <v>8.6109751871016563E-2</v>
      </c>
      <c r="AA125" s="271">
        <f t="shared" si="155"/>
        <v>6.9839285288404801E-2</v>
      </c>
      <c r="AB125" s="273"/>
      <c r="AC125" s="274"/>
      <c r="AD125" s="274"/>
      <c r="AE125" s="274"/>
      <c r="AF125" s="274"/>
      <c r="AG125" s="274"/>
      <c r="AH125" s="277"/>
      <c r="AI125" s="273"/>
      <c r="AJ125" s="274"/>
      <c r="AK125" s="274"/>
      <c r="AL125" s="274"/>
      <c r="AM125" s="274"/>
      <c r="AN125" s="274"/>
      <c r="AO125" s="277"/>
      <c r="AP125" s="271">
        <f t="shared" ref="AP125:AV125" si="156">MAX(AP120:AP122)</f>
        <v>30</v>
      </c>
      <c r="AQ125" s="271">
        <f t="shared" si="156"/>
        <v>30</v>
      </c>
      <c r="AR125" s="271">
        <f t="shared" si="156"/>
        <v>30</v>
      </c>
      <c r="AS125" s="271">
        <f t="shared" si="156"/>
        <v>30</v>
      </c>
      <c r="AT125" s="271">
        <f t="shared" si="156"/>
        <v>30</v>
      </c>
      <c r="AU125" s="271">
        <f t="shared" si="156"/>
        <v>30</v>
      </c>
      <c r="AV125" s="271">
        <f t="shared" si="156"/>
        <v>30</v>
      </c>
    </row>
    <row r="126" spans="1:49" ht="16.2" customHeight="1" x14ac:dyDescent="0.3"/>
    <row r="128" spans="1:49" ht="16.2" customHeight="1" x14ac:dyDescent="0.3"/>
    <row r="129" spans="2:48" x14ac:dyDescent="0.3">
      <c r="B129" s="618">
        <v>2</v>
      </c>
      <c r="C129" s="618" t="s">
        <v>23</v>
      </c>
      <c r="D129" s="618">
        <v>2019</v>
      </c>
      <c r="E129" s="617" t="s">
        <v>19</v>
      </c>
      <c r="F129" s="83"/>
      <c r="L129" s="616">
        <v>7</v>
      </c>
      <c r="M129" s="616" t="s">
        <v>42</v>
      </c>
      <c r="N129" s="616">
        <v>2020</v>
      </c>
      <c r="O129" s="617" t="s">
        <v>19</v>
      </c>
      <c r="T129" s="12"/>
      <c r="X129" s="772" t="s">
        <v>490</v>
      </c>
      <c r="Y129" s="772"/>
      <c r="Z129" s="772"/>
    </row>
    <row r="130" spans="2:48" ht="16.2" customHeight="1" x14ac:dyDescent="0.3">
      <c r="B130" t="s">
        <v>372</v>
      </c>
      <c r="L130" t="s">
        <v>330</v>
      </c>
      <c r="X130" s="616">
        <v>14</v>
      </c>
      <c r="Y130" s="81" t="s">
        <v>66</v>
      </c>
      <c r="Z130" s="616">
        <v>2014</v>
      </c>
      <c r="AA130" s="617" t="s">
        <v>19</v>
      </c>
      <c r="AH130" s="14"/>
      <c r="AO130" s="14"/>
      <c r="AV130" s="14"/>
    </row>
    <row r="131" spans="2:48" x14ac:dyDescent="0.3">
      <c r="L131" s="772" t="s">
        <v>491</v>
      </c>
      <c r="M131" s="772"/>
      <c r="N131" s="772"/>
      <c r="O131" s="772"/>
      <c r="P131" s="772"/>
      <c r="Q131" s="772"/>
      <c r="X131" t="s">
        <v>492</v>
      </c>
    </row>
    <row r="132" spans="2:48" x14ac:dyDescent="0.3">
      <c r="L132" s="772"/>
      <c r="M132" s="772"/>
      <c r="N132" s="772"/>
      <c r="O132" s="772"/>
    </row>
    <row r="133" spans="2:48" x14ac:dyDescent="0.3">
      <c r="X133" s="616">
        <v>15</v>
      </c>
      <c r="Y133" s="81" t="s">
        <v>68</v>
      </c>
      <c r="Z133" s="616">
        <v>2017</v>
      </c>
      <c r="AA133" s="617" t="s">
        <v>19</v>
      </c>
      <c r="AH133" s="14"/>
      <c r="AO133" s="14"/>
      <c r="AV133" s="14"/>
    </row>
    <row r="134" spans="2:48" x14ac:dyDescent="0.3">
      <c r="X134" t="s">
        <v>493</v>
      </c>
    </row>
    <row r="136" spans="2:48" x14ac:dyDescent="0.3">
      <c r="X136" s="616">
        <v>16</v>
      </c>
      <c r="Y136" s="81" t="s">
        <v>70</v>
      </c>
      <c r="Z136" s="616">
        <v>2014</v>
      </c>
      <c r="AA136" s="617" t="s">
        <v>19</v>
      </c>
      <c r="AH136" s="14"/>
      <c r="AO136" s="14"/>
      <c r="AV136" s="14"/>
    </row>
    <row r="137" spans="2:48" x14ac:dyDescent="0.3">
      <c r="X137" t="s">
        <v>476</v>
      </c>
    </row>
    <row r="145" spans="24:48" x14ac:dyDescent="0.3">
      <c r="AB145" s="773"/>
    </row>
    <row r="146" spans="24:48" x14ac:dyDescent="0.3">
      <c r="X146" t="s">
        <v>494</v>
      </c>
    </row>
    <row r="147" spans="24:48" x14ac:dyDescent="0.3">
      <c r="X147" s="616">
        <v>17</v>
      </c>
      <c r="Y147" s="81" t="s">
        <v>72</v>
      </c>
      <c r="Z147" s="618">
        <v>2021</v>
      </c>
      <c r="AA147" s="617" t="s">
        <v>19</v>
      </c>
      <c r="AH147" s="14"/>
      <c r="AO147" s="14"/>
      <c r="AV147" s="14"/>
    </row>
    <row r="149" spans="24:48" x14ac:dyDescent="0.3">
      <c r="X149" t="s">
        <v>495</v>
      </c>
    </row>
    <row r="167" spans="2:48" x14ac:dyDescent="0.3">
      <c r="B167" t="s">
        <v>328</v>
      </c>
      <c r="F167" s="83"/>
    </row>
    <row r="168" spans="2:48" x14ac:dyDescent="0.3">
      <c r="B168" s="618">
        <v>4</v>
      </c>
      <c r="C168" s="618" t="s">
        <v>31</v>
      </c>
      <c r="D168" s="618">
        <v>2022</v>
      </c>
      <c r="E168" s="617" t="s">
        <v>19</v>
      </c>
    </row>
    <row r="170" spans="2:48" x14ac:dyDescent="0.3">
      <c r="L170" s="616">
        <v>18</v>
      </c>
      <c r="M170" s="81" t="s">
        <v>76</v>
      </c>
      <c r="N170" s="616">
        <v>2021</v>
      </c>
      <c r="O170" s="617" t="s">
        <v>19</v>
      </c>
      <c r="Q170" s="83"/>
      <c r="X170" s="616">
        <v>7</v>
      </c>
      <c r="Y170" s="616" t="s">
        <v>42</v>
      </c>
      <c r="Z170" s="616">
        <v>2020</v>
      </c>
      <c r="AA170" s="617" t="s">
        <v>19</v>
      </c>
      <c r="AB170" t="s">
        <v>496</v>
      </c>
      <c r="AF170" s="12"/>
      <c r="AH170" s="14"/>
      <c r="AM170" s="12"/>
      <c r="AO170" s="14"/>
      <c r="AT170" s="12"/>
      <c r="AV170" s="14"/>
    </row>
    <row r="171" spans="2:48" x14ac:dyDescent="0.3">
      <c r="L171" t="s">
        <v>497</v>
      </c>
      <c r="X171" t="s">
        <v>330</v>
      </c>
    </row>
    <row r="173" spans="2:48" x14ac:dyDescent="0.3">
      <c r="L173" t="s">
        <v>498</v>
      </c>
    </row>
    <row r="174" spans="2:48" x14ac:dyDescent="0.3">
      <c r="L174" t="s">
        <v>499</v>
      </c>
    </row>
    <row r="175" spans="2:48" x14ac:dyDescent="0.3">
      <c r="L175" t="s">
        <v>500</v>
      </c>
    </row>
    <row r="177" spans="2:48" x14ac:dyDescent="0.3">
      <c r="L177" t="s">
        <v>501</v>
      </c>
      <c r="N177" s="774">
        <v>1.1827000000000001</v>
      </c>
    </row>
    <row r="179" spans="2:48" x14ac:dyDescent="0.3">
      <c r="M179" t="s">
        <v>502</v>
      </c>
    </row>
    <row r="181" spans="2:48" x14ac:dyDescent="0.3">
      <c r="L181" s="775">
        <f>(1.23/1.1827)/33.33</f>
        <v>3.1202917366227195E-2</v>
      </c>
      <c r="M181" t="s">
        <v>503</v>
      </c>
      <c r="N181" t="s">
        <v>477</v>
      </c>
    </row>
    <row r="182" spans="2:48" x14ac:dyDescent="0.3">
      <c r="L182" s="775">
        <f>(1.29/1.1827)/33.33</f>
        <v>3.2725010896287057E-2</v>
      </c>
      <c r="M182" t="s">
        <v>503</v>
      </c>
      <c r="N182" t="s">
        <v>478</v>
      </c>
    </row>
    <row r="183" spans="2:48" x14ac:dyDescent="0.3">
      <c r="L183" s="775">
        <f>(1.61/1.1827)/33.33</f>
        <v>4.0842843056606334E-2</v>
      </c>
      <c r="M183" t="s">
        <v>503</v>
      </c>
      <c r="N183" t="s">
        <v>479</v>
      </c>
    </row>
    <row r="187" spans="2:48" x14ac:dyDescent="0.3">
      <c r="B187" s="616">
        <v>11</v>
      </c>
      <c r="C187" s="616" t="s">
        <v>57</v>
      </c>
      <c r="D187" s="616">
        <v>2022</v>
      </c>
      <c r="E187" s="617" t="s">
        <v>19</v>
      </c>
    </row>
    <row r="188" spans="2:48" x14ac:dyDescent="0.3">
      <c r="B188" t="s">
        <v>403</v>
      </c>
    </row>
    <row r="190" spans="2:48" x14ac:dyDescent="0.3">
      <c r="B190" t="s">
        <v>504</v>
      </c>
    </row>
    <row r="191" spans="2:48" x14ac:dyDescent="0.3">
      <c r="X191" t="s">
        <v>335</v>
      </c>
    </row>
    <row r="192" spans="2:48" x14ac:dyDescent="0.3">
      <c r="X192" s="618">
        <v>5</v>
      </c>
      <c r="Y192" s="618" t="s">
        <v>35</v>
      </c>
      <c r="Z192" s="618">
        <v>2021</v>
      </c>
      <c r="AA192" s="617" t="s">
        <v>19</v>
      </c>
      <c r="AF192" s="8"/>
      <c r="AH192" s="14"/>
      <c r="AM192" s="8"/>
      <c r="AO192" s="14"/>
      <c r="AT192" s="8"/>
      <c r="AV192" s="14"/>
    </row>
    <row r="193" spans="24:48" x14ac:dyDescent="0.3">
      <c r="X193" t="s">
        <v>336</v>
      </c>
    </row>
    <row r="208" spans="24:48" x14ac:dyDescent="0.3">
      <c r="X208" s="616">
        <v>8</v>
      </c>
      <c r="Y208" s="616" t="s">
        <v>45</v>
      </c>
      <c r="Z208" s="616">
        <v>2021</v>
      </c>
      <c r="AA208" s="617" t="s">
        <v>19</v>
      </c>
      <c r="AF208" s="12"/>
      <c r="AH208" s="14"/>
      <c r="AM208" s="12"/>
      <c r="AO208" s="14"/>
      <c r="AT208" s="12"/>
      <c r="AV208" s="14"/>
    </row>
    <row r="209" spans="24:48" x14ac:dyDescent="0.3">
      <c r="X209" t="s">
        <v>505</v>
      </c>
    </row>
    <row r="213" spans="24:48" x14ac:dyDescent="0.3">
      <c r="X213" s="616">
        <v>6</v>
      </c>
      <c r="Y213" s="616" t="s">
        <v>39</v>
      </c>
      <c r="Z213" s="616">
        <v>2020</v>
      </c>
      <c r="AA213" s="617" t="s">
        <v>19</v>
      </c>
      <c r="AF213" s="12"/>
      <c r="AH213" s="14"/>
      <c r="AM213" s="12"/>
      <c r="AO213" s="14"/>
      <c r="AT213" s="12"/>
      <c r="AV213" s="14"/>
    </row>
    <row r="214" spans="24:48" x14ac:dyDescent="0.3">
      <c r="X214" t="s">
        <v>505</v>
      </c>
    </row>
    <row r="281" spans="2:3" x14ac:dyDescent="0.3">
      <c r="B281" s="81" t="s">
        <v>506</v>
      </c>
      <c r="C281" s="81"/>
    </row>
    <row r="295" spans="2:21" x14ac:dyDescent="0.3">
      <c r="B295" s="616">
        <v>22</v>
      </c>
      <c r="C295" s="685" t="s">
        <v>86</v>
      </c>
      <c r="D295" s="685">
        <v>2016</v>
      </c>
      <c r="E295" s="617" t="s">
        <v>19</v>
      </c>
      <c r="F295" s="617"/>
    </row>
    <row r="297" spans="2:21" x14ac:dyDescent="0.3">
      <c r="R297" s="772" t="s">
        <v>507</v>
      </c>
      <c r="S297" s="772"/>
      <c r="T297" s="772"/>
      <c r="U297" s="772"/>
    </row>
    <row r="298" spans="2:21" x14ac:dyDescent="0.3">
      <c r="S298" s="83" t="s">
        <v>508</v>
      </c>
    </row>
    <row r="362" spans="18:18" x14ac:dyDescent="0.3">
      <c r="R362" t="s">
        <v>509</v>
      </c>
    </row>
  </sheetData>
  <mergeCells count="26">
    <mergeCell ref="A1:A2"/>
    <mergeCell ref="B1:B2"/>
    <mergeCell ref="C1:F1"/>
    <mergeCell ref="G1:M1"/>
    <mergeCell ref="N1:T1"/>
    <mergeCell ref="U1:AA1"/>
    <mergeCell ref="AB1:AH1"/>
    <mergeCell ref="AI1:AO1"/>
    <mergeCell ref="AP1:AV1"/>
    <mergeCell ref="AW1:AW2"/>
    <mergeCell ref="A3:A32"/>
    <mergeCell ref="B3:B10"/>
    <mergeCell ref="B14:B23"/>
    <mergeCell ref="B27:B29"/>
    <mergeCell ref="A34:A63"/>
    <mergeCell ref="B34:B41"/>
    <mergeCell ref="B45:B54"/>
    <mergeCell ref="B58:B60"/>
    <mergeCell ref="A65:A94"/>
    <mergeCell ref="B65:B72"/>
    <mergeCell ref="B76:B85"/>
    <mergeCell ref="B89:B91"/>
    <mergeCell ref="A96:A125"/>
    <mergeCell ref="B96:B103"/>
    <mergeCell ref="B107:B116"/>
    <mergeCell ref="B120:B122"/>
  </mergeCells>
  <hyperlinks>
    <hyperlink ref="F3" r:id="rId1" xr:uid="{00000000-0004-0000-0700-000000000000}"/>
    <hyperlink ref="F4" r:id="rId2" xr:uid="{00000000-0004-0000-0700-000001000000}"/>
    <hyperlink ref="F5" r:id="rId3" xr:uid="{00000000-0004-0000-0700-000002000000}"/>
    <hyperlink ref="F6" r:id="rId4" xr:uid="{00000000-0004-0000-0700-000003000000}"/>
    <hyperlink ref="F7" r:id="rId5" xr:uid="{00000000-0004-0000-0700-000004000000}"/>
    <hyperlink ref="F8" r:id="rId6" xr:uid="{00000000-0004-0000-0700-000005000000}"/>
    <hyperlink ref="F9" r:id="rId7" xr:uid="{00000000-0004-0000-0700-000006000000}"/>
    <hyperlink ref="F10" r:id="rId8" xr:uid="{00000000-0004-0000-0700-000007000000}"/>
    <hyperlink ref="F14" r:id="rId9" xr:uid="{00000000-0004-0000-0700-000008000000}"/>
    <hyperlink ref="F15" r:id="rId10" xr:uid="{00000000-0004-0000-0700-000009000000}"/>
    <hyperlink ref="F16" r:id="rId11" xr:uid="{00000000-0004-0000-0700-00000A000000}"/>
    <hyperlink ref="F17" r:id="rId12" xr:uid="{00000000-0004-0000-0700-00000B000000}"/>
    <hyperlink ref="F18" r:id="rId13" xr:uid="{00000000-0004-0000-0700-00000C000000}"/>
    <hyperlink ref="F19:F22" r:id="rId14" display="Link" xr:uid="{00000000-0004-0000-0700-00000D000000}"/>
    <hyperlink ref="F23" r:id="rId15" xr:uid="{00000000-0004-0000-0700-00000E000000}"/>
    <hyperlink ref="F27" r:id="rId16" xr:uid="{00000000-0004-0000-0700-00000F000000}"/>
    <hyperlink ref="F28" r:id="rId17" xr:uid="{00000000-0004-0000-0700-000010000000}"/>
    <hyperlink ref="F29" r:id="rId18" xr:uid="{00000000-0004-0000-0700-000011000000}"/>
    <hyperlink ref="F34" r:id="rId19" xr:uid="{00000000-0004-0000-0700-000012000000}"/>
    <hyperlink ref="F35" r:id="rId20" xr:uid="{00000000-0004-0000-0700-000013000000}"/>
    <hyperlink ref="F36" r:id="rId21" xr:uid="{00000000-0004-0000-0700-000014000000}"/>
    <hyperlink ref="F37" r:id="rId22" xr:uid="{00000000-0004-0000-0700-000015000000}"/>
    <hyperlink ref="F38" r:id="rId23" xr:uid="{00000000-0004-0000-0700-000016000000}"/>
    <hyperlink ref="F39" r:id="rId24" xr:uid="{00000000-0004-0000-0700-000017000000}"/>
    <hyperlink ref="F40" r:id="rId25" xr:uid="{00000000-0004-0000-0700-000018000000}"/>
    <hyperlink ref="F41" r:id="rId26" xr:uid="{00000000-0004-0000-0700-000019000000}"/>
    <hyperlink ref="F45" r:id="rId27" xr:uid="{00000000-0004-0000-0700-00001A000000}"/>
    <hyperlink ref="F46" r:id="rId28" xr:uid="{00000000-0004-0000-0700-00001B000000}"/>
    <hyperlink ref="F47" r:id="rId29" xr:uid="{00000000-0004-0000-0700-00001C000000}"/>
    <hyperlink ref="F48" r:id="rId30" xr:uid="{00000000-0004-0000-0700-00001D000000}"/>
    <hyperlink ref="F49" r:id="rId31" xr:uid="{00000000-0004-0000-0700-00001E000000}"/>
    <hyperlink ref="F50:F53" r:id="rId32" display="Link" xr:uid="{00000000-0004-0000-0700-00001F000000}"/>
    <hyperlink ref="F54" r:id="rId33" xr:uid="{00000000-0004-0000-0700-000020000000}"/>
    <hyperlink ref="F58" r:id="rId34" xr:uid="{00000000-0004-0000-0700-000021000000}"/>
    <hyperlink ref="F59" r:id="rId35" xr:uid="{00000000-0004-0000-0700-000022000000}"/>
    <hyperlink ref="F60" r:id="rId36" xr:uid="{00000000-0004-0000-0700-000023000000}"/>
    <hyperlink ref="F65" r:id="rId37" xr:uid="{00000000-0004-0000-0700-000024000000}"/>
    <hyperlink ref="F66" r:id="rId38" xr:uid="{00000000-0004-0000-0700-000025000000}"/>
    <hyperlink ref="F67" r:id="rId39" xr:uid="{00000000-0004-0000-0700-000026000000}"/>
    <hyperlink ref="F68" r:id="rId40" xr:uid="{00000000-0004-0000-0700-000027000000}"/>
    <hyperlink ref="F69" r:id="rId41" xr:uid="{00000000-0004-0000-0700-000028000000}"/>
    <hyperlink ref="F70" r:id="rId42" xr:uid="{00000000-0004-0000-0700-000029000000}"/>
    <hyperlink ref="F71" r:id="rId43" xr:uid="{00000000-0004-0000-0700-00002A000000}"/>
    <hyperlink ref="F72" r:id="rId44" xr:uid="{00000000-0004-0000-0700-00002B000000}"/>
    <hyperlink ref="F76" r:id="rId45" xr:uid="{00000000-0004-0000-0700-00002C000000}"/>
    <hyperlink ref="F77" r:id="rId46" xr:uid="{00000000-0004-0000-0700-00002D000000}"/>
    <hyperlink ref="F78" r:id="rId47" xr:uid="{00000000-0004-0000-0700-00002E000000}"/>
    <hyperlink ref="F79" r:id="rId48" xr:uid="{00000000-0004-0000-0700-00002F000000}"/>
    <hyperlink ref="F80" r:id="rId49" xr:uid="{00000000-0004-0000-0700-000030000000}"/>
    <hyperlink ref="F81:F84" r:id="rId50" display="Link" xr:uid="{00000000-0004-0000-0700-000031000000}"/>
    <hyperlink ref="F85" r:id="rId51" xr:uid="{00000000-0004-0000-0700-000032000000}"/>
    <hyperlink ref="F89" r:id="rId52" xr:uid="{00000000-0004-0000-0700-000033000000}"/>
    <hyperlink ref="F90" r:id="rId53" xr:uid="{00000000-0004-0000-0700-000034000000}"/>
    <hyperlink ref="F91" r:id="rId54" xr:uid="{00000000-0004-0000-0700-000035000000}"/>
    <hyperlink ref="F96" r:id="rId55" xr:uid="{00000000-0004-0000-0700-000036000000}"/>
    <hyperlink ref="F97" r:id="rId56" xr:uid="{00000000-0004-0000-0700-000037000000}"/>
    <hyperlink ref="F98" r:id="rId57" xr:uid="{00000000-0004-0000-0700-000038000000}"/>
    <hyperlink ref="F99" r:id="rId58" xr:uid="{00000000-0004-0000-0700-000039000000}"/>
    <hyperlink ref="F100" r:id="rId59" xr:uid="{00000000-0004-0000-0700-00003A000000}"/>
    <hyperlink ref="F101" r:id="rId60" xr:uid="{00000000-0004-0000-0700-00003B000000}"/>
    <hyperlink ref="F102" r:id="rId61" xr:uid="{00000000-0004-0000-0700-00003C000000}"/>
    <hyperlink ref="F103" r:id="rId62" xr:uid="{00000000-0004-0000-0700-00003D000000}"/>
    <hyperlink ref="F107" r:id="rId63" xr:uid="{00000000-0004-0000-0700-00003E000000}"/>
    <hyperlink ref="F108" r:id="rId64" xr:uid="{00000000-0004-0000-0700-00003F000000}"/>
    <hyperlink ref="F109" r:id="rId65" xr:uid="{00000000-0004-0000-0700-000040000000}"/>
    <hyperlink ref="F110" r:id="rId66" xr:uid="{00000000-0004-0000-0700-000041000000}"/>
    <hyperlink ref="F111" r:id="rId67" xr:uid="{00000000-0004-0000-0700-000042000000}"/>
    <hyperlink ref="F112:F115" r:id="rId68" display="Link" xr:uid="{00000000-0004-0000-0700-000043000000}"/>
    <hyperlink ref="F116" r:id="rId69" xr:uid="{00000000-0004-0000-0700-000044000000}"/>
    <hyperlink ref="F120" r:id="rId70" xr:uid="{00000000-0004-0000-0700-000045000000}"/>
    <hyperlink ref="F121" r:id="rId71" xr:uid="{00000000-0004-0000-0700-000046000000}"/>
    <hyperlink ref="F122" r:id="rId72" xr:uid="{00000000-0004-0000-0700-000047000000}"/>
    <hyperlink ref="E129" r:id="rId73" xr:uid="{00000000-0004-0000-0700-000048000000}"/>
    <hyperlink ref="O129" r:id="rId74" xr:uid="{00000000-0004-0000-0700-000049000000}"/>
    <hyperlink ref="AA130" r:id="rId75" xr:uid="{00000000-0004-0000-0700-00004A000000}"/>
    <hyperlink ref="AA133" r:id="rId76" xr:uid="{00000000-0004-0000-0700-00004B000000}"/>
    <hyperlink ref="AA136" r:id="rId77" xr:uid="{00000000-0004-0000-0700-00004C000000}"/>
    <hyperlink ref="AA147" r:id="rId78" xr:uid="{00000000-0004-0000-0700-00004D000000}"/>
    <hyperlink ref="E168" r:id="rId79" xr:uid="{00000000-0004-0000-0700-00004E000000}"/>
    <hyperlink ref="O170" r:id="rId80" xr:uid="{00000000-0004-0000-0700-00004F000000}"/>
    <hyperlink ref="AA170" r:id="rId81" xr:uid="{00000000-0004-0000-0700-000050000000}"/>
    <hyperlink ref="E187" r:id="rId82" xr:uid="{00000000-0004-0000-0700-000051000000}"/>
    <hyperlink ref="AA192" r:id="rId83" xr:uid="{00000000-0004-0000-0700-000052000000}"/>
    <hyperlink ref="AA208" r:id="rId84" xr:uid="{00000000-0004-0000-0700-000053000000}"/>
    <hyperlink ref="AA213" r:id="rId85" xr:uid="{00000000-0004-0000-0700-000054000000}"/>
    <hyperlink ref="E295" r:id="rId86" xr:uid="{00000000-0004-0000-0700-000055000000}"/>
    <hyperlink ref="S298" r:id="rId87" xr:uid="{00000000-0004-0000-0700-000056000000}"/>
  </hyperlinks>
  <pageMargins left="0.7" right="0.7" top="0.78740157500000008" bottom="0.78740157500000008" header="0.3" footer="0.3"/>
  <pageSetup paperSize="9" orientation="portrait" horizontalDpi="0" verticalDpi="0"/>
  <drawing r:id="rId88"/>
  <legacyDrawing r:id="rId89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984AB-5D1D-4835-A0A8-1F3B70A80B3B}">
  <sheetPr>
    <tabColor theme="4" tint="0.39997558519241921"/>
  </sheetPr>
  <dimension ref="A1:AN260"/>
  <sheetViews>
    <sheetView zoomScale="85" zoomScaleNormal="85" workbookViewId="0">
      <selection activeCell="AF108" sqref="AF108"/>
    </sheetView>
  </sheetViews>
  <sheetFormatPr baseColWidth="10" defaultRowHeight="14.4" x14ac:dyDescent="0.3"/>
  <cols>
    <col min="7" max="7" width="12.6640625" bestFit="1" customWidth="1"/>
    <col min="9" max="10" width="12.6640625" bestFit="1" customWidth="1"/>
    <col min="11" max="11" width="12.6640625" customWidth="1"/>
    <col min="12" max="12" width="11.6640625" bestFit="1" customWidth="1"/>
    <col min="13" max="13" width="12.6640625" customWidth="1"/>
    <col min="14" max="14" width="11.44140625" bestFit="1" customWidth="1"/>
    <col min="16" max="17" width="11.44140625" bestFit="1" customWidth="1"/>
    <col min="18" max="18" width="11.44140625" customWidth="1"/>
    <col min="19" max="19" width="11.44140625" bestFit="1" customWidth="1"/>
    <col min="20" max="20" width="11.44140625" customWidth="1"/>
    <col min="28" max="31" width="8.6640625" customWidth="1"/>
    <col min="32" max="32" width="11.44140625" customWidth="1"/>
    <col min="33" max="34" width="8.6640625" customWidth="1"/>
    <col min="35" max="35" width="14.6640625" customWidth="1"/>
    <col min="36" max="36" width="50.6640625" customWidth="1"/>
  </cols>
  <sheetData>
    <row r="1" spans="1:40" x14ac:dyDescent="0.3">
      <c r="A1" s="914" t="s">
        <v>245</v>
      </c>
      <c r="B1" s="947" t="s">
        <v>1</v>
      </c>
      <c r="C1" s="949" t="s">
        <v>246</v>
      </c>
      <c r="D1" s="950"/>
      <c r="E1" s="950"/>
      <c r="F1" s="951"/>
      <c r="G1" s="949" t="s">
        <v>247</v>
      </c>
      <c r="H1" s="950"/>
      <c r="I1" s="950"/>
      <c r="J1" s="950"/>
      <c r="K1" s="950"/>
      <c r="L1" s="950"/>
      <c r="M1" s="951"/>
      <c r="N1" s="914" t="s">
        <v>248</v>
      </c>
      <c r="O1" s="915"/>
      <c r="P1" s="915"/>
      <c r="Q1" s="915"/>
      <c r="R1" s="915"/>
      <c r="S1" s="915"/>
      <c r="T1" s="916"/>
      <c r="U1" s="914" t="s">
        <v>249</v>
      </c>
      <c r="V1" s="915"/>
      <c r="W1" s="915"/>
      <c r="X1" s="915"/>
      <c r="Y1" s="915"/>
      <c r="Z1" s="915"/>
      <c r="AA1" s="916"/>
      <c r="AB1" s="914" t="s">
        <v>251</v>
      </c>
      <c r="AC1" s="915"/>
      <c r="AD1" s="915"/>
      <c r="AE1" s="915"/>
      <c r="AF1" s="915"/>
      <c r="AG1" s="915"/>
      <c r="AH1" s="916"/>
      <c r="AI1" s="916" t="s">
        <v>250</v>
      </c>
      <c r="AJ1" s="962" t="s">
        <v>253</v>
      </c>
    </row>
    <row r="2" spans="1:40" ht="15" thickBot="1" x14ac:dyDescent="0.35">
      <c r="A2" s="946"/>
      <c r="B2" s="948"/>
      <c r="C2" s="85" t="s">
        <v>254</v>
      </c>
      <c r="D2" s="85" t="s">
        <v>255</v>
      </c>
      <c r="E2" s="85" t="s">
        <v>256</v>
      </c>
      <c r="F2" s="85" t="s">
        <v>19</v>
      </c>
      <c r="G2" s="88">
        <v>2020</v>
      </c>
      <c r="H2" s="85">
        <v>2025</v>
      </c>
      <c r="I2" s="85">
        <v>2030</v>
      </c>
      <c r="J2" s="85">
        <v>2040</v>
      </c>
      <c r="K2" s="85">
        <v>2045</v>
      </c>
      <c r="L2" s="85">
        <v>2050</v>
      </c>
      <c r="M2" s="85">
        <v>2060</v>
      </c>
      <c r="N2" s="88">
        <v>2020</v>
      </c>
      <c r="O2" s="85">
        <v>2025</v>
      </c>
      <c r="P2" s="85">
        <v>2030</v>
      </c>
      <c r="Q2" s="85">
        <v>2040</v>
      </c>
      <c r="R2" s="85">
        <v>2045</v>
      </c>
      <c r="S2" s="85">
        <v>2050</v>
      </c>
      <c r="T2" s="85">
        <v>2060</v>
      </c>
      <c r="U2" s="88">
        <v>2020</v>
      </c>
      <c r="V2" s="85">
        <v>2025</v>
      </c>
      <c r="W2" s="85">
        <v>2030</v>
      </c>
      <c r="X2" s="85">
        <v>2040</v>
      </c>
      <c r="Y2" s="85">
        <v>2045</v>
      </c>
      <c r="Z2" s="85">
        <v>2050</v>
      </c>
      <c r="AA2" s="85">
        <v>2060</v>
      </c>
      <c r="AB2" s="88">
        <v>2020</v>
      </c>
      <c r="AC2" s="85">
        <v>2025</v>
      </c>
      <c r="AD2" s="85">
        <v>2030</v>
      </c>
      <c r="AE2" s="85">
        <v>2040</v>
      </c>
      <c r="AF2" s="85">
        <v>2045</v>
      </c>
      <c r="AG2" s="85">
        <v>2050</v>
      </c>
      <c r="AH2" s="89">
        <v>2060</v>
      </c>
      <c r="AI2" s="978"/>
      <c r="AJ2" s="979"/>
    </row>
    <row r="3" spans="1:40" x14ac:dyDescent="0.3">
      <c r="A3" s="980" t="s">
        <v>259</v>
      </c>
      <c r="B3" s="854" t="s">
        <v>511</v>
      </c>
      <c r="C3" s="90">
        <v>4</v>
      </c>
      <c r="D3" s="90" t="s">
        <v>31</v>
      </c>
      <c r="E3" s="90">
        <v>2022</v>
      </c>
      <c r="F3" s="91" t="s">
        <v>19</v>
      </c>
      <c r="G3" s="447">
        <v>1300</v>
      </c>
      <c r="H3" s="778">
        <v>1200</v>
      </c>
      <c r="I3" s="94">
        <v>1100</v>
      </c>
      <c r="J3" s="94">
        <v>950</v>
      </c>
      <c r="K3" s="778">
        <v>875</v>
      </c>
      <c r="L3" s="94">
        <v>800</v>
      </c>
      <c r="M3" s="95">
        <v>800</v>
      </c>
      <c r="N3" s="447">
        <f t="shared" ref="N3:S3" si="0">G3*0.05</f>
        <v>65</v>
      </c>
      <c r="O3" s="778">
        <f t="shared" si="0"/>
        <v>60</v>
      </c>
      <c r="P3" s="778">
        <f t="shared" si="0"/>
        <v>55</v>
      </c>
      <c r="Q3" s="778">
        <f t="shared" si="0"/>
        <v>47.5</v>
      </c>
      <c r="R3" s="778">
        <f t="shared" si="0"/>
        <v>43.75</v>
      </c>
      <c r="S3" s="778">
        <f t="shared" si="0"/>
        <v>40</v>
      </c>
      <c r="T3" s="95">
        <v>40</v>
      </c>
      <c r="U3" s="96"/>
      <c r="V3" s="97"/>
      <c r="W3" s="97"/>
      <c r="X3" s="97"/>
      <c r="Y3" s="97"/>
      <c r="Z3" s="97"/>
      <c r="AA3" s="97"/>
      <c r="AB3" s="636">
        <v>50</v>
      </c>
      <c r="AC3" s="781">
        <v>50</v>
      </c>
      <c r="AD3" s="781">
        <v>50</v>
      </c>
      <c r="AE3" s="781">
        <v>50</v>
      </c>
      <c r="AF3" s="781">
        <v>50</v>
      </c>
      <c r="AG3" s="781">
        <v>50</v>
      </c>
      <c r="AH3" s="103">
        <v>50</v>
      </c>
      <c r="AI3" s="43">
        <v>10</v>
      </c>
      <c r="AJ3" s="104"/>
    </row>
    <row r="4" spans="1:40" x14ac:dyDescent="0.3">
      <c r="A4" s="981"/>
      <c r="B4" s="855"/>
      <c r="C4" s="105">
        <v>11</v>
      </c>
      <c r="D4" s="105" t="s">
        <v>57</v>
      </c>
      <c r="E4" s="105">
        <v>2022</v>
      </c>
      <c r="F4" s="91" t="s">
        <v>19</v>
      </c>
      <c r="G4" s="113">
        <v>1500</v>
      </c>
      <c r="H4" s="107">
        <f>$G$4*C80</f>
        <v>1384.6153846153848</v>
      </c>
      <c r="I4" s="107">
        <f t="shared" ref="I4:L4" si="1">$G$4*D80</f>
        <v>1269.2307692307693</v>
      </c>
      <c r="J4" s="107">
        <f t="shared" si="1"/>
        <v>1096.1538461538462</v>
      </c>
      <c r="K4" s="107">
        <f t="shared" si="1"/>
        <v>1009.6153846153846</v>
      </c>
      <c r="L4" s="107">
        <f t="shared" si="1"/>
        <v>923.07692307692309</v>
      </c>
      <c r="M4" s="107">
        <v>923.07692307692309</v>
      </c>
      <c r="N4" s="113"/>
      <c r="O4" s="779"/>
      <c r="P4" s="779"/>
      <c r="Q4" s="779"/>
      <c r="R4" s="779"/>
      <c r="S4" s="108"/>
      <c r="T4" s="779"/>
      <c r="U4" s="110"/>
      <c r="V4" s="111"/>
      <c r="W4" s="111"/>
      <c r="X4" s="111"/>
      <c r="Y4" s="111"/>
      <c r="Z4" s="111"/>
      <c r="AA4" s="111"/>
      <c r="AB4" s="637">
        <v>56</v>
      </c>
      <c r="AC4" s="378">
        <v>56</v>
      </c>
      <c r="AD4" s="800">
        <v>56</v>
      </c>
      <c r="AE4" s="378">
        <v>56</v>
      </c>
      <c r="AF4" s="378">
        <v>56</v>
      </c>
      <c r="AG4" s="800">
        <v>56</v>
      </c>
      <c r="AH4" s="118">
        <v>56</v>
      </c>
      <c r="AI4" s="46"/>
      <c r="AJ4" s="104"/>
    </row>
    <row r="5" spans="1:40" ht="15" thickBot="1" x14ac:dyDescent="0.35">
      <c r="A5" s="981"/>
      <c r="B5" s="855"/>
      <c r="C5" s="105"/>
      <c r="D5" s="105" t="s">
        <v>518</v>
      </c>
      <c r="E5" s="105">
        <v>2020</v>
      </c>
      <c r="F5" s="91" t="s">
        <v>19</v>
      </c>
      <c r="G5" s="113">
        <v>975</v>
      </c>
      <c r="H5" s="107">
        <f>(G5+I5)/2</f>
        <v>945</v>
      </c>
      <c r="I5" s="108">
        <v>915</v>
      </c>
      <c r="J5" s="107">
        <f>$G$5*E80</f>
        <v>712.5</v>
      </c>
      <c r="K5" s="107">
        <f t="shared" ref="K5:L5" si="2">$G$5*F80</f>
        <v>656.25</v>
      </c>
      <c r="L5" s="107">
        <f t="shared" si="2"/>
        <v>600</v>
      </c>
      <c r="M5" s="107">
        <v>600</v>
      </c>
      <c r="N5" s="780"/>
      <c r="O5" s="779"/>
      <c r="P5" s="779"/>
      <c r="Q5" s="779"/>
      <c r="R5" s="779"/>
      <c r="S5" s="779"/>
      <c r="T5" s="779"/>
      <c r="U5" s="110"/>
      <c r="V5" s="111"/>
      <c r="W5" s="111"/>
      <c r="X5" s="111"/>
      <c r="Y5" s="111"/>
      <c r="Z5" s="111"/>
      <c r="AA5" s="111"/>
      <c r="AB5" s="637"/>
      <c r="AC5" s="782"/>
      <c r="AD5" s="117"/>
      <c r="AE5" s="782"/>
      <c r="AF5" s="782"/>
      <c r="AG5" s="117"/>
      <c r="AH5" s="783"/>
      <c r="AI5" s="46"/>
      <c r="AJ5" s="104"/>
      <c r="AM5" t="s">
        <v>123</v>
      </c>
    </row>
    <row r="6" spans="1:40" x14ac:dyDescent="0.3">
      <c r="A6" s="981"/>
      <c r="B6" s="125" t="s">
        <v>267</v>
      </c>
      <c r="C6" s="126"/>
      <c r="D6" s="126"/>
      <c r="E6" s="126"/>
      <c r="F6" s="126"/>
      <c r="G6" s="127">
        <f t="shared" ref="G6:T6" si="3">MIN(G3:G5)</f>
        <v>975</v>
      </c>
      <c r="H6" s="128">
        <f t="shared" si="3"/>
        <v>945</v>
      </c>
      <c r="I6" s="128">
        <f t="shared" si="3"/>
        <v>915</v>
      </c>
      <c r="J6" s="128">
        <f t="shared" si="3"/>
        <v>712.5</v>
      </c>
      <c r="K6" s="128">
        <f t="shared" si="3"/>
        <v>656.25</v>
      </c>
      <c r="L6" s="128">
        <f t="shared" si="3"/>
        <v>600</v>
      </c>
      <c r="M6" s="128">
        <f t="shared" si="3"/>
        <v>600</v>
      </c>
      <c r="N6" s="127">
        <f t="shared" si="3"/>
        <v>65</v>
      </c>
      <c r="O6" s="128">
        <f t="shared" si="3"/>
        <v>60</v>
      </c>
      <c r="P6" s="128">
        <f t="shared" si="3"/>
        <v>55</v>
      </c>
      <c r="Q6" s="128">
        <f t="shared" si="3"/>
        <v>47.5</v>
      </c>
      <c r="R6" s="128">
        <f t="shared" si="3"/>
        <v>43.75</v>
      </c>
      <c r="S6" s="128">
        <f t="shared" si="3"/>
        <v>40</v>
      </c>
      <c r="T6" s="456">
        <f t="shared" si="3"/>
        <v>40</v>
      </c>
      <c r="U6" s="126"/>
      <c r="V6" s="126"/>
      <c r="W6" s="126"/>
      <c r="X6" s="126"/>
      <c r="Y6" s="126"/>
      <c r="Z6" s="126"/>
      <c r="AA6" s="126"/>
      <c r="AB6" s="127">
        <f t="shared" ref="AB6:AH6" si="4">MIN(AB3:AB5)</f>
        <v>50</v>
      </c>
      <c r="AC6" s="641">
        <f t="shared" si="4"/>
        <v>50</v>
      </c>
      <c r="AD6" s="641">
        <f t="shared" si="4"/>
        <v>50</v>
      </c>
      <c r="AE6" s="641">
        <f t="shared" si="4"/>
        <v>50</v>
      </c>
      <c r="AF6" s="641">
        <f t="shared" si="4"/>
        <v>50</v>
      </c>
      <c r="AG6" s="641">
        <f t="shared" si="4"/>
        <v>50</v>
      </c>
      <c r="AH6" s="642">
        <f t="shared" si="4"/>
        <v>50</v>
      </c>
      <c r="AI6" s="132"/>
      <c r="AJ6" s="104"/>
      <c r="AM6" t="s">
        <v>128</v>
      </c>
      <c r="AN6" s="76">
        <v>1.3486719798104709</v>
      </c>
    </row>
    <row r="7" spans="1:40" x14ac:dyDescent="0.3">
      <c r="A7" s="981"/>
      <c r="B7" s="133" t="s">
        <v>268</v>
      </c>
      <c r="C7" s="134"/>
      <c r="D7" s="134"/>
      <c r="E7" s="134"/>
      <c r="F7" s="134"/>
      <c r="G7" s="135">
        <f t="shared" ref="G7:T7" si="5">MEDIAN(G3:G5)</f>
        <v>1300</v>
      </c>
      <c r="H7" s="136">
        <f t="shared" si="5"/>
        <v>1200</v>
      </c>
      <c r="I7" s="136">
        <f t="shared" si="5"/>
        <v>1100</v>
      </c>
      <c r="J7" s="136">
        <f t="shared" si="5"/>
        <v>950</v>
      </c>
      <c r="K7" s="136">
        <f t="shared" si="5"/>
        <v>875</v>
      </c>
      <c r="L7" s="136">
        <f t="shared" si="5"/>
        <v>800</v>
      </c>
      <c r="M7" s="136">
        <f t="shared" si="5"/>
        <v>800</v>
      </c>
      <c r="N7" s="135">
        <f t="shared" si="5"/>
        <v>65</v>
      </c>
      <c r="O7" s="136">
        <f t="shared" si="5"/>
        <v>60</v>
      </c>
      <c r="P7" s="136">
        <f t="shared" si="5"/>
        <v>55</v>
      </c>
      <c r="Q7" s="136">
        <f t="shared" si="5"/>
        <v>47.5</v>
      </c>
      <c r="R7" s="136">
        <f t="shared" si="5"/>
        <v>43.75</v>
      </c>
      <c r="S7" s="136">
        <f t="shared" si="5"/>
        <v>40</v>
      </c>
      <c r="T7" s="459">
        <f t="shared" si="5"/>
        <v>40</v>
      </c>
      <c r="U7" s="134"/>
      <c r="V7" s="134"/>
      <c r="W7" s="134"/>
      <c r="X7" s="134"/>
      <c r="Y7" s="134"/>
      <c r="Z7" s="134"/>
      <c r="AA7" s="134"/>
      <c r="AB7" s="135">
        <f t="shared" ref="AB7:AH7" si="6">MEDIAN(AB3:AB5)</f>
        <v>53</v>
      </c>
      <c r="AC7" s="644">
        <f t="shared" si="6"/>
        <v>53</v>
      </c>
      <c r="AD7" s="644">
        <f t="shared" si="6"/>
        <v>53</v>
      </c>
      <c r="AE7" s="644">
        <f t="shared" si="6"/>
        <v>53</v>
      </c>
      <c r="AF7" s="644">
        <f t="shared" si="6"/>
        <v>53</v>
      </c>
      <c r="AG7" s="644">
        <f t="shared" si="6"/>
        <v>53</v>
      </c>
      <c r="AH7" s="645">
        <f t="shared" si="6"/>
        <v>53</v>
      </c>
      <c r="AI7" s="140"/>
      <c r="AJ7" s="104"/>
      <c r="AM7" t="s">
        <v>132</v>
      </c>
      <c r="AN7" s="76">
        <v>1.3374192380309164</v>
      </c>
    </row>
    <row r="8" spans="1:40" ht="15" thickBot="1" x14ac:dyDescent="0.35">
      <c r="A8" s="981"/>
      <c r="B8" s="141" t="s">
        <v>269</v>
      </c>
      <c r="C8" s="142"/>
      <c r="D8" s="142"/>
      <c r="E8" s="142"/>
      <c r="F8" s="142"/>
      <c r="G8" s="591">
        <f t="shared" ref="G8:T8" si="7">MAX(G3:G5)</f>
        <v>1500</v>
      </c>
      <c r="H8" s="143">
        <f t="shared" si="7"/>
        <v>1384.6153846153848</v>
      </c>
      <c r="I8" s="143">
        <f t="shared" si="7"/>
        <v>1269.2307692307693</v>
      </c>
      <c r="J8" s="143">
        <f t="shared" si="7"/>
        <v>1096.1538461538462</v>
      </c>
      <c r="K8" s="143">
        <f t="shared" si="7"/>
        <v>1009.6153846153846</v>
      </c>
      <c r="L8" s="143">
        <f t="shared" si="7"/>
        <v>923.07692307692309</v>
      </c>
      <c r="M8" s="143">
        <f t="shared" si="7"/>
        <v>923.07692307692309</v>
      </c>
      <c r="N8" s="591">
        <f t="shared" si="7"/>
        <v>65</v>
      </c>
      <c r="O8" s="143">
        <f t="shared" si="7"/>
        <v>60</v>
      </c>
      <c r="P8" s="143">
        <f t="shared" si="7"/>
        <v>55</v>
      </c>
      <c r="Q8" s="143">
        <f t="shared" si="7"/>
        <v>47.5</v>
      </c>
      <c r="R8" s="143">
        <f t="shared" si="7"/>
        <v>43.75</v>
      </c>
      <c r="S8" s="143">
        <f t="shared" si="7"/>
        <v>40</v>
      </c>
      <c r="T8" s="592">
        <f t="shared" si="7"/>
        <v>40</v>
      </c>
      <c r="U8" s="142"/>
      <c r="V8" s="142"/>
      <c r="W8" s="142"/>
      <c r="X8" s="142"/>
      <c r="Y8" s="142"/>
      <c r="Z8" s="142"/>
      <c r="AA8" s="142"/>
      <c r="AB8" s="591">
        <f t="shared" ref="AB8:AH8" si="8">MAX(AB3:AB5)</f>
        <v>56</v>
      </c>
      <c r="AC8" s="647">
        <f t="shared" si="8"/>
        <v>56</v>
      </c>
      <c r="AD8" s="647">
        <f t="shared" si="8"/>
        <v>56</v>
      </c>
      <c r="AE8" s="647">
        <f t="shared" si="8"/>
        <v>56</v>
      </c>
      <c r="AF8" s="647">
        <f t="shared" si="8"/>
        <v>56</v>
      </c>
      <c r="AG8" s="647">
        <f t="shared" si="8"/>
        <v>56</v>
      </c>
      <c r="AH8" s="648">
        <f t="shared" si="8"/>
        <v>56</v>
      </c>
      <c r="AI8" s="146"/>
      <c r="AJ8" s="104"/>
      <c r="AM8" t="s">
        <v>130</v>
      </c>
      <c r="AN8" s="76">
        <v>0.58296565349252727</v>
      </c>
    </row>
    <row r="9" spans="1:40" x14ac:dyDescent="0.3">
      <c r="A9" s="981"/>
      <c r="B9" s="967" t="s">
        <v>512</v>
      </c>
      <c r="C9" s="279">
        <v>4</v>
      </c>
      <c r="D9" s="279" t="s">
        <v>31</v>
      </c>
      <c r="E9" s="279">
        <v>2022</v>
      </c>
      <c r="F9" s="507" t="s">
        <v>19</v>
      </c>
      <c r="G9" s="508">
        <f>453.96*(1+AE65)</f>
        <v>685.06690909090901</v>
      </c>
      <c r="H9" s="784">
        <f>444.6*(1+AE65)</f>
        <v>670.94181818181823</v>
      </c>
      <c r="I9" s="281">
        <f>435.24*(1+AF65)</f>
        <v>609.33600000000001</v>
      </c>
      <c r="J9" s="281">
        <f>423.54*(1+AG65)</f>
        <v>531.35018181818191</v>
      </c>
      <c r="K9" s="281">
        <f>417.69*(1+AG65)</f>
        <v>524.01109090909097</v>
      </c>
      <c r="L9" s="784">
        <f>411.84*(1+AH65)</f>
        <v>516.67200000000003</v>
      </c>
      <c r="M9" s="95">
        <v>516.67200000000003</v>
      </c>
      <c r="N9" s="510">
        <f>G9*0.017772*(1+AE71)</f>
        <v>17.045012751709088</v>
      </c>
      <c r="O9" s="785">
        <f>H9*0.017784*(1+AE71)</f>
        <v>16.704841012363637</v>
      </c>
      <c r="P9" s="282">
        <f>I9*0.017795*(1+AF71)</f>
        <v>14.457512159999997</v>
      </c>
      <c r="Q9" s="282">
        <f>J9*0.017906*(1+AG71)</f>
        <v>11.417227626763637</v>
      </c>
      <c r="R9" s="282">
        <f>K9*0.017964*(1+AG71)</f>
        <v>11.296002284509091</v>
      </c>
      <c r="S9" s="784">
        <f>L9*0.018023*(1+AH71)</f>
        <v>11.174375347200002</v>
      </c>
      <c r="T9" s="95">
        <v>11.174375347200002</v>
      </c>
      <c r="U9" s="278">
        <f t="shared" ref="U9:AA9" si="9">4.5*10^-3</f>
        <v>4.5000000000000005E-3</v>
      </c>
      <c r="V9" s="279">
        <f t="shared" si="9"/>
        <v>4.5000000000000005E-3</v>
      </c>
      <c r="W9" s="279">
        <f t="shared" si="9"/>
        <v>4.5000000000000005E-3</v>
      </c>
      <c r="X9" s="279">
        <f t="shared" si="9"/>
        <v>4.5000000000000005E-3</v>
      </c>
      <c r="Y9" s="279">
        <f t="shared" si="9"/>
        <v>4.5000000000000005E-3</v>
      </c>
      <c r="Z9" s="279">
        <f t="shared" si="9"/>
        <v>4.5000000000000005E-3</v>
      </c>
      <c r="AA9" s="796">
        <f t="shared" si="9"/>
        <v>4.5000000000000005E-3</v>
      </c>
      <c r="AB9" s="650">
        <v>40</v>
      </c>
      <c r="AC9" s="801">
        <v>40.5</v>
      </c>
      <c r="AD9" s="288">
        <v>41</v>
      </c>
      <c r="AE9" s="288">
        <v>42</v>
      </c>
      <c r="AF9" s="801">
        <v>42.5</v>
      </c>
      <c r="AG9" s="789">
        <v>43</v>
      </c>
      <c r="AH9" s="118">
        <v>43</v>
      </c>
      <c r="AI9" s="7">
        <v>25</v>
      </c>
      <c r="AJ9" s="104"/>
    </row>
    <row r="10" spans="1:40" x14ac:dyDescent="0.3">
      <c r="A10" s="981"/>
      <c r="B10" s="955"/>
      <c r="C10" s="290">
        <v>5</v>
      </c>
      <c r="D10" s="290" t="s">
        <v>35</v>
      </c>
      <c r="E10" s="290">
        <v>2021</v>
      </c>
      <c r="F10" s="507" t="s">
        <v>19</v>
      </c>
      <c r="G10" s="795">
        <v>830</v>
      </c>
      <c r="H10" s="282">
        <v>830</v>
      </c>
      <c r="I10" s="282">
        <v>770</v>
      </c>
      <c r="J10" s="282">
        <v>690</v>
      </c>
      <c r="K10" s="282">
        <v>690</v>
      </c>
      <c r="L10" s="282">
        <v>690</v>
      </c>
      <c r="M10" s="785">
        <v>690</v>
      </c>
      <c r="N10" s="795">
        <v>21</v>
      </c>
      <c r="O10" s="282">
        <v>21</v>
      </c>
      <c r="P10" s="282">
        <v>20</v>
      </c>
      <c r="Q10" s="282">
        <v>19</v>
      </c>
      <c r="R10" s="282">
        <v>18</v>
      </c>
      <c r="S10" s="282">
        <v>18</v>
      </c>
      <c r="T10" s="786">
        <v>18</v>
      </c>
      <c r="U10" s="290"/>
      <c r="V10" s="290"/>
      <c r="W10" s="290"/>
      <c r="X10" s="290"/>
      <c r="Y10" s="290"/>
      <c r="Z10" s="290"/>
      <c r="AA10" s="290"/>
      <c r="AB10" s="650"/>
      <c r="AC10" s="288"/>
      <c r="AD10" s="288"/>
      <c r="AE10" s="288"/>
      <c r="AF10" s="288"/>
      <c r="AG10" s="288"/>
      <c r="AH10" s="788"/>
      <c r="AI10" s="511">
        <v>40</v>
      </c>
      <c r="AJ10" s="104"/>
    </row>
    <row r="11" spans="1:40" ht="15" thickBot="1" x14ac:dyDescent="0.35">
      <c r="A11" s="981"/>
      <c r="B11" s="955"/>
      <c r="C11" s="626"/>
      <c r="D11" s="626" t="s">
        <v>514</v>
      </c>
      <c r="E11" s="626">
        <v>2021</v>
      </c>
      <c r="F11" s="507" t="s">
        <v>19</v>
      </c>
      <c r="G11" s="510">
        <f>455</f>
        <v>455</v>
      </c>
      <c r="H11" s="785"/>
      <c r="I11" s="282"/>
      <c r="J11" s="785"/>
      <c r="K11" s="785"/>
      <c r="L11" s="282"/>
      <c r="M11" s="785"/>
      <c r="N11" s="787">
        <f>20.3</f>
        <v>20.3</v>
      </c>
      <c r="O11" s="785"/>
      <c r="P11" s="785"/>
      <c r="Q11" s="785"/>
      <c r="R11" s="785"/>
      <c r="S11" s="785"/>
      <c r="T11" s="785"/>
      <c r="U11" s="289"/>
      <c r="V11" s="290"/>
      <c r="W11" s="290"/>
      <c r="X11" s="290"/>
      <c r="Y11" s="290"/>
      <c r="Z11" s="290"/>
      <c r="AA11" s="290"/>
      <c r="AB11" s="650">
        <v>33.799999999999997</v>
      </c>
      <c r="AC11" s="789"/>
      <c r="AD11" s="288"/>
      <c r="AE11" s="789"/>
      <c r="AF11" s="789"/>
      <c r="AG11" s="288"/>
      <c r="AH11" s="788"/>
      <c r="AI11" s="11"/>
      <c r="AJ11" s="104"/>
    </row>
    <row r="12" spans="1:40" x14ac:dyDescent="0.3">
      <c r="A12" s="981"/>
      <c r="B12" s="310" t="s">
        <v>267</v>
      </c>
      <c r="C12" s="318"/>
      <c r="D12" s="318"/>
      <c r="E12" s="318"/>
      <c r="F12" s="318"/>
      <c r="G12" s="312">
        <f>MIN(G9:G11)</f>
        <v>455</v>
      </c>
      <c r="H12" s="313">
        <f t="shared" ref="H12:M12" si="10">MIN(H9:H11)</f>
        <v>670.94181818181823</v>
      </c>
      <c r="I12" s="313">
        <f t="shared" si="10"/>
        <v>609.33600000000001</v>
      </c>
      <c r="J12" s="313">
        <f t="shared" si="10"/>
        <v>531.35018181818191</v>
      </c>
      <c r="K12" s="313">
        <f t="shared" si="10"/>
        <v>524.01109090909097</v>
      </c>
      <c r="L12" s="313">
        <f t="shared" si="10"/>
        <v>516.67200000000003</v>
      </c>
      <c r="M12" s="313">
        <f t="shared" si="10"/>
        <v>516.67200000000003</v>
      </c>
      <c r="N12" s="312">
        <f t="shared" ref="N12" si="11">MIN(N9:N11)</f>
        <v>17.045012751709088</v>
      </c>
      <c r="O12" s="313">
        <f t="shared" ref="O12" si="12">MIN(O9:O11)</f>
        <v>16.704841012363637</v>
      </c>
      <c r="P12" s="313">
        <f t="shared" ref="P12" si="13">MIN(P9:P11)</f>
        <v>14.457512159999997</v>
      </c>
      <c r="Q12" s="313">
        <f t="shared" ref="Q12" si="14">MIN(Q9:Q11)</f>
        <v>11.417227626763637</v>
      </c>
      <c r="R12" s="313">
        <f t="shared" ref="R12" si="15">MIN(R9:R11)</f>
        <v>11.296002284509091</v>
      </c>
      <c r="S12" s="313">
        <f t="shared" ref="S12" si="16">MIN(S9:S11)</f>
        <v>11.174375347200002</v>
      </c>
      <c r="T12" s="313">
        <f t="shared" ref="T12" si="17">MIN(T9:T11)</f>
        <v>11.174375347200002</v>
      </c>
      <c r="U12" s="317"/>
      <c r="V12" s="318"/>
      <c r="W12" s="318"/>
      <c r="X12" s="318"/>
      <c r="Y12" s="318"/>
      <c r="Z12" s="318"/>
      <c r="AA12" s="318"/>
      <c r="AB12" s="653">
        <f t="shared" ref="AB12" si="18">MIN(AB9:AB11)</f>
        <v>33.799999999999997</v>
      </c>
      <c r="AC12" s="319"/>
      <c r="AD12" s="319"/>
      <c r="AE12" s="319"/>
      <c r="AF12" s="319"/>
      <c r="AG12" s="319"/>
      <c r="AH12" s="320"/>
      <c r="AI12" s="797"/>
      <c r="AJ12" s="104"/>
      <c r="AM12" s="76"/>
      <c r="AN12" s="76"/>
    </row>
    <row r="13" spans="1:40" x14ac:dyDescent="0.3">
      <c r="A13" s="981"/>
      <c r="B13" s="322" t="s">
        <v>268</v>
      </c>
      <c r="C13" s="311"/>
      <c r="D13" s="311"/>
      <c r="E13" s="311"/>
      <c r="F13" s="311"/>
      <c r="G13" s="323">
        <f>MEDIAN(G9:G11)</f>
        <v>685.06690909090901</v>
      </c>
      <c r="H13" s="324">
        <f t="shared" ref="H13:M13" si="19">MEDIAN(H9:H11)</f>
        <v>750.47090909090912</v>
      </c>
      <c r="I13" s="324">
        <f t="shared" si="19"/>
        <v>689.66800000000001</v>
      </c>
      <c r="J13" s="324">
        <f t="shared" si="19"/>
        <v>610.67509090909095</v>
      </c>
      <c r="K13" s="324">
        <f t="shared" si="19"/>
        <v>607.00554545454543</v>
      </c>
      <c r="L13" s="324">
        <f t="shared" si="19"/>
        <v>603.33600000000001</v>
      </c>
      <c r="M13" s="324">
        <f t="shared" si="19"/>
        <v>603.33600000000001</v>
      </c>
      <c r="N13" s="323">
        <f t="shared" ref="N13:T13" si="20">MEDIAN(N9:N11)</f>
        <v>20.3</v>
      </c>
      <c r="O13" s="324">
        <f t="shared" si="20"/>
        <v>18.852420506181819</v>
      </c>
      <c r="P13" s="324">
        <f t="shared" si="20"/>
        <v>17.228756079999997</v>
      </c>
      <c r="Q13" s="324">
        <f t="shared" si="20"/>
        <v>15.208613813381819</v>
      </c>
      <c r="R13" s="324">
        <f t="shared" si="20"/>
        <v>14.648001142254547</v>
      </c>
      <c r="S13" s="324">
        <f t="shared" si="20"/>
        <v>14.587187673600001</v>
      </c>
      <c r="T13" s="324">
        <f t="shared" si="20"/>
        <v>14.587187673600001</v>
      </c>
      <c r="U13" s="328"/>
      <c r="V13" s="311"/>
      <c r="W13" s="311"/>
      <c r="X13" s="311"/>
      <c r="Y13" s="311"/>
      <c r="Z13" s="311"/>
      <c r="AA13" s="311"/>
      <c r="AB13" s="654">
        <f t="shared" ref="AB13" si="21">MEDIAN(AB9:AB11)</f>
        <v>36.9</v>
      </c>
      <c r="AC13" s="741">
        <v>37.5</v>
      </c>
      <c r="AD13" s="329">
        <v>38</v>
      </c>
      <c r="AE13" s="329">
        <v>39</v>
      </c>
      <c r="AF13" s="741">
        <v>39.5</v>
      </c>
      <c r="AG13" s="329">
        <v>40</v>
      </c>
      <c r="AH13" s="330">
        <v>40</v>
      </c>
      <c r="AI13" s="802">
        <f t="shared" ref="AI13" si="22">MEDIAN(AI9:AI11)</f>
        <v>32.5</v>
      </c>
      <c r="AJ13" s="104"/>
    </row>
    <row r="14" spans="1:40" ht="15" thickBot="1" x14ac:dyDescent="0.35">
      <c r="A14" s="981"/>
      <c r="B14" s="332" t="s">
        <v>269</v>
      </c>
      <c r="C14" s="333"/>
      <c r="D14" s="333"/>
      <c r="E14" s="333"/>
      <c r="F14" s="333"/>
      <c r="G14" s="334">
        <f>MAX(G9:G11)</f>
        <v>830</v>
      </c>
      <c r="H14" s="335">
        <f t="shared" ref="H14:M14" si="23">MAX(H9:H11)</f>
        <v>830</v>
      </c>
      <c r="I14" s="335">
        <f t="shared" si="23"/>
        <v>770</v>
      </c>
      <c r="J14" s="335">
        <f t="shared" si="23"/>
        <v>690</v>
      </c>
      <c r="K14" s="335">
        <f t="shared" si="23"/>
        <v>690</v>
      </c>
      <c r="L14" s="335">
        <f t="shared" si="23"/>
        <v>690</v>
      </c>
      <c r="M14" s="335">
        <f t="shared" si="23"/>
        <v>690</v>
      </c>
      <c r="N14" s="334">
        <f t="shared" ref="N14:T14" si="24">MAX(N9:N11)</f>
        <v>21</v>
      </c>
      <c r="O14" s="335">
        <f t="shared" si="24"/>
        <v>21</v>
      </c>
      <c r="P14" s="335">
        <f t="shared" si="24"/>
        <v>20</v>
      </c>
      <c r="Q14" s="335">
        <f t="shared" si="24"/>
        <v>19</v>
      </c>
      <c r="R14" s="335">
        <f t="shared" si="24"/>
        <v>18</v>
      </c>
      <c r="S14" s="335">
        <f t="shared" si="24"/>
        <v>18</v>
      </c>
      <c r="T14" s="335">
        <f t="shared" si="24"/>
        <v>18</v>
      </c>
      <c r="U14" s="339"/>
      <c r="V14" s="333"/>
      <c r="W14" s="333"/>
      <c r="X14" s="333"/>
      <c r="Y14" s="333"/>
      <c r="Z14" s="333"/>
      <c r="AA14" s="333"/>
      <c r="AB14" s="655">
        <f t="shared" ref="AB14" si="25">MAX(AB9:AB11)</f>
        <v>40</v>
      </c>
      <c r="AC14" s="340"/>
      <c r="AD14" s="340"/>
      <c r="AE14" s="340"/>
      <c r="AF14" s="340"/>
      <c r="AG14" s="340"/>
      <c r="AH14" s="341"/>
      <c r="AI14" s="799"/>
      <c r="AJ14" s="104"/>
    </row>
    <row r="15" spans="1:40" ht="15" thickBot="1" x14ac:dyDescent="0.35">
      <c r="A15" s="678"/>
      <c r="B15" s="632"/>
      <c r="C15" s="439"/>
      <c r="D15" s="439"/>
      <c r="E15" s="439"/>
      <c r="F15" s="439"/>
      <c r="G15" s="440"/>
      <c r="H15" s="441"/>
      <c r="I15" s="441"/>
      <c r="J15" s="441"/>
      <c r="K15" s="441"/>
      <c r="L15" s="441"/>
      <c r="M15" s="441"/>
      <c r="N15" s="440"/>
      <c r="O15" s="441"/>
      <c r="P15" s="441"/>
      <c r="Q15" s="441"/>
      <c r="R15" s="441"/>
      <c r="S15" s="441"/>
      <c r="T15" s="441"/>
      <c r="U15" s="445"/>
      <c r="V15" s="439"/>
      <c r="W15" s="439"/>
      <c r="X15" s="439"/>
      <c r="Y15" s="439"/>
      <c r="Z15" s="439"/>
      <c r="AA15" s="439"/>
      <c r="AB15" s="679"/>
      <c r="AC15" s="680"/>
      <c r="AD15" s="680"/>
      <c r="AE15" s="680"/>
      <c r="AF15" s="680"/>
      <c r="AG15" s="680"/>
      <c r="AH15" s="681"/>
      <c r="AI15" s="681"/>
      <c r="AJ15" s="635"/>
    </row>
    <row r="16" spans="1:40" x14ac:dyDescent="0.3">
      <c r="A16" s="976" t="s">
        <v>128</v>
      </c>
      <c r="B16" s="855"/>
      <c r="C16" s="90">
        <v>4</v>
      </c>
      <c r="D16" s="90" t="s">
        <v>31</v>
      </c>
      <c r="E16" s="90">
        <v>2022</v>
      </c>
      <c r="F16" s="91" t="s">
        <v>19</v>
      </c>
      <c r="G16" s="447">
        <v>1300</v>
      </c>
      <c r="H16" s="778">
        <v>1200</v>
      </c>
      <c r="I16" s="94">
        <v>1100</v>
      </c>
      <c r="J16" s="94">
        <v>950</v>
      </c>
      <c r="K16" s="778">
        <v>875</v>
      </c>
      <c r="L16" s="94">
        <v>800</v>
      </c>
      <c r="M16" s="95">
        <v>800</v>
      </c>
      <c r="N16" s="447">
        <f t="shared" ref="N16:S16" si="26">G16*0.05*$AN$6</f>
        <v>87.663678687680616</v>
      </c>
      <c r="O16" s="778">
        <f t="shared" si="26"/>
        <v>80.920318788628251</v>
      </c>
      <c r="P16" s="778">
        <f t="shared" si="26"/>
        <v>74.1769588895759</v>
      </c>
      <c r="Q16" s="778">
        <f t="shared" si="26"/>
        <v>64.061919040997367</v>
      </c>
      <c r="R16" s="778">
        <f t="shared" si="26"/>
        <v>59.0043991167081</v>
      </c>
      <c r="S16" s="778">
        <f t="shared" si="26"/>
        <v>53.946879192418834</v>
      </c>
      <c r="T16" s="95">
        <f>40*$AN$6</f>
        <v>53.946879192418834</v>
      </c>
      <c r="U16" s="96"/>
      <c r="V16" s="97"/>
      <c r="W16" s="97"/>
      <c r="X16" s="97"/>
      <c r="Y16" s="97"/>
      <c r="Z16" s="97"/>
      <c r="AA16" s="97"/>
      <c r="AB16" s="636">
        <v>50</v>
      </c>
      <c r="AC16" s="781">
        <v>50</v>
      </c>
      <c r="AD16" s="781">
        <v>50</v>
      </c>
      <c r="AE16" s="781">
        <v>50</v>
      </c>
      <c r="AF16" s="781">
        <v>50</v>
      </c>
      <c r="AG16" s="781">
        <v>50</v>
      </c>
      <c r="AH16" s="103">
        <v>50</v>
      </c>
      <c r="AI16" s="43">
        <v>10</v>
      </c>
      <c r="AJ16" s="104"/>
    </row>
    <row r="17" spans="1:40" x14ac:dyDescent="0.3">
      <c r="A17" s="976"/>
      <c r="B17" s="855"/>
      <c r="C17" s="105">
        <v>11</v>
      </c>
      <c r="D17" s="105" t="s">
        <v>57</v>
      </c>
      <c r="E17" s="105">
        <v>2022</v>
      </c>
      <c r="F17" s="91" t="s">
        <v>19</v>
      </c>
      <c r="G17" s="113">
        <v>1500</v>
      </c>
      <c r="H17" s="107">
        <f>$G$4*C93</f>
        <v>0</v>
      </c>
      <c r="I17" s="107">
        <f t="shared" ref="I17" si="27">$G$4*D93</f>
        <v>0</v>
      </c>
      <c r="J17" s="107">
        <f t="shared" ref="J17" si="28">$G$4*E93</f>
        <v>0</v>
      </c>
      <c r="K17" s="107">
        <f t="shared" ref="K17" si="29">$G$4*F93</f>
        <v>0</v>
      </c>
      <c r="L17" s="107">
        <f t="shared" ref="L17" si="30">$G$4*G93</f>
        <v>0</v>
      </c>
      <c r="M17" s="107">
        <v>923.07692307692309</v>
      </c>
      <c r="N17" s="113"/>
      <c r="O17" s="779"/>
      <c r="P17" s="779"/>
      <c r="Q17" s="779"/>
      <c r="R17" s="779"/>
      <c r="S17" s="108"/>
      <c r="T17" s="779"/>
      <c r="U17" s="110"/>
      <c r="V17" s="111"/>
      <c r="W17" s="111"/>
      <c r="X17" s="111"/>
      <c r="Y17" s="111"/>
      <c r="Z17" s="111"/>
      <c r="AA17" s="111"/>
      <c r="AB17" s="637">
        <v>56</v>
      </c>
      <c r="AC17" s="378">
        <v>56</v>
      </c>
      <c r="AD17" s="800">
        <v>56</v>
      </c>
      <c r="AE17" s="378">
        <v>56</v>
      </c>
      <c r="AF17" s="378">
        <v>56</v>
      </c>
      <c r="AG17" s="800">
        <v>56</v>
      </c>
      <c r="AH17" s="118">
        <v>56</v>
      </c>
      <c r="AI17" s="46"/>
      <c r="AJ17" s="104"/>
    </row>
    <row r="18" spans="1:40" ht="15" thickBot="1" x14ac:dyDescent="0.35">
      <c r="A18" s="976"/>
      <c r="B18" s="918"/>
      <c r="C18" s="105"/>
      <c r="D18" s="105" t="s">
        <v>518</v>
      </c>
      <c r="E18" s="105">
        <v>2020</v>
      </c>
      <c r="F18" s="91" t="s">
        <v>19</v>
      </c>
      <c r="G18" s="113">
        <v>975</v>
      </c>
      <c r="H18" s="107">
        <f>(G18+I18)/2</f>
        <v>945</v>
      </c>
      <c r="I18" s="108">
        <v>915</v>
      </c>
      <c r="J18" s="107">
        <f>$G$5*E93</f>
        <v>0</v>
      </c>
      <c r="K18" s="107">
        <f t="shared" ref="K18" si="31">$G$5*F93</f>
        <v>0</v>
      </c>
      <c r="L18" s="107">
        <f t="shared" ref="L18" si="32">$G$5*G93</f>
        <v>0</v>
      </c>
      <c r="M18" s="107">
        <v>600</v>
      </c>
      <c r="N18" s="780"/>
      <c r="O18" s="779"/>
      <c r="P18" s="779"/>
      <c r="Q18" s="779"/>
      <c r="R18" s="779"/>
      <c r="S18" s="779"/>
      <c r="T18" s="779"/>
      <c r="U18" s="110"/>
      <c r="V18" s="111"/>
      <c r="W18" s="111"/>
      <c r="X18" s="111"/>
      <c r="Y18" s="111"/>
      <c r="Z18" s="111"/>
      <c r="AA18" s="111"/>
      <c r="AB18" s="637"/>
      <c r="AC18" s="782"/>
      <c r="AD18" s="117"/>
      <c r="AE18" s="782"/>
      <c r="AF18" s="782"/>
      <c r="AG18" s="117"/>
      <c r="AH18" s="783"/>
      <c r="AI18" s="46"/>
      <c r="AJ18" s="104"/>
      <c r="AN18" s="76"/>
    </row>
    <row r="19" spans="1:40" x14ac:dyDescent="0.3">
      <c r="A19" s="976"/>
      <c r="B19" s="125" t="s">
        <v>267</v>
      </c>
      <c r="C19" s="126"/>
      <c r="D19" s="126"/>
      <c r="E19" s="126"/>
      <c r="F19" s="126"/>
      <c r="G19" s="127">
        <f t="shared" ref="G19:T19" si="33">MIN(G16:G18)</f>
        <v>975</v>
      </c>
      <c r="H19" s="128">
        <f t="shared" si="33"/>
        <v>0</v>
      </c>
      <c r="I19" s="128">
        <f t="shared" si="33"/>
        <v>0</v>
      </c>
      <c r="J19" s="128">
        <f t="shared" si="33"/>
        <v>0</v>
      </c>
      <c r="K19" s="128">
        <f t="shared" si="33"/>
        <v>0</v>
      </c>
      <c r="L19" s="128">
        <f t="shared" si="33"/>
        <v>0</v>
      </c>
      <c r="M19" s="128">
        <f t="shared" si="33"/>
        <v>600</v>
      </c>
      <c r="N19" s="127">
        <f t="shared" si="33"/>
        <v>87.663678687680616</v>
      </c>
      <c r="O19" s="128">
        <f t="shared" si="33"/>
        <v>80.920318788628251</v>
      </c>
      <c r="P19" s="128">
        <f t="shared" si="33"/>
        <v>74.1769588895759</v>
      </c>
      <c r="Q19" s="128">
        <f t="shared" si="33"/>
        <v>64.061919040997367</v>
      </c>
      <c r="R19" s="128">
        <f t="shared" si="33"/>
        <v>59.0043991167081</v>
      </c>
      <c r="S19" s="128">
        <f t="shared" si="33"/>
        <v>53.946879192418834</v>
      </c>
      <c r="T19" s="456">
        <f t="shared" si="33"/>
        <v>53.946879192418834</v>
      </c>
      <c r="U19" s="126"/>
      <c r="V19" s="126"/>
      <c r="W19" s="126"/>
      <c r="X19" s="126"/>
      <c r="Y19" s="126"/>
      <c r="Z19" s="126"/>
      <c r="AA19" s="126"/>
      <c r="AB19" s="127">
        <f t="shared" ref="AB19:AH19" si="34">MIN(AB16:AB18)</f>
        <v>50</v>
      </c>
      <c r="AC19" s="641">
        <f t="shared" si="34"/>
        <v>50</v>
      </c>
      <c r="AD19" s="641">
        <f t="shared" si="34"/>
        <v>50</v>
      </c>
      <c r="AE19" s="641">
        <f t="shared" si="34"/>
        <v>50</v>
      </c>
      <c r="AF19" s="641">
        <f t="shared" si="34"/>
        <v>50</v>
      </c>
      <c r="AG19" s="641">
        <f t="shared" si="34"/>
        <v>50</v>
      </c>
      <c r="AH19" s="642">
        <f t="shared" si="34"/>
        <v>50</v>
      </c>
      <c r="AI19" s="132"/>
      <c r="AJ19" s="104"/>
      <c r="AN19" s="76"/>
    </row>
    <row r="20" spans="1:40" x14ac:dyDescent="0.3">
      <c r="A20" s="976"/>
      <c r="B20" s="133" t="s">
        <v>268</v>
      </c>
      <c r="C20" s="134"/>
      <c r="D20" s="134"/>
      <c r="E20" s="134"/>
      <c r="F20" s="134"/>
      <c r="G20" s="135">
        <f t="shared" ref="G20:T20" si="35">MEDIAN(G16:G18)</f>
        <v>1300</v>
      </c>
      <c r="H20" s="136">
        <f t="shared" si="35"/>
        <v>945</v>
      </c>
      <c r="I20" s="136">
        <f t="shared" si="35"/>
        <v>915</v>
      </c>
      <c r="J20" s="136">
        <f t="shared" si="35"/>
        <v>0</v>
      </c>
      <c r="K20" s="136">
        <f t="shared" si="35"/>
        <v>0</v>
      </c>
      <c r="L20" s="136">
        <f t="shared" si="35"/>
        <v>0</v>
      </c>
      <c r="M20" s="136">
        <f t="shared" si="35"/>
        <v>800</v>
      </c>
      <c r="N20" s="135">
        <f t="shared" si="35"/>
        <v>87.663678687680616</v>
      </c>
      <c r="O20" s="136">
        <f t="shared" si="35"/>
        <v>80.920318788628251</v>
      </c>
      <c r="P20" s="136">
        <f t="shared" si="35"/>
        <v>74.1769588895759</v>
      </c>
      <c r="Q20" s="136">
        <f t="shared" si="35"/>
        <v>64.061919040997367</v>
      </c>
      <c r="R20" s="136">
        <f t="shared" si="35"/>
        <v>59.0043991167081</v>
      </c>
      <c r="S20" s="136">
        <f t="shared" si="35"/>
        <v>53.946879192418834</v>
      </c>
      <c r="T20" s="459">
        <f t="shared" si="35"/>
        <v>53.946879192418834</v>
      </c>
      <c r="U20" s="134"/>
      <c r="V20" s="134"/>
      <c r="W20" s="134"/>
      <c r="X20" s="134"/>
      <c r="Y20" s="134"/>
      <c r="Z20" s="134"/>
      <c r="AA20" s="134"/>
      <c r="AB20" s="135">
        <f t="shared" ref="AB20:AH20" si="36">MEDIAN(AB16:AB18)</f>
        <v>53</v>
      </c>
      <c r="AC20" s="644">
        <f t="shared" si="36"/>
        <v>53</v>
      </c>
      <c r="AD20" s="644">
        <f t="shared" si="36"/>
        <v>53</v>
      </c>
      <c r="AE20" s="644">
        <f t="shared" si="36"/>
        <v>53</v>
      </c>
      <c r="AF20" s="644">
        <f t="shared" si="36"/>
        <v>53</v>
      </c>
      <c r="AG20" s="644">
        <f t="shared" si="36"/>
        <v>53</v>
      </c>
      <c r="AH20" s="645">
        <f t="shared" si="36"/>
        <v>53</v>
      </c>
      <c r="AI20" s="140"/>
      <c r="AJ20" s="104"/>
    </row>
    <row r="21" spans="1:40" ht="15" thickBot="1" x14ac:dyDescent="0.35">
      <c r="A21" s="976"/>
      <c r="B21" s="141" t="s">
        <v>269</v>
      </c>
      <c r="C21" s="142"/>
      <c r="D21" s="142"/>
      <c r="E21" s="142"/>
      <c r="F21" s="142"/>
      <c r="G21" s="591">
        <f t="shared" ref="G21:T21" si="37">MAX(G16:G18)</f>
        <v>1500</v>
      </c>
      <c r="H21" s="143">
        <f t="shared" si="37"/>
        <v>1200</v>
      </c>
      <c r="I21" s="143">
        <f t="shared" si="37"/>
        <v>1100</v>
      </c>
      <c r="J21" s="143">
        <f t="shared" si="37"/>
        <v>950</v>
      </c>
      <c r="K21" s="143">
        <f t="shared" si="37"/>
        <v>875</v>
      </c>
      <c r="L21" s="143">
        <f t="shared" si="37"/>
        <v>800</v>
      </c>
      <c r="M21" s="143">
        <f t="shared" si="37"/>
        <v>923.07692307692309</v>
      </c>
      <c r="N21" s="591">
        <f t="shared" si="37"/>
        <v>87.663678687680616</v>
      </c>
      <c r="O21" s="143">
        <f t="shared" si="37"/>
        <v>80.920318788628251</v>
      </c>
      <c r="P21" s="143">
        <f t="shared" si="37"/>
        <v>74.1769588895759</v>
      </c>
      <c r="Q21" s="143">
        <f t="shared" si="37"/>
        <v>64.061919040997367</v>
      </c>
      <c r="R21" s="143">
        <f t="shared" si="37"/>
        <v>59.0043991167081</v>
      </c>
      <c r="S21" s="143">
        <f t="shared" si="37"/>
        <v>53.946879192418834</v>
      </c>
      <c r="T21" s="592">
        <f t="shared" si="37"/>
        <v>53.946879192418834</v>
      </c>
      <c r="U21" s="142"/>
      <c r="V21" s="142"/>
      <c r="W21" s="142"/>
      <c r="X21" s="142"/>
      <c r="Y21" s="142"/>
      <c r="Z21" s="142"/>
      <c r="AA21" s="142"/>
      <c r="AB21" s="591">
        <f t="shared" ref="AB21:AH21" si="38">MAX(AB16:AB18)</f>
        <v>56</v>
      </c>
      <c r="AC21" s="647">
        <f t="shared" si="38"/>
        <v>56</v>
      </c>
      <c r="AD21" s="647">
        <f t="shared" si="38"/>
        <v>56</v>
      </c>
      <c r="AE21" s="647">
        <f t="shared" si="38"/>
        <v>56</v>
      </c>
      <c r="AF21" s="647">
        <f t="shared" si="38"/>
        <v>56</v>
      </c>
      <c r="AG21" s="647">
        <f t="shared" si="38"/>
        <v>56</v>
      </c>
      <c r="AH21" s="648">
        <f t="shared" si="38"/>
        <v>56</v>
      </c>
      <c r="AI21" s="146"/>
      <c r="AJ21" s="104"/>
    </row>
    <row r="22" spans="1:40" x14ac:dyDescent="0.3">
      <c r="A22" s="976"/>
      <c r="B22" s="955"/>
      <c r="C22" s="279">
        <v>4</v>
      </c>
      <c r="D22" s="279" t="s">
        <v>31</v>
      </c>
      <c r="E22" s="279">
        <v>2022</v>
      </c>
      <c r="F22" s="507" t="s">
        <v>19</v>
      </c>
      <c r="G22" s="508">
        <f>453.96*(1+AE78)</f>
        <v>453.96</v>
      </c>
      <c r="H22" s="784">
        <f>444.6*(1+AE78)</f>
        <v>444.6</v>
      </c>
      <c r="I22" s="281">
        <f>435.24*(1+AF78)</f>
        <v>435.24</v>
      </c>
      <c r="J22" s="281">
        <f>423.54*(1+AG78)</f>
        <v>423.54</v>
      </c>
      <c r="K22" s="281">
        <f>417.69*(1+AG78)</f>
        <v>417.69</v>
      </c>
      <c r="L22" s="784">
        <f>411.84*(1+AH78)</f>
        <v>411.84</v>
      </c>
      <c r="M22" s="95">
        <v>516.67200000000003</v>
      </c>
      <c r="N22" s="510">
        <f>G22*0.017772*(1+AE84)*$AN$6</f>
        <v>10.880784941100018</v>
      </c>
      <c r="O22" s="785">
        <f>H22*0.017784*(1+AE84)*$AN$6</f>
        <v>10.663634294586911</v>
      </c>
      <c r="P22" s="282">
        <f>I22*0.017795*(1+AF84)*$AN$6</f>
        <v>10.445593686407763</v>
      </c>
      <c r="Q22" s="282">
        <f>J22*0.017906*(1+AG84)*$AN$6</f>
        <v>10.228203192069763</v>
      </c>
      <c r="R22" s="282">
        <f>K22*0.017964*(1+AG84)*$AN$6</f>
        <v>10.119602621673748</v>
      </c>
      <c r="S22" s="784">
        <f>L22*0.018023*(1+AH84)*$AN$6</f>
        <v>10.010642279540397</v>
      </c>
      <c r="T22" s="93">
        <v>10.010642279540397</v>
      </c>
      <c r="U22" s="278">
        <f t="shared" ref="U22:AA22" si="39">4.5*10^-3</f>
        <v>4.5000000000000005E-3</v>
      </c>
      <c r="V22" s="279">
        <f t="shared" si="39"/>
        <v>4.5000000000000005E-3</v>
      </c>
      <c r="W22" s="279">
        <f t="shared" si="39"/>
        <v>4.5000000000000005E-3</v>
      </c>
      <c r="X22" s="279">
        <f t="shared" si="39"/>
        <v>4.5000000000000005E-3</v>
      </c>
      <c r="Y22" s="279">
        <f t="shared" si="39"/>
        <v>4.5000000000000005E-3</v>
      </c>
      <c r="Z22" s="279">
        <f t="shared" si="39"/>
        <v>4.5000000000000005E-3</v>
      </c>
      <c r="AA22" s="796">
        <f t="shared" si="39"/>
        <v>4.5000000000000005E-3</v>
      </c>
      <c r="AB22" s="650">
        <v>40</v>
      </c>
      <c r="AC22" s="801">
        <v>40.5</v>
      </c>
      <c r="AD22" s="288">
        <v>41</v>
      </c>
      <c r="AE22" s="288">
        <v>42</v>
      </c>
      <c r="AF22" s="801">
        <v>42.5</v>
      </c>
      <c r="AG22" s="789">
        <v>43</v>
      </c>
      <c r="AH22" s="118">
        <v>43</v>
      </c>
      <c r="AI22" s="7">
        <v>25</v>
      </c>
    </row>
    <row r="23" spans="1:40" x14ac:dyDescent="0.3">
      <c r="A23" s="976"/>
      <c r="B23" s="955"/>
      <c r="C23" s="290">
        <v>5</v>
      </c>
      <c r="D23" s="290" t="s">
        <v>35</v>
      </c>
      <c r="E23" s="290">
        <v>2021</v>
      </c>
      <c r="F23" s="507" t="s">
        <v>19</v>
      </c>
      <c r="G23" s="795">
        <v>830</v>
      </c>
      <c r="H23" s="282">
        <v>830</v>
      </c>
      <c r="I23" s="282">
        <v>770</v>
      </c>
      <c r="J23" s="282">
        <v>690</v>
      </c>
      <c r="K23" s="282">
        <v>690</v>
      </c>
      <c r="L23" s="282">
        <v>690</v>
      </c>
      <c r="M23" s="785">
        <v>690</v>
      </c>
      <c r="N23" s="795">
        <f>21*$AN$6</f>
        <v>28.322111576019889</v>
      </c>
      <c r="O23" s="282">
        <f>21*$AN$6</f>
        <v>28.322111576019889</v>
      </c>
      <c r="P23" s="282">
        <f>20*$AN$6</f>
        <v>26.973439596209417</v>
      </c>
      <c r="Q23" s="282">
        <f>19*$AN$6</f>
        <v>25.624767616398948</v>
      </c>
      <c r="R23" s="282">
        <f>18*$AN$6</f>
        <v>24.276095636588476</v>
      </c>
      <c r="S23" s="282">
        <f>18*$AN$6</f>
        <v>24.276095636588476</v>
      </c>
      <c r="T23" s="786">
        <f>18*$AN$6</f>
        <v>24.276095636588476</v>
      </c>
      <c r="U23" s="290"/>
      <c r="V23" s="290"/>
      <c r="W23" s="290"/>
      <c r="X23" s="290"/>
      <c r="Y23" s="290"/>
      <c r="Z23" s="290"/>
      <c r="AA23" s="290"/>
      <c r="AB23" s="650"/>
      <c r="AC23" s="288"/>
      <c r="AD23" s="288"/>
      <c r="AE23" s="288"/>
      <c r="AF23" s="288"/>
      <c r="AG23" s="288"/>
      <c r="AH23" s="788"/>
      <c r="AI23" s="511">
        <v>40</v>
      </c>
      <c r="AJ23" s="104"/>
    </row>
    <row r="24" spans="1:40" ht="15" thickBot="1" x14ac:dyDescent="0.35">
      <c r="A24" s="976"/>
      <c r="B24" s="968"/>
      <c r="C24" s="626"/>
      <c r="D24" s="626" t="s">
        <v>514</v>
      </c>
      <c r="E24" s="626">
        <v>2021</v>
      </c>
      <c r="F24" s="507" t="s">
        <v>19</v>
      </c>
      <c r="G24" s="510">
        <f>455</f>
        <v>455</v>
      </c>
      <c r="H24" s="785"/>
      <c r="I24" s="282"/>
      <c r="J24" s="785"/>
      <c r="K24" s="785"/>
      <c r="L24" s="282"/>
      <c r="M24" s="785"/>
      <c r="N24" s="787">
        <f>20.3*$AN$6</f>
        <v>27.378041190152562</v>
      </c>
      <c r="O24" s="785"/>
      <c r="P24" s="785"/>
      <c r="Q24" s="785"/>
      <c r="R24" s="785"/>
      <c r="S24" s="785"/>
      <c r="T24" s="785"/>
      <c r="U24" s="289"/>
      <c r="V24" s="290"/>
      <c r="W24" s="290"/>
      <c r="X24" s="290"/>
      <c r="Y24" s="290"/>
      <c r="Z24" s="290"/>
      <c r="AA24" s="290"/>
      <c r="AB24" s="650">
        <v>33.799999999999997</v>
      </c>
      <c r="AC24" s="789"/>
      <c r="AD24" s="288"/>
      <c r="AE24" s="789"/>
      <c r="AF24" s="789"/>
      <c r="AG24" s="288"/>
      <c r="AH24" s="788"/>
      <c r="AI24" s="11"/>
      <c r="AJ24" s="104"/>
    </row>
    <row r="25" spans="1:40" x14ac:dyDescent="0.3">
      <c r="A25" s="976"/>
      <c r="B25" s="310" t="s">
        <v>267</v>
      </c>
      <c r="C25" s="318"/>
      <c r="D25" s="318"/>
      <c r="E25" s="318"/>
      <c r="F25" s="318"/>
      <c r="G25" s="312">
        <f>MIN(G22:G24)</f>
        <v>453.96</v>
      </c>
      <c r="H25" s="313">
        <f t="shared" ref="H25" si="40">MIN(H22:H24)</f>
        <v>444.6</v>
      </c>
      <c r="I25" s="313">
        <f t="shared" ref="I25" si="41">MIN(I22:I24)</f>
        <v>435.24</v>
      </c>
      <c r="J25" s="313">
        <f t="shared" ref="J25" si="42">MIN(J22:J24)</f>
        <v>423.54</v>
      </c>
      <c r="K25" s="313">
        <f t="shared" ref="K25" si="43">MIN(K22:K24)</f>
        <v>417.69</v>
      </c>
      <c r="L25" s="313">
        <f t="shared" ref="L25" si="44">MIN(L22:L24)</f>
        <v>411.84</v>
      </c>
      <c r="M25" s="313">
        <f t="shared" ref="M25" si="45">MIN(M22:M24)</f>
        <v>516.67200000000003</v>
      </c>
      <c r="N25" s="312">
        <f t="shared" ref="N25" si="46">MIN(N22:N24)</f>
        <v>10.880784941100018</v>
      </c>
      <c r="O25" s="313">
        <f t="shared" ref="O25" si="47">MIN(O22:O24)</f>
        <v>10.663634294586911</v>
      </c>
      <c r="P25" s="313">
        <f t="shared" ref="P25" si="48">MIN(P22:P24)</f>
        <v>10.445593686407763</v>
      </c>
      <c r="Q25" s="313">
        <f t="shared" ref="Q25" si="49">MIN(Q22:Q24)</f>
        <v>10.228203192069763</v>
      </c>
      <c r="R25" s="313">
        <f t="shared" ref="R25" si="50">MIN(R22:R24)</f>
        <v>10.119602621673748</v>
      </c>
      <c r="S25" s="313">
        <f t="shared" ref="S25" si="51">MIN(S22:S24)</f>
        <v>10.010642279540397</v>
      </c>
      <c r="T25" s="313">
        <f t="shared" ref="T25" si="52">MIN(T22:T24)</f>
        <v>10.010642279540397</v>
      </c>
      <c r="U25" s="317"/>
      <c r="V25" s="318"/>
      <c r="W25" s="318"/>
      <c r="X25" s="318"/>
      <c r="Y25" s="318"/>
      <c r="Z25" s="318"/>
      <c r="AA25" s="318"/>
      <c r="AB25" s="653">
        <f t="shared" ref="AB25" si="53">MIN(AB22:AB24)</f>
        <v>33.799999999999997</v>
      </c>
      <c r="AC25" s="319"/>
      <c r="AD25" s="319"/>
      <c r="AE25" s="319"/>
      <c r="AF25" s="319"/>
      <c r="AG25" s="319"/>
      <c r="AH25" s="320"/>
      <c r="AI25" s="797"/>
      <c r="AJ25" s="104"/>
    </row>
    <row r="26" spans="1:40" x14ac:dyDescent="0.3">
      <c r="A26" s="976"/>
      <c r="B26" s="322" t="s">
        <v>268</v>
      </c>
      <c r="C26" s="311"/>
      <c r="D26" s="311"/>
      <c r="E26" s="311"/>
      <c r="F26" s="311"/>
      <c r="G26" s="323">
        <f>MEDIAN(G22:G24)</f>
        <v>455</v>
      </c>
      <c r="H26" s="324">
        <f t="shared" ref="H26:T26" si="54">MEDIAN(H22:H24)</f>
        <v>637.29999999999995</v>
      </c>
      <c r="I26" s="324">
        <f t="shared" si="54"/>
        <v>602.62</v>
      </c>
      <c r="J26" s="324">
        <f t="shared" si="54"/>
        <v>556.77</v>
      </c>
      <c r="K26" s="324">
        <f t="shared" si="54"/>
        <v>553.84500000000003</v>
      </c>
      <c r="L26" s="324">
        <f t="shared" si="54"/>
        <v>550.91999999999996</v>
      </c>
      <c r="M26" s="324">
        <f t="shared" si="54"/>
        <v>603.33600000000001</v>
      </c>
      <c r="N26" s="323">
        <f t="shared" si="54"/>
        <v>27.378041190152562</v>
      </c>
      <c r="O26" s="324">
        <f t="shared" si="54"/>
        <v>19.492872935303403</v>
      </c>
      <c r="P26" s="324">
        <f t="shared" si="54"/>
        <v>18.709516641308589</v>
      </c>
      <c r="Q26" s="324">
        <f t="shared" si="54"/>
        <v>17.926485404234356</v>
      </c>
      <c r="R26" s="324">
        <f t="shared" si="54"/>
        <v>17.197849129131111</v>
      </c>
      <c r="S26" s="324">
        <f t="shared" si="54"/>
        <v>17.143368958064436</v>
      </c>
      <c r="T26" s="324">
        <f t="shared" si="54"/>
        <v>17.143368958064436</v>
      </c>
      <c r="U26" s="328"/>
      <c r="V26" s="311"/>
      <c r="W26" s="311"/>
      <c r="X26" s="311"/>
      <c r="Y26" s="311"/>
      <c r="Z26" s="311"/>
      <c r="AA26" s="311"/>
      <c r="AB26" s="654">
        <f t="shared" ref="AB26" si="55">MEDIAN(AB22:AB24)</f>
        <v>36.9</v>
      </c>
      <c r="AC26" s="741">
        <v>37.5</v>
      </c>
      <c r="AD26" s="329">
        <v>38</v>
      </c>
      <c r="AE26" s="329">
        <v>39</v>
      </c>
      <c r="AF26" s="741">
        <v>39.5</v>
      </c>
      <c r="AG26" s="329">
        <v>40</v>
      </c>
      <c r="AH26" s="330">
        <v>40</v>
      </c>
      <c r="AI26" s="798">
        <f t="shared" ref="AI26" si="56">MEDIAN(AI22:AI24)</f>
        <v>32.5</v>
      </c>
      <c r="AJ26" s="104"/>
    </row>
    <row r="27" spans="1:40" ht="15" thickBot="1" x14ac:dyDescent="0.35">
      <c r="A27" s="976"/>
      <c r="B27" s="332" t="s">
        <v>269</v>
      </c>
      <c r="C27" s="333"/>
      <c r="D27" s="333"/>
      <c r="E27" s="333"/>
      <c r="F27" s="333"/>
      <c r="G27" s="334">
        <f>MAX(G22:G24)</f>
        <v>830</v>
      </c>
      <c r="H27" s="335">
        <f t="shared" ref="H27:T27" si="57">MAX(H22:H24)</f>
        <v>830</v>
      </c>
      <c r="I27" s="335">
        <f t="shared" si="57"/>
        <v>770</v>
      </c>
      <c r="J27" s="335">
        <f t="shared" si="57"/>
        <v>690</v>
      </c>
      <c r="K27" s="335">
        <f t="shared" si="57"/>
        <v>690</v>
      </c>
      <c r="L27" s="335">
        <f t="shared" si="57"/>
        <v>690</v>
      </c>
      <c r="M27" s="335">
        <f t="shared" si="57"/>
        <v>690</v>
      </c>
      <c r="N27" s="334">
        <f t="shared" si="57"/>
        <v>28.322111576019889</v>
      </c>
      <c r="O27" s="335">
        <f t="shared" si="57"/>
        <v>28.322111576019889</v>
      </c>
      <c r="P27" s="335">
        <f t="shared" si="57"/>
        <v>26.973439596209417</v>
      </c>
      <c r="Q27" s="335">
        <f t="shared" si="57"/>
        <v>25.624767616398948</v>
      </c>
      <c r="R27" s="335">
        <f t="shared" si="57"/>
        <v>24.276095636588476</v>
      </c>
      <c r="S27" s="335">
        <f t="shared" si="57"/>
        <v>24.276095636588476</v>
      </c>
      <c r="T27" s="335">
        <f t="shared" si="57"/>
        <v>24.276095636588476</v>
      </c>
      <c r="U27" s="339"/>
      <c r="V27" s="333"/>
      <c r="W27" s="333"/>
      <c r="X27" s="333"/>
      <c r="Y27" s="333"/>
      <c r="Z27" s="333"/>
      <c r="AA27" s="333"/>
      <c r="AB27" s="655">
        <f t="shared" ref="AB27" si="58">MAX(AB22:AB24)</f>
        <v>40</v>
      </c>
      <c r="AC27" s="340"/>
      <c r="AD27" s="340"/>
      <c r="AE27" s="340"/>
      <c r="AF27" s="340"/>
      <c r="AG27" s="340"/>
      <c r="AH27" s="341"/>
      <c r="AI27" s="799"/>
      <c r="AJ27" s="104"/>
    </row>
    <row r="28" spans="1:40" ht="15" thickBot="1" x14ac:dyDescent="0.35">
      <c r="A28" s="678"/>
      <c r="B28" s="632"/>
      <c r="C28" s="439"/>
      <c r="D28" s="439"/>
      <c r="E28" s="439"/>
      <c r="F28" s="439"/>
      <c r="G28" s="440"/>
      <c r="H28" s="441"/>
      <c r="I28" s="441"/>
      <c r="J28" s="441"/>
      <c r="K28" s="441"/>
      <c r="L28" s="441"/>
      <c r="M28" s="441"/>
      <c r="N28" s="440"/>
      <c r="O28" s="441"/>
      <c r="P28" s="441"/>
      <c r="Q28" s="441"/>
      <c r="R28" s="441"/>
      <c r="S28" s="441"/>
      <c r="T28" s="441"/>
      <c r="U28" s="445"/>
      <c r="V28" s="439"/>
      <c r="W28" s="439"/>
      <c r="X28" s="439"/>
      <c r="Y28" s="439"/>
      <c r="Z28" s="439"/>
      <c r="AA28" s="439"/>
      <c r="AB28" s="679"/>
      <c r="AC28" s="680"/>
      <c r="AD28" s="680"/>
      <c r="AE28" s="680"/>
      <c r="AF28" s="680"/>
      <c r="AG28" s="680"/>
      <c r="AH28" s="681"/>
      <c r="AI28" s="681"/>
      <c r="AJ28" s="635"/>
    </row>
    <row r="29" spans="1:40" x14ac:dyDescent="0.3">
      <c r="A29" s="972" t="s">
        <v>132</v>
      </c>
      <c r="B29" s="854" t="s">
        <v>511</v>
      </c>
      <c r="C29" s="90">
        <v>4</v>
      </c>
      <c r="D29" s="90" t="s">
        <v>31</v>
      </c>
      <c r="E29" s="90">
        <v>2022</v>
      </c>
      <c r="F29" s="91" t="s">
        <v>19</v>
      </c>
      <c r="G29" s="447">
        <v>1300</v>
      </c>
      <c r="H29" s="778">
        <v>1200</v>
      </c>
      <c r="I29" s="94">
        <v>1100</v>
      </c>
      <c r="J29" s="94">
        <v>950</v>
      </c>
      <c r="K29" s="778">
        <v>875</v>
      </c>
      <c r="L29" s="94">
        <v>800</v>
      </c>
      <c r="M29" s="95">
        <v>800</v>
      </c>
      <c r="N29" s="447">
        <f t="shared" ref="N29:S29" si="59">G29*0.05*$AN$7</f>
        <v>86.932250472009571</v>
      </c>
      <c r="O29" s="778">
        <f t="shared" si="59"/>
        <v>80.24515428185498</v>
      </c>
      <c r="P29" s="778">
        <f t="shared" si="59"/>
        <v>73.558058091700403</v>
      </c>
      <c r="Q29" s="778">
        <f t="shared" si="59"/>
        <v>63.52741380646853</v>
      </c>
      <c r="R29" s="778">
        <f t="shared" si="59"/>
        <v>58.512091663852594</v>
      </c>
      <c r="S29" s="778">
        <f t="shared" si="59"/>
        <v>53.496769521236658</v>
      </c>
      <c r="T29" s="95">
        <f>40*$AN$7</f>
        <v>53.496769521236658</v>
      </c>
      <c r="U29" s="96"/>
      <c r="V29" s="97"/>
      <c r="W29" s="97"/>
      <c r="X29" s="97"/>
      <c r="Y29" s="97"/>
      <c r="Z29" s="97"/>
      <c r="AA29" s="97"/>
      <c r="AB29" s="636">
        <v>50</v>
      </c>
      <c r="AC29" s="781">
        <v>50</v>
      </c>
      <c r="AD29" s="781">
        <v>50</v>
      </c>
      <c r="AE29" s="781">
        <v>50</v>
      </c>
      <c r="AF29" s="781">
        <v>50</v>
      </c>
      <c r="AG29" s="781">
        <v>50</v>
      </c>
      <c r="AH29" s="103">
        <v>50</v>
      </c>
      <c r="AI29" s="43">
        <v>10</v>
      </c>
      <c r="AJ29" s="104"/>
    </row>
    <row r="30" spans="1:40" x14ac:dyDescent="0.3">
      <c r="A30" s="973"/>
      <c r="B30" s="855"/>
      <c r="C30" s="105">
        <v>11</v>
      </c>
      <c r="D30" s="105" t="s">
        <v>57</v>
      </c>
      <c r="E30" s="105">
        <v>2022</v>
      </c>
      <c r="F30" s="91" t="s">
        <v>19</v>
      </c>
      <c r="G30" s="113">
        <v>1500</v>
      </c>
      <c r="H30" s="107">
        <f>$G$4*C106</f>
        <v>0</v>
      </c>
      <c r="I30" s="107">
        <f t="shared" ref="I30" si="60">$G$4*D106</f>
        <v>0</v>
      </c>
      <c r="J30" s="107">
        <f t="shared" ref="J30" si="61">$G$4*E106</f>
        <v>0</v>
      </c>
      <c r="K30" s="107">
        <f t="shared" ref="K30" si="62">$G$4*F106</f>
        <v>0</v>
      </c>
      <c r="L30" s="107">
        <f t="shared" ref="L30" si="63">$G$4*G106</f>
        <v>0</v>
      </c>
      <c r="M30" s="107">
        <v>923.07692307692309</v>
      </c>
      <c r="N30" s="113"/>
      <c r="O30" s="779"/>
      <c r="P30" s="779"/>
      <c r="Q30" s="779"/>
      <c r="R30" s="779"/>
      <c r="S30" s="108"/>
      <c r="T30" s="779"/>
      <c r="U30" s="110"/>
      <c r="V30" s="111"/>
      <c r="W30" s="111"/>
      <c r="X30" s="111"/>
      <c r="Y30" s="111"/>
      <c r="Z30" s="111"/>
      <c r="AA30" s="111"/>
      <c r="AB30" s="637">
        <v>56</v>
      </c>
      <c r="AC30" s="378">
        <v>56</v>
      </c>
      <c r="AD30" s="800">
        <v>56</v>
      </c>
      <c r="AE30" s="378">
        <v>56</v>
      </c>
      <c r="AF30" s="378">
        <v>56</v>
      </c>
      <c r="AG30" s="800">
        <v>56</v>
      </c>
      <c r="AH30" s="118">
        <v>56</v>
      </c>
      <c r="AI30" s="46"/>
      <c r="AJ30" s="104"/>
      <c r="AN30" s="76"/>
    </row>
    <row r="31" spans="1:40" ht="15" thickBot="1" x14ac:dyDescent="0.35">
      <c r="A31" s="973"/>
      <c r="B31" s="918"/>
      <c r="C31" s="105"/>
      <c r="D31" s="105" t="s">
        <v>518</v>
      </c>
      <c r="E31" s="105">
        <v>2020</v>
      </c>
      <c r="F31" s="91" t="s">
        <v>19</v>
      </c>
      <c r="G31" s="113">
        <v>975</v>
      </c>
      <c r="H31" s="107">
        <f>(G31+I31)/2</f>
        <v>945</v>
      </c>
      <c r="I31" s="108">
        <v>915</v>
      </c>
      <c r="J31" s="107">
        <f>$G$5*E106</f>
        <v>0</v>
      </c>
      <c r="K31" s="107">
        <f t="shared" ref="K31" si="64">$G$5*F106</f>
        <v>0</v>
      </c>
      <c r="L31" s="107">
        <f t="shared" ref="L31" si="65">$G$5*G106</f>
        <v>0</v>
      </c>
      <c r="M31" s="107">
        <v>600</v>
      </c>
      <c r="N31" s="780"/>
      <c r="O31" s="779"/>
      <c r="P31" s="779"/>
      <c r="Q31" s="779"/>
      <c r="R31" s="779"/>
      <c r="S31" s="779"/>
      <c r="T31" s="779"/>
      <c r="U31" s="110"/>
      <c r="V31" s="111"/>
      <c r="W31" s="111"/>
      <c r="X31" s="111"/>
      <c r="Y31" s="111"/>
      <c r="Z31" s="111"/>
      <c r="AA31" s="111"/>
      <c r="AB31" s="637"/>
      <c r="AC31" s="782"/>
      <c r="AD31" s="117"/>
      <c r="AE31" s="782"/>
      <c r="AF31" s="782"/>
      <c r="AG31" s="117"/>
      <c r="AH31" s="783"/>
      <c r="AI31" s="46"/>
      <c r="AJ31" s="104"/>
      <c r="AN31" s="76"/>
    </row>
    <row r="32" spans="1:40" x14ac:dyDescent="0.3">
      <c r="A32" s="973"/>
      <c r="B32" s="125" t="s">
        <v>267</v>
      </c>
      <c r="C32" s="126"/>
      <c r="D32" s="126"/>
      <c r="E32" s="126"/>
      <c r="F32" s="126"/>
      <c r="G32" s="127">
        <f t="shared" ref="G32:T32" si="66">MIN(G29:G31)</f>
        <v>975</v>
      </c>
      <c r="H32" s="128">
        <f t="shared" si="66"/>
        <v>0</v>
      </c>
      <c r="I32" s="128">
        <f t="shared" si="66"/>
        <v>0</v>
      </c>
      <c r="J32" s="128">
        <f t="shared" si="66"/>
        <v>0</v>
      </c>
      <c r="K32" s="128">
        <f t="shared" si="66"/>
        <v>0</v>
      </c>
      <c r="L32" s="128">
        <f t="shared" si="66"/>
        <v>0</v>
      </c>
      <c r="M32" s="128">
        <f t="shared" si="66"/>
        <v>600</v>
      </c>
      <c r="N32" s="127">
        <f t="shared" si="66"/>
        <v>86.932250472009571</v>
      </c>
      <c r="O32" s="128">
        <f t="shared" si="66"/>
        <v>80.24515428185498</v>
      </c>
      <c r="P32" s="128">
        <f t="shared" si="66"/>
        <v>73.558058091700403</v>
      </c>
      <c r="Q32" s="128">
        <f t="shared" si="66"/>
        <v>63.52741380646853</v>
      </c>
      <c r="R32" s="128">
        <f t="shared" si="66"/>
        <v>58.512091663852594</v>
      </c>
      <c r="S32" s="128">
        <f t="shared" si="66"/>
        <v>53.496769521236658</v>
      </c>
      <c r="T32" s="456">
        <f t="shared" si="66"/>
        <v>53.496769521236658</v>
      </c>
      <c r="U32" s="126"/>
      <c r="V32" s="126"/>
      <c r="W32" s="126"/>
      <c r="X32" s="126"/>
      <c r="Y32" s="126"/>
      <c r="Z32" s="126"/>
      <c r="AA32" s="126"/>
      <c r="AB32" s="127">
        <f t="shared" ref="AB32:AH32" si="67">MIN(AB29:AB31)</f>
        <v>50</v>
      </c>
      <c r="AC32" s="641">
        <f t="shared" si="67"/>
        <v>50</v>
      </c>
      <c r="AD32" s="641">
        <f t="shared" si="67"/>
        <v>50</v>
      </c>
      <c r="AE32" s="641">
        <f t="shared" si="67"/>
        <v>50</v>
      </c>
      <c r="AF32" s="641">
        <f t="shared" si="67"/>
        <v>50</v>
      </c>
      <c r="AG32" s="641">
        <f t="shared" si="67"/>
        <v>50</v>
      </c>
      <c r="AH32" s="642">
        <f t="shared" si="67"/>
        <v>50</v>
      </c>
      <c r="AI32" s="132"/>
      <c r="AJ32" s="104"/>
      <c r="AN32" s="76"/>
    </row>
    <row r="33" spans="1:40" x14ac:dyDescent="0.3">
      <c r="A33" s="973"/>
      <c r="B33" s="133" t="s">
        <v>268</v>
      </c>
      <c r="C33" s="134"/>
      <c r="D33" s="134"/>
      <c r="E33" s="134"/>
      <c r="F33" s="134"/>
      <c r="G33" s="135">
        <f t="shared" ref="G33:T33" si="68">MEDIAN(G29:G31)</f>
        <v>1300</v>
      </c>
      <c r="H33" s="136">
        <f t="shared" si="68"/>
        <v>945</v>
      </c>
      <c r="I33" s="136">
        <f t="shared" si="68"/>
        <v>915</v>
      </c>
      <c r="J33" s="136">
        <f t="shared" si="68"/>
        <v>0</v>
      </c>
      <c r="K33" s="136">
        <f t="shared" si="68"/>
        <v>0</v>
      </c>
      <c r="L33" s="136">
        <f t="shared" si="68"/>
        <v>0</v>
      </c>
      <c r="M33" s="136">
        <f t="shared" si="68"/>
        <v>800</v>
      </c>
      <c r="N33" s="135">
        <f t="shared" si="68"/>
        <v>86.932250472009571</v>
      </c>
      <c r="O33" s="136">
        <f t="shared" si="68"/>
        <v>80.24515428185498</v>
      </c>
      <c r="P33" s="136">
        <f t="shared" si="68"/>
        <v>73.558058091700403</v>
      </c>
      <c r="Q33" s="136">
        <f t="shared" si="68"/>
        <v>63.52741380646853</v>
      </c>
      <c r="R33" s="136">
        <f t="shared" si="68"/>
        <v>58.512091663852594</v>
      </c>
      <c r="S33" s="136">
        <f t="shared" si="68"/>
        <v>53.496769521236658</v>
      </c>
      <c r="T33" s="459">
        <f t="shared" si="68"/>
        <v>53.496769521236658</v>
      </c>
      <c r="U33" s="134"/>
      <c r="V33" s="134"/>
      <c r="W33" s="134"/>
      <c r="X33" s="134"/>
      <c r="Y33" s="134"/>
      <c r="Z33" s="134"/>
      <c r="AA33" s="134"/>
      <c r="AB33" s="135">
        <f t="shared" ref="AB33:AH33" si="69">MEDIAN(AB29:AB31)</f>
        <v>53</v>
      </c>
      <c r="AC33" s="644">
        <f t="shared" si="69"/>
        <v>53</v>
      </c>
      <c r="AD33" s="644">
        <f t="shared" si="69"/>
        <v>53</v>
      </c>
      <c r="AE33" s="644">
        <f t="shared" si="69"/>
        <v>53</v>
      </c>
      <c r="AF33" s="644">
        <f t="shared" si="69"/>
        <v>53</v>
      </c>
      <c r="AG33" s="644">
        <f t="shared" si="69"/>
        <v>53</v>
      </c>
      <c r="AH33" s="645">
        <f t="shared" si="69"/>
        <v>53</v>
      </c>
      <c r="AI33" s="140"/>
      <c r="AJ33" s="104"/>
    </row>
    <row r="34" spans="1:40" ht="15" thickBot="1" x14ac:dyDescent="0.35">
      <c r="A34" s="973"/>
      <c r="B34" s="141" t="s">
        <v>269</v>
      </c>
      <c r="C34" s="142"/>
      <c r="D34" s="142"/>
      <c r="E34" s="142"/>
      <c r="F34" s="142"/>
      <c r="G34" s="591">
        <f t="shared" ref="G34:T34" si="70">MAX(G29:G31)</f>
        <v>1500</v>
      </c>
      <c r="H34" s="143">
        <f t="shared" si="70"/>
        <v>1200</v>
      </c>
      <c r="I34" s="143">
        <f t="shared" si="70"/>
        <v>1100</v>
      </c>
      <c r="J34" s="143">
        <f t="shared" si="70"/>
        <v>950</v>
      </c>
      <c r="K34" s="143">
        <f t="shared" si="70"/>
        <v>875</v>
      </c>
      <c r="L34" s="143">
        <f t="shared" si="70"/>
        <v>800</v>
      </c>
      <c r="M34" s="143">
        <f t="shared" si="70"/>
        <v>923.07692307692309</v>
      </c>
      <c r="N34" s="591">
        <f t="shared" si="70"/>
        <v>86.932250472009571</v>
      </c>
      <c r="O34" s="143">
        <f t="shared" si="70"/>
        <v>80.24515428185498</v>
      </c>
      <c r="P34" s="143">
        <f t="shared" si="70"/>
        <v>73.558058091700403</v>
      </c>
      <c r="Q34" s="143">
        <f t="shared" si="70"/>
        <v>63.52741380646853</v>
      </c>
      <c r="R34" s="143">
        <f t="shared" si="70"/>
        <v>58.512091663852594</v>
      </c>
      <c r="S34" s="143">
        <f t="shared" si="70"/>
        <v>53.496769521236658</v>
      </c>
      <c r="T34" s="592">
        <f t="shared" si="70"/>
        <v>53.496769521236658</v>
      </c>
      <c r="U34" s="142"/>
      <c r="V34" s="142"/>
      <c r="W34" s="142"/>
      <c r="X34" s="142"/>
      <c r="Y34" s="142"/>
      <c r="Z34" s="142"/>
      <c r="AA34" s="142"/>
      <c r="AB34" s="591">
        <f t="shared" ref="AB34:AH34" si="71">MAX(AB29:AB31)</f>
        <v>56</v>
      </c>
      <c r="AC34" s="647">
        <f t="shared" si="71"/>
        <v>56</v>
      </c>
      <c r="AD34" s="647">
        <f t="shared" si="71"/>
        <v>56</v>
      </c>
      <c r="AE34" s="647">
        <f t="shared" si="71"/>
        <v>56</v>
      </c>
      <c r="AF34" s="647">
        <f t="shared" si="71"/>
        <v>56</v>
      </c>
      <c r="AG34" s="647">
        <f t="shared" si="71"/>
        <v>56</v>
      </c>
      <c r="AH34" s="648">
        <f t="shared" si="71"/>
        <v>56</v>
      </c>
      <c r="AI34" s="146"/>
      <c r="AJ34" s="104"/>
    </row>
    <row r="35" spans="1:40" x14ac:dyDescent="0.3">
      <c r="A35" s="973"/>
      <c r="B35" s="967" t="s">
        <v>512</v>
      </c>
      <c r="C35" s="279">
        <v>4</v>
      </c>
      <c r="D35" s="279" t="s">
        <v>31</v>
      </c>
      <c r="E35" s="279">
        <v>2022</v>
      </c>
      <c r="F35" s="507" t="s">
        <v>19</v>
      </c>
      <c r="G35" s="508">
        <f>453.96*(1+AG97)</f>
        <v>453.96</v>
      </c>
      <c r="H35" s="784">
        <f>444.6*(1+AG97)</f>
        <v>444.6</v>
      </c>
      <c r="I35" s="281">
        <f>435.24*(1+AH97)</f>
        <v>435.24</v>
      </c>
      <c r="J35" s="281">
        <f>423.54*(1+AI97)</f>
        <v>423.54</v>
      </c>
      <c r="K35" s="281">
        <f>417.69*(1+AI97)</f>
        <v>417.69</v>
      </c>
      <c r="L35" s="784">
        <f>411.84*(1+AJ97)</f>
        <v>411.84</v>
      </c>
      <c r="M35" s="95">
        <v>516.67200000000003</v>
      </c>
      <c r="N35" s="510">
        <f>G35*0.017772*(1+AG103)*$AN$7</f>
        <v>10.79000032843366</v>
      </c>
      <c r="O35" s="785">
        <f>H35*0.017784*(1+AG103)*$AN$7</f>
        <v>10.574661493976453</v>
      </c>
      <c r="P35" s="282">
        <f>I35*0.017795*(1+AH103)*$AN$7</f>
        <v>10.35844012331245</v>
      </c>
      <c r="Q35" s="282">
        <f>J35*0.017906*(1+AI103)*$AN$7</f>
        <v>10.14286344221795</v>
      </c>
      <c r="R35" s="282">
        <f>K35*0.017964*(1+AI103)*$AN$7</f>
        <v>10.03516898850121</v>
      </c>
      <c r="S35" s="784">
        <f>L35*0.018023*(1+AJ103)*$AN$7</f>
        <v>9.927117764828532</v>
      </c>
      <c r="T35" s="95">
        <v>9.927117764828532</v>
      </c>
      <c r="U35" s="278">
        <f t="shared" ref="U35:AA35" si="72">4.5*10^-3</f>
        <v>4.5000000000000005E-3</v>
      </c>
      <c r="V35" s="279">
        <f t="shared" si="72"/>
        <v>4.5000000000000005E-3</v>
      </c>
      <c r="W35" s="279">
        <f t="shared" si="72"/>
        <v>4.5000000000000005E-3</v>
      </c>
      <c r="X35" s="279">
        <f t="shared" si="72"/>
        <v>4.5000000000000005E-3</v>
      </c>
      <c r="Y35" s="279">
        <f t="shared" si="72"/>
        <v>4.5000000000000005E-3</v>
      </c>
      <c r="Z35" s="279">
        <f t="shared" si="72"/>
        <v>4.5000000000000005E-3</v>
      </c>
      <c r="AA35" s="796">
        <f t="shared" si="72"/>
        <v>4.5000000000000005E-3</v>
      </c>
      <c r="AB35" s="650">
        <v>40</v>
      </c>
      <c r="AC35" s="801">
        <v>40.5</v>
      </c>
      <c r="AD35" s="288">
        <v>41</v>
      </c>
      <c r="AE35" s="288">
        <v>42</v>
      </c>
      <c r="AF35" s="801">
        <v>42.5</v>
      </c>
      <c r="AG35" s="789">
        <v>43</v>
      </c>
      <c r="AH35" s="118">
        <v>43</v>
      </c>
      <c r="AI35" s="7">
        <v>25</v>
      </c>
      <c r="AJ35" s="104"/>
    </row>
    <row r="36" spans="1:40" x14ac:dyDescent="0.3">
      <c r="A36" s="973"/>
      <c r="B36" s="955"/>
      <c r="C36" s="290">
        <v>5</v>
      </c>
      <c r="D36" s="290" t="s">
        <v>35</v>
      </c>
      <c r="E36" s="290">
        <v>2021</v>
      </c>
      <c r="F36" s="507" t="s">
        <v>19</v>
      </c>
      <c r="G36" s="795">
        <v>830</v>
      </c>
      <c r="H36" s="282">
        <v>830</v>
      </c>
      <c r="I36" s="282">
        <v>770</v>
      </c>
      <c r="J36" s="282">
        <v>690</v>
      </c>
      <c r="K36" s="282">
        <v>690</v>
      </c>
      <c r="L36" s="282">
        <v>690</v>
      </c>
      <c r="M36" s="785">
        <v>690</v>
      </c>
      <c r="N36" s="795">
        <f>21*$AN$7</f>
        <v>28.085803998649247</v>
      </c>
      <c r="O36" s="282">
        <f>21*$AN$7</f>
        <v>28.085803998649247</v>
      </c>
      <c r="P36" s="282">
        <f>20*$AN$7</f>
        <v>26.748384760618329</v>
      </c>
      <c r="Q36" s="282">
        <f>19*$AN$7</f>
        <v>25.410965522587411</v>
      </c>
      <c r="R36" s="282">
        <f>18*$AN$7</f>
        <v>24.073546284556496</v>
      </c>
      <c r="S36" s="282">
        <f>18*$AN$7</f>
        <v>24.073546284556496</v>
      </c>
      <c r="T36" s="109">
        <f>18*$AN$7</f>
        <v>24.073546284556496</v>
      </c>
      <c r="U36" s="290"/>
      <c r="V36" s="290"/>
      <c r="W36" s="290"/>
      <c r="X36" s="290"/>
      <c r="Y36" s="290"/>
      <c r="Z36" s="290"/>
      <c r="AA36" s="290"/>
      <c r="AB36" s="650"/>
      <c r="AC36" s="288"/>
      <c r="AD36" s="288"/>
      <c r="AE36" s="288"/>
      <c r="AF36" s="288"/>
      <c r="AG36" s="288"/>
      <c r="AH36" s="788"/>
      <c r="AI36" s="511">
        <v>40</v>
      </c>
      <c r="AJ36" s="104"/>
    </row>
    <row r="37" spans="1:40" ht="15" thickBot="1" x14ac:dyDescent="0.35">
      <c r="A37" s="973"/>
      <c r="B37" s="968"/>
      <c r="C37" s="626"/>
      <c r="D37" s="626" t="s">
        <v>514</v>
      </c>
      <c r="E37" s="626">
        <v>2021</v>
      </c>
      <c r="F37" s="507" t="s">
        <v>19</v>
      </c>
      <c r="G37" s="510">
        <f>455</f>
        <v>455</v>
      </c>
      <c r="H37" s="785"/>
      <c r="I37" s="282"/>
      <c r="J37" s="785"/>
      <c r="K37" s="785"/>
      <c r="L37" s="282"/>
      <c r="M37" s="785"/>
      <c r="N37" s="787">
        <f>20.3*$AN$7</f>
        <v>27.149610532027605</v>
      </c>
      <c r="O37" s="785"/>
      <c r="P37" s="785"/>
      <c r="Q37" s="785"/>
      <c r="R37" s="785"/>
      <c r="S37" s="785"/>
      <c r="T37" s="785"/>
      <c r="U37" s="289"/>
      <c r="V37" s="290"/>
      <c r="W37" s="290"/>
      <c r="X37" s="290"/>
      <c r="Y37" s="290"/>
      <c r="Z37" s="290"/>
      <c r="AA37" s="290"/>
      <c r="AB37" s="650">
        <v>33.799999999999997</v>
      </c>
      <c r="AC37" s="789"/>
      <c r="AD37" s="288"/>
      <c r="AE37" s="789"/>
      <c r="AF37" s="789"/>
      <c r="AG37" s="288"/>
      <c r="AH37" s="788"/>
      <c r="AI37" s="11"/>
      <c r="AJ37" s="104"/>
    </row>
    <row r="38" spans="1:40" x14ac:dyDescent="0.3">
      <c r="A38" s="973"/>
      <c r="B38" s="310" t="s">
        <v>267</v>
      </c>
      <c r="C38" s="318"/>
      <c r="D38" s="318"/>
      <c r="E38" s="318"/>
      <c r="F38" s="318"/>
      <c r="G38" s="312">
        <f>MIN(G35:G37)</f>
        <v>453.96</v>
      </c>
      <c r="H38" s="313">
        <f t="shared" ref="H38" si="73">MIN(H35:H37)</f>
        <v>444.6</v>
      </c>
      <c r="I38" s="313">
        <f t="shared" ref="I38" si="74">MIN(I35:I37)</f>
        <v>435.24</v>
      </c>
      <c r="J38" s="313">
        <f t="shared" ref="J38" si="75">MIN(J35:J37)</f>
        <v>423.54</v>
      </c>
      <c r="K38" s="313">
        <f t="shared" ref="K38" si="76">MIN(K35:K37)</f>
        <v>417.69</v>
      </c>
      <c r="L38" s="313">
        <f t="shared" ref="L38" si="77">MIN(L35:L37)</f>
        <v>411.84</v>
      </c>
      <c r="M38" s="313">
        <f t="shared" ref="M38" si="78">MIN(M35:M37)</f>
        <v>516.67200000000003</v>
      </c>
      <c r="N38" s="312">
        <f t="shared" ref="N38" si="79">MIN(N35:N37)</f>
        <v>10.79000032843366</v>
      </c>
      <c r="O38" s="313">
        <f t="shared" ref="O38" si="80">MIN(O35:O37)</f>
        <v>10.574661493976453</v>
      </c>
      <c r="P38" s="313">
        <f t="shared" ref="P38" si="81">MIN(P35:P37)</f>
        <v>10.35844012331245</v>
      </c>
      <c r="Q38" s="313">
        <f t="shared" ref="Q38" si="82">MIN(Q35:Q37)</f>
        <v>10.14286344221795</v>
      </c>
      <c r="R38" s="313">
        <f t="shared" ref="R38" si="83">MIN(R35:R37)</f>
        <v>10.03516898850121</v>
      </c>
      <c r="S38" s="313">
        <f t="shared" ref="S38" si="84">MIN(S35:S37)</f>
        <v>9.927117764828532</v>
      </c>
      <c r="T38" s="313">
        <f t="shared" ref="T38" si="85">MIN(T35:T37)</f>
        <v>9.927117764828532</v>
      </c>
      <c r="U38" s="317"/>
      <c r="V38" s="318"/>
      <c r="W38" s="318"/>
      <c r="X38" s="318"/>
      <c r="Y38" s="318"/>
      <c r="Z38" s="318"/>
      <c r="AA38" s="318"/>
      <c r="AB38" s="653">
        <f t="shared" ref="AB38" si="86">MIN(AB35:AB37)</f>
        <v>33.799999999999997</v>
      </c>
      <c r="AC38" s="319"/>
      <c r="AD38" s="319"/>
      <c r="AE38" s="319"/>
      <c r="AF38" s="319"/>
      <c r="AG38" s="319"/>
      <c r="AH38" s="320"/>
      <c r="AI38" s="797"/>
      <c r="AJ38" s="104"/>
    </row>
    <row r="39" spans="1:40" x14ac:dyDescent="0.3">
      <c r="A39" s="973"/>
      <c r="B39" s="322" t="s">
        <v>268</v>
      </c>
      <c r="C39" s="311"/>
      <c r="D39" s="311"/>
      <c r="E39" s="311"/>
      <c r="F39" s="311"/>
      <c r="G39" s="323">
        <f>MEDIAN(G35:G37)</f>
        <v>455</v>
      </c>
      <c r="H39" s="324">
        <f t="shared" ref="H39:T39" si="87">MEDIAN(H35:H37)</f>
        <v>637.29999999999995</v>
      </c>
      <c r="I39" s="324">
        <f t="shared" si="87"/>
        <v>602.62</v>
      </c>
      <c r="J39" s="324">
        <f t="shared" si="87"/>
        <v>556.77</v>
      </c>
      <c r="K39" s="324">
        <f t="shared" si="87"/>
        <v>553.84500000000003</v>
      </c>
      <c r="L39" s="324">
        <f t="shared" si="87"/>
        <v>550.91999999999996</v>
      </c>
      <c r="M39" s="324">
        <f t="shared" si="87"/>
        <v>603.33600000000001</v>
      </c>
      <c r="N39" s="323">
        <f t="shared" si="87"/>
        <v>27.149610532027605</v>
      </c>
      <c r="O39" s="324">
        <f t="shared" si="87"/>
        <v>19.330232746312852</v>
      </c>
      <c r="P39" s="324">
        <f t="shared" si="87"/>
        <v>18.553412441965392</v>
      </c>
      <c r="Q39" s="324">
        <f t="shared" si="87"/>
        <v>17.776914482402681</v>
      </c>
      <c r="R39" s="324">
        <f t="shared" si="87"/>
        <v>17.054357636528852</v>
      </c>
      <c r="S39" s="324">
        <f t="shared" si="87"/>
        <v>17.000332024692515</v>
      </c>
      <c r="T39" s="324">
        <f t="shared" si="87"/>
        <v>17.000332024692515</v>
      </c>
      <c r="U39" s="328"/>
      <c r="V39" s="311"/>
      <c r="W39" s="311"/>
      <c r="X39" s="311"/>
      <c r="Y39" s="311"/>
      <c r="Z39" s="311"/>
      <c r="AA39" s="311"/>
      <c r="AB39" s="654">
        <f t="shared" ref="AB39" si="88">MEDIAN(AB35:AB37)</f>
        <v>36.9</v>
      </c>
      <c r="AC39" s="741">
        <v>37.5</v>
      </c>
      <c r="AD39" s="329">
        <v>38</v>
      </c>
      <c r="AE39" s="329">
        <v>39</v>
      </c>
      <c r="AF39" s="741">
        <v>39.5</v>
      </c>
      <c r="AG39" s="329">
        <v>40</v>
      </c>
      <c r="AH39" s="330">
        <v>40</v>
      </c>
      <c r="AI39" s="798">
        <f t="shared" ref="AI39" si="89">MEDIAN(AI35:AI37)</f>
        <v>32.5</v>
      </c>
      <c r="AJ39" s="104"/>
    </row>
    <row r="40" spans="1:40" ht="15" thickBot="1" x14ac:dyDescent="0.35">
      <c r="A40" s="973"/>
      <c r="B40" s="332" t="s">
        <v>269</v>
      </c>
      <c r="C40" s="333"/>
      <c r="D40" s="333"/>
      <c r="E40" s="333"/>
      <c r="F40" s="333"/>
      <c r="G40" s="334">
        <f>MAX(G35:G37)</f>
        <v>830</v>
      </c>
      <c r="H40" s="335">
        <f t="shared" ref="H40:T40" si="90">MAX(H35:H37)</f>
        <v>830</v>
      </c>
      <c r="I40" s="335">
        <f t="shared" si="90"/>
        <v>770</v>
      </c>
      <c r="J40" s="335">
        <f t="shared" si="90"/>
        <v>690</v>
      </c>
      <c r="K40" s="335">
        <f t="shared" si="90"/>
        <v>690</v>
      </c>
      <c r="L40" s="335">
        <f t="shared" si="90"/>
        <v>690</v>
      </c>
      <c r="M40" s="335">
        <f t="shared" si="90"/>
        <v>690</v>
      </c>
      <c r="N40" s="334">
        <f t="shared" si="90"/>
        <v>28.085803998649247</v>
      </c>
      <c r="O40" s="335">
        <f t="shared" si="90"/>
        <v>28.085803998649247</v>
      </c>
      <c r="P40" s="335">
        <f t="shared" si="90"/>
        <v>26.748384760618329</v>
      </c>
      <c r="Q40" s="335">
        <f t="shared" si="90"/>
        <v>25.410965522587411</v>
      </c>
      <c r="R40" s="335">
        <f t="shared" si="90"/>
        <v>24.073546284556496</v>
      </c>
      <c r="S40" s="335">
        <f t="shared" si="90"/>
        <v>24.073546284556496</v>
      </c>
      <c r="T40" s="335">
        <f t="shared" si="90"/>
        <v>24.073546284556496</v>
      </c>
      <c r="U40" s="339"/>
      <c r="V40" s="333"/>
      <c r="W40" s="333"/>
      <c r="X40" s="333"/>
      <c r="Y40" s="333"/>
      <c r="Z40" s="333"/>
      <c r="AA40" s="333"/>
      <c r="AB40" s="655">
        <f t="shared" ref="AB40" si="91">MAX(AB35:AB37)</f>
        <v>40</v>
      </c>
      <c r="AC40" s="340"/>
      <c r="AD40" s="340"/>
      <c r="AE40" s="340"/>
      <c r="AF40" s="340"/>
      <c r="AG40" s="340"/>
      <c r="AH40" s="341"/>
      <c r="AI40" s="799"/>
      <c r="AJ40" s="104"/>
    </row>
    <row r="41" spans="1:40" ht="15" thickBot="1" x14ac:dyDescent="0.35">
      <c r="A41" s="678"/>
      <c r="B41" s="632"/>
      <c r="C41" s="439"/>
      <c r="D41" s="439"/>
      <c r="E41" s="439"/>
      <c r="F41" s="439"/>
      <c r="G41" s="440"/>
      <c r="H41" s="441"/>
      <c r="I41" s="441"/>
      <c r="J41" s="441"/>
      <c r="K41" s="441"/>
      <c r="L41" s="441"/>
      <c r="M41" s="441"/>
      <c r="N41" s="440"/>
      <c r="O41" s="441"/>
      <c r="P41" s="441"/>
      <c r="Q41" s="441"/>
      <c r="R41" s="441"/>
      <c r="S41" s="441"/>
      <c r="T41" s="441"/>
      <c r="U41" s="445"/>
      <c r="V41" s="439"/>
      <c r="W41" s="439"/>
      <c r="X41" s="439"/>
      <c r="Y41" s="439"/>
      <c r="Z41" s="439"/>
      <c r="AA41" s="439"/>
      <c r="AB41" s="679"/>
      <c r="AC41" s="680"/>
      <c r="AD41" s="680"/>
      <c r="AE41" s="680"/>
      <c r="AF41" s="680"/>
      <c r="AG41" s="680"/>
      <c r="AH41" s="681"/>
      <c r="AI41" s="681"/>
      <c r="AJ41" s="635"/>
    </row>
    <row r="42" spans="1:40" x14ac:dyDescent="0.3">
      <c r="A42" s="952" t="s">
        <v>130</v>
      </c>
      <c r="B42" s="854" t="s">
        <v>511</v>
      </c>
      <c r="C42" s="90">
        <v>4</v>
      </c>
      <c r="D42" s="90" t="s">
        <v>31</v>
      </c>
      <c r="E42" s="90">
        <v>2022</v>
      </c>
      <c r="F42" s="91" t="s">
        <v>19</v>
      </c>
      <c r="G42" s="447">
        <v>1300</v>
      </c>
      <c r="H42" s="778">
        <v>1200</v>
      </c>
      <c r="I42" s="94">
        <v>1100</v>
      </c>
      <c r="J42" s="94">
        <v>950</v>
      </c>
      <c r="K42" s="778">
        <v>875</v>
      </c>
      <c r="L42" s="94">
        <v>800</v>
      </c>
      <c r="M42" s="95">
        <v>800</v>
      </c>
      <c r="N42" s="447">
        <f t="shared" ref="N42:S42" si="92">G42*0.05*$AN$8</f>
        <v>37.892767477014274</v>
      </c>
      <c r="O42" s="778">
        <f t="shared" si="92"/>
        <v>34.977939209551636</v>
      </c>
      <c r="P42" s="778">
        <f t="shared" si="92"/>
        <v>32.063110942088997</v>
      </c>
      <c r="Q42" s="778">
        <f t="shared" si="92"/>
        <v>27.690868540895046</v>
      </c>
      <c r="R42" s="778">
        <f t="shared" si="92"/>
        <v>25.504747340298067</v>
      </c>
      <c r="S42" s="778">
        <f t="shared" si="92"/>
        <v>23.318626139701092</v>
      </c>
      <c r="T42" s="95">
        <f>40*$AN$8</f>
        <v>23.318626139701092</v>
      </c>
      <c r="U42" s="96"/>
      <c r="V42" s="97"/>
      <c r="W42" s="97"/>
      <c r="X42" s="97"/>
      <c r="Y42" s="97"/>
      <c r="Z42" s="97"/>
      <c r="AA42" s="97"/>
      <c r="AB42" s="636">
        <v>50</v>
      </c>
      <c r="AC42" s="781">
        <v>50</v>
      </c>
      <c r="AD42" s="781">
        <v>50</v>
      </c>
      <c r="AE42" s="781">
        <v>50</v>
      </c>
      <c r="AF42" s="781">
        <v>50</v>
      </c>
      <c r="AG42" s="781">
        <v>50</v>
      </c>
      <c r="AH42" s="103">
        <v>50</v>
      </c>
      <c r="AI42" s="43">
        <v>10</v>
      </c>
      <c r="AJ42" s="104"/>
    </row>
    <row r="43" spans="1:40" x14ac:dyDescent="0.3">
      <c r="A43" s="953"/>
      <c r="B43" s="855"/>
      <c r="C43" s="105">
        <v>11</v>
      </c>
      <c r="D43" s="105" t="s">
        <v>57</v>
      </c>
      <c r="E43" s="105">
        <v>2022</v>
      </c>
      <c r="F43" s="91" t="s">
        <v>19</v>
      </c>
      <c r="G43" s="113">
        <v>1500</v>
      </c>
      <c r="H43" s="107">
        <f>$G$4*C119</f>
        <v>0</v>
      </c>
      <c r="I43" s="107">
        <f t="shared" ref="I43" si="93">$G$4*D119</f>
        <v>0</v>
      </c>
      <c r="J43" s="107">
        <f t="shared" ref="J43" si="94">$G$4*E119</f>
        <v>0</v>
      </c>
      <c r="K43" s="107">
        <f t="shared" ref="K43" si="95">$G$4*F119</f>
        <v>0</v>
      </c>
      <c r="L43" s="107">
        <f t="shared" ref="L43" si="96">$G$4*G119</f>
        <v>0</v>
      </c>
      <c r="M43" s="107">
        <v>923.07692307692309</v>
      </c>
      <c r="N43" s="113"/>
      <c r="O43" s="779"/>
      <c r="P43" s="779"/>
      <c r="Q43" s="779"/>
      <c r="R43" s="779"/>
      <c r="S43" s="108"/>
      <c r="T43" s="779"/>
      <c r="U43" s="110"/>
      <c r="V43" s="111"/>
      <c r="W43" s="111"/>
      <c r="X43" s="111"/>
      <c r="Y43" s="111"/>
      <c r="Z43" s="111"/>
      <c r="AA43" s="111"/>
      <c r="AB43" s="637">
        <v>56</v>
      </c>
      <c r="AC43" s="378">
        <v>56</v>
      </c>
      <c r="AD43" s="800">
        <v>56</v>
      </c>
      <c r="AE43" s="378">
        <v>56</v>
      </c>
      <c r="AF43" s="378">
        <v>56</v>
      </c>
      <c r="AG43" s="800">
        <v>56</v>
      </c>
      <c r="AH43" s="118">
        <v>56</v>
      </c>
      <c r="AI43" s="46"/>
      <c r="AJ43" s="104"/>
    </row>
    <row r="44" spans="1:40" ht="15" thickBot="1" x14ac:dyDescent="0.35">
      <c r="A44" s="953"/>
      <c r="B44" s="918"/>
      <c r="C44" s="105"/>
      <c r="D44" s="105" t="s">
        <v>518</v>
      </c>
      <c r="E44" s="105">
        <v>2020</v>
      </c>
      <c r="F44" s="91" t="s">
        <v>19</v>
      </c>
      <c r="G44" s="113">
        <v>975</v>
      </c>
      <c r="H44" s="107">
        <f>(G44+I44)/2</f>
        <v>945</v>
      </c>
      <c r="I44" s="108">
        <v>915</v>
      </c>
      <c r="J44" s="107">
        <f>$G$5*E119</f>
        <v>0</v>
      </c>
      <c r="K44" s="107">
        <f t="shared" ref="K44" si="97">$G$5*F119</f>
        <v>0</v>
      </c>
      <c r="L44" s="107">
        <f t="shared" ref="L44" si="98">$G$5*G119</f>
        <v>0</v>
      </c>
      <c r="M44" s="107">
        <v>600</v>
      </c>
      <c r="N44" s="780"/>
      <c r="O44" s="779"/>
      <c r="P44" s="779"/>
      <c r="Q44" s="779"/>
      <c r="R44" s="779"/>
      <c r="S44" s="779"/>
      <c r="T44" s="779"/>
      <c r="U44" s="110"/>
      <c r="V44" s="111"/>
      <c r="W44" s="111"/>
      <c r="X44" s="111"/>
      <c r="Y44" s="111"/>
      <c r="Z44" s="111"/>
      <c r="AA44" s="111"/>
      <c r="AB44" s="637"/>
      <c r="AC44" s="782"/>
      <c r="AD44" s="117"/>
      <c r="AE44" s="782"/>
      <c r="AF44" s="782"/>
      <c r="AG44" s="117"/>
      <c r="AH44" s="783"/>
      <c r="AI44" s="46"/>
      <c r="AJ44" s="104"/>
      <c r="AN44" s="76"/>
    </row>
    <row r="45" spans="1:40" x14ac:dyDescent="0.3">
      <c r="A45" s="953"/>
      <c r="B45" s="125" t="s">
        <v>267</v>
      </c>
      <c r="C45" s="126"/>
      <c r="D45" s="126"/>
      <c r="E45" s="126"/>
      <c r="F45" s="126"/>
      <c r="G45" s="127">
        <f t="shared" ref="G45:T45" si="99">MIN(G42:G44)</f>
        <v>975</v>
      </c>
      <c r="H45" s="128">
        <f t="shared" si="99"/>
        <v>0</v>
      </c>
      <c r="I45" s="128">
        <f t="shared" si="99"/>
        <v>0</v>
      </c>
      <c r="J45" s="128">
        <f t="shared" si="99"/>
        <v>0</v>
      </c>
      <c r="K45" s="128">
        <f t="shared" si="99"/>
        <v>0</v>
      </c>
      <c r="L45" s="128">
        <f t="shared" si="99"/>
        <v>0</v>
      </c>
      <c r="M45" s="128">
        <f t="shared" si="99"/>
        <v>600</v>
      </c>
      <c r="N45" s="127">
        <f t="shared" si="99"/>
        <v>37.892767477014274</v>
      </c>
      <c r="O45" s="128">
        <f t="shared" si="99"/>
        <v>34.977939209551636</v>
      </c>
      <c r="P45" s="128">
        <f t="shared" si="99"/>
        <v>32.063110942088997</v>
      </c>
      <c r="Q45" s="128">
        <f t="shared" si="99"/>
        <v>27.690868540895046</v>
      </c>
      <c r="R45" s="128">
        <f t="shared" si="99"/>
        <v>25.504747340298067</v>
      </c>
      <c r="S45" s="128">
        <f t="shared" si="99"/>
        <v>23.318626139701092</v>
      </c>
      <c r="T45" s="456">
        <f t="shared" si="99"/>
        <v>23.318626139701092</v>
      </c>
      <c r="U45" s="126"/>
      <c r="V45" s="126"/>
      <c r="W45" s="126"/>
      <c r="X45" s="126"/>
      <c r="Y45" s="126"/>
      <c r="Z45" s="126"/>
      <c r="AA45" s="126"/>
      <c r="AB45" s="127">
        <f t="shared" ref="AB45:AH45" si="100">MIN(AB42:AB44)</f>
        <v>50</v>
      </c>
      <c r="AC45" s="641">
        <f t="shared" si="100"/>
        <v>50</v>
      </c>
      <c r="AD45" s="641">
        <f t="shared" si="100"/>
        <v>50</v>
      </c>
      <c r="AE45" s="641">
        <f t="shared" si="100"/>
        <v>50</v>
      </c>
      <c r="AF45" s="641">
        <f t="shared" si="100"/>
        <v>50</v>
      </c>
      <c r="AG45" s="641">
        <f t="shared" si="100"/>
        <v>50</v>
      </c>
      <c r="AH45" s="642">
        <f t="shared" si="100"/>
        <v>50</v>
      </c>
      <c r="AI45" s="132"/>
      <c r="AJ45" s="104"/>
      <c r="AN45" s="76"/>
    </row>
    <row r="46" spans="1:40" x14ac:dyDescent="0.3">
      <c r="A46" s="953"/>
      <c r="B46" s="133" t="s">
        <v>268</v>
      </c>
      <c r="C46" s="134"/>
      <c r="D46" s="134"/>
      <c r="E46" s="134"/>
      <c r="F46" s="134"/>
      <c r="G46" s="135">
        <f t="shared" ref="G46:T46" si="101">MEDIAN(G42:G44)</f>
        <v>1300</v>
      </c>
      <c r="H46" s="136">
        <f t="shared" si="101"/>
        <v>945</v>
      </c>
      <c r="I46" s="136">
        <f t="shared" si="101"/>
        <v>915</v>
      </c>
      <c r="J46" s="136">
        <f t="shared" si="101"/>
        <v>0</v>
      </c>
      <c r="K46" s="136">
        <f t="shared" si="101"/>
        <v>0</v>
      </c>
      <c r="L46" s="136">
        <f t="shared" si="101"/>
        <v>0</v>
      </c>
      <c r="M46" s="136">
        <f t="shared" si="101"/>
        <v>800</v>
      </c>
      <c r="N46" s="135">
        <f t="shared" si="101"/>
        <v>37.892767477014274</v>
      </c>
      <c r="O46" s="136">
        <f t="shared" si="101"/>
        <v>34.977939209551636</v>
      </c>
      <c r="P46" s="136">
        <f t="shared" si="101"/>
        <v>32.063110942088997</v>
      </c>
      <c r="Q46" s="136">
        <f t="shared" si="101"/>
        <v>27.690868540895046</v>
      </c>
      <c r="R46" s="136">
        <f t="shared" si="101"/>
        <v>25.504747340298067</v>
      </c>
      <c r="S46" s="136">
        <f t="shared" si="101"/>
        <v>23.318626139701092</v>
      </c>
      <c r="T46" s="459">
        <f t="shared" si="101"/>
        <v>23.318626139701092</v>
      </c>
      <c r="U46" s="134"/>
      <c r="V46" s="134"/>
      <c r="W46" s="134"/>
      <c r="X46" s="134"/>
      <c r="Y46" s="134"/>
      <c r="Z46" s="134"/>
      <c r="AA46" s="134"/>
      <c r="AB46" s="135">
        <f t="shared" ref="AB46:AH46" si="102">MEDIAN(AB42:AB44)</f>
        <v>53</v>
      </c>
      <c r="AC46" s="644">
        <f t="shared" si="102"/>
        <v>53</v>
      </c>
      <c r="AD46" s="644">
        <f t="shared" si="102"/>
        <v>53</v>
      </c>
      <c r="AE46" s="644">
        <f t="shared" si="102"/>
        <v>53</v>
      </c>
      <c r="AF46" s="644">
        <f t="shared" si="102"/>
        <v>53</v>
      </c>
      <c r="AG46" s="644">
        <f t="shared" si="102"/>
        <v>53</v>
      </c>
      <c r="AH46" s="645">
        <f t="shared" si="102"/>
        <v>53</v>
      </c>
      <c r="AI46" s="140"/>
      <c r="AJ46" s="104"/>
    </row>
    <row r="47" spans="1:40" ht="15" thickBot="1" x14ac:dyDescent="0.35">
      <c r="A47" s="953"/>
      <c r="B47" s="141" t="s">
        <v>269</v>
      </c>
      <c r="C47" s="142"/>
      <c r="D47" s="142"/>
      <c r="E47" s="142"/>
      <c r="F47" s="142"/>
      <c r="G47" s="591">
        <f t="shared" ref="G47:T47" si="103">MAX(G42:G44)</f>
        <v>1500</v>
      </c>
      <c r="H47" s="143">
        <f t="shared" si="103"/>
        <v>1200</v>
      </c>
      <c r="I47" s="143">
        <f t="shared" si="103"/>
        <v>1100</v>
      </c>
      <c r="J47" s="143">
        <f t="shared" si="103"/>
        <v>950</v>
      </c>
      <c r="K47" s="143">
        <f t="shared" si="103"/>
        <v>875</v>
      </c>
      <c r="L47" s="143">
        <f t="shared" si="103"/>
        <v>800</v>
      </c>
      <c r="M47" s="143">
        <f t="shared" si="103"/>
        <v>923.07692307692309</v>
      </c>
      <c r="N47" s="591">
        <f t="shared" si="103"/>
        <v>37.892767477014274</v>
      </c>
      <c r="O47" s="143">
        <f t="shared" si="103"/>
        <v>34.977939209551636</v>
      </c>
      <c r="P47" s="143">
        <f t="shared" si="103"/>
        <v>32.063110942088997</v>
      </c>
      <c r="Q47" s="143">
        <f t="shared" si="103"/>
        <v>27.690868540895046</v>
      </c>
      <c r="R47" s="143">
        <f t="shared" si="103"/>
        <v>25.504747340298067</v>
      </c>
      <c r="S47" s="143">
        <f t="shared" si="103"/>
        <v>23.318626139701092</v>
      </c>
      <c r="T47" s="592">
        <f t="shared" si="103"/>
        <v>23.318626139701092</v>
      </c>
      <c r="U47" s="142"/>
      <c r="V47" s="142"/>
      <c r="W47" s="142"/>
      <c r="X47" s="142"/>
      <c r="Y47" s="142"/>
      <c r="Z47" s="142"/>
      <c r="AA47" s="142"/>
      <c r="AB47" s="591">
        <f t="shared" ref="AB47:AH47" si="104">MAX(AB42:AB44)</f>
        <v>56</v>
      </c>
      <c r="AC47" s="647">
        <f t="shared" si="104"/>
        <v>56</v>
      </c>
      <c r="AD47" s="647">
        <f t="shared" si="104"/>
        <v>56</v>
      </c>
      <c r="AE47" s="647">
        <f t="shared" si="104"/>
        <v>56</v>
      </c>
      <c r="AF47" s="647">
        <f t="shared" si="104"/>
        <v>56</v>
      </c>
      <c r="AG47" s="647">
        <f t="shared" si="104"/>
        <v>56</v>
      </c>
      <c r="AH47" s="648">
        <f t="shared" si="104"/>
        <v>56</v>
      </c>
      <c r="AI47" s="146"/>
      <c r="AJ47" s="104"/>
    </row>
    <row r="48" spans="1:40" x14ac:dyDescent="0.3">
      <c r="A48" s="953"/>
      <c r="B48" s="967" t="s">
        <v>512</v>
      </c>
      <c r="C48" s="279">
        <v>4</v>
      </c>
      <c r="D48" s="279" t="s">
        <v>31</v>
      </c>
      <c r="E48" s="279">
        <v>2022</v>
      </c>
      <c r="F48" s="507" t="s">
        <v>19</v>
      </c>
      <c r="G48" s="508">
        <f>453.96*(1+AG110)</f>
        <v>453.96</v>
      </c>
      <c r="H48" s="784">
        <f>444.6*(1+AG110)</f>
        <v>444.6</v>
      </c>
      <c r="I48" s="281">
        <f>435.24*(1+AH110)</f>
        <v>435.24</v>
      </c>
      <c r="J48" s="281">
        <f>423.54*(1+AI110)</f>
        <v>423.54</v>
      </c>
      <c r="K48" s="281">
        <f>417.69*(1+AI110)</f>
        <v>417.69</v>
      </c>
      <c r="L48" s="784">
        <f>411.84*(1+AJ110)</f>
        <v>411.84</v>
      </c>
      <c r="M48" s="95">
        <v>516.67200000000003</v>
      </c>
      <c r="N48" s="510">
        <f>G48*0.017772*(1+AG116)*$AN$8</f>
        <v>4.703236960992859</v>
      </c>
      <c r="O48" s="785">
        <f>H48*0.017784*(1+AG116)*$AN$8</f>
        <v>4.6093732413887576</v>
      </c>
      <c r="P48" s="282">
        <f>I48*0.017795*(1+AH116)*$AN$8</f>
        <v>4.5151248344092281</v>
      </c>
      <c r="Q48" s="282">
        <f>J48*0.017906*(1+AI116)*$AN$8</f>
        <v>4.4211574401933085</v>
      </c>
      <c r="R48" s="282">
        <f>K48*0.017964*(1+AI116)*$AN$8</f>
        <v>4.3742146672742246</v>
      </c>
      <c r="S48" s="784">
        <f>L48*0.018023*(1+AJ116)*$AN$8</f>
        <v>4.3271163824374135</v>
      </c>
      <c r="T48" s="95">
        <v>4.3271163824374135</v>
      </c>
      <c r="U48" s="278">
        <f t="shared" ref="U48:AA48" si="105">4.5*10^-3</f>
        <v>4.5000000000000005E-3</v>
      </c>
      <c r="V48" s="279">
        <f t="shared" si="105"/>
        <v>4.5000000000000005E-3</v>
      </c>
      <c r="W48" s="279">
        <f t="shared" si="105"/>
        <v>4.5000000000000005E-3</v>
      </c>
      <c r="X48" s="279">
        <f t="shared" si="105"/>
        <v>4.5000000000000005E-3</v>
      </c>
      <c r="Y48" s="279">
        <f t="shared" si="105"/>
        <v>4.5000000000000005E-3</v>
      </c>
      <c r="Z48" s="279">
        <f t="shared" si="105"/>
        <v>4.5000000000000005E-3</v>
      </c>
      <c r="AA48" s="796">
        <f t="shared" si="105"/>
        <v>4.5000000000000005E-3</v>
      </c>
      <c r="AB48" s="650">
        <v>40</v>
      </c>
      <c r="AC48" s="801">
        <v>40.5</v>
      </c>
      <c r="AD48" s="288">
        <v>41</v>
      </c>
      <c r="AE48" s="288">
        <v>42</v>
      </c>
      <c r="AF48" s="801">
        <v>42.5</v>
      </c>
      <c r="AG48" s="789">
        <v>43</v>
      </c>
      <c r="AH48" s="118">
        <v>43</v>
      </c>
      <c r="AI48" s="7">
        <v>25</v>
      </c>
      <c r="AJ48" s="104"/>
    </row>
    <row r="49" spans="1:36" x14ac:dyDescent="0.3">
      <c r="A49" s="953"/>
      <c r="B49" s="955"/>
      <c r="C49" s="290">
        <v>5</v>
      </c>
      <c r="D49" s="290" t="s">
        <v>35</v>
      </c>
      <c r="E49" s="290">
        <v>2021</v>
      </c>
      <c r="F49" s="507" t="s">
        <v>19</v>
      </c>
      <c r="G49" s="795">
        <v>830</v>
      </c>
      <c r="H49" s="282">
        <v>830</v>
      </c>
      <c r="I49" s="282">
        <v>770</v>
      </c>
      <c r="J49" s="282">
        <v>690</v>
      </c>
      <c r="K49" s="282">
        <v>690</v>
      </c>
      <c r="L49" s="282">
        <v>690</v>
      </c>
      <c r="M49" s="785">
        <v>690</v>
      </c>
      <c r="N49" s="795">
        <f>21*$AN$8</f>
        <v>12.242278723343073</v>
      </c>
      <c r="O49" s="282">
        <f>21*$AN$8</f>
        <v>12.242278723343073</v>
      </c>
      <c r="P49" s="282">
        <f>20*$AN$8</f>
        <v>11.659313069850546</v>
      </c>
      <c r="Q49" s="282">
        <f>19*$AN$8</f>
        <v>11.076347416358018</v>
      </c>
      <c r="R49" s="282">
        <f>18*$AN$8</f>
        <v>10.493381762865491</v>
      </c>
      <c r="S49" s="282">
        <f>18*$AN$8</f>
        <v>10.493381762865491</v>
      </c>
      <c r="T49" s="109">
        <v>10.493381762865491</v>
      </c>
      <c r="U49" s="290"/>
      <c r="V49" s="290"/>
      <c r="W49" s="290"/>
      <c r="X49" s="290"/>
      <c r="Y49" s="290"/>
      <c r="Z49" s="290"/>
      <c r="AA49" s="290"/>
      <c r="AB49" s="650"/>
      <c r="AC49" s="288"/>
      <c r="AD49" s="288"/>
      <c r="AE49" s="288"/>
      <c r="AF49" s="288"/>
      <c r="AG49" s="288"/>
      <c r="AH49" s="788"/>
      <c r="AI49" s="511">
        <v>40</v>
      </c>
      <c r="AJ49" s="104"/>
    </row>
    <row r="50" spans="1:36" ht="15" thickBot="1" x14ac:dyDescent="0.35">
      <c r="A50" s="953"/>
      <c r="B50" s="955"/>
      <c r="C50" s="626"/>
      <c r="D50" s="626" t="s">
        <v>514</v>
      </c>
      <c r="E50" s="626">
        <v>2021</v>
      </c>
      <c r="F50" s="507" t="s">
        <v>19</v>
      </c>
      <c r="G50" s="510">
        <f>455</f>
        <v>455</v>
      </c>
      <c r="H50" s="785"/>
      <c r="I50" s="282"/>
      <c r="J50" s="785"/>
      <c r="K50" s="785"/>
      <c r="L50" s="282"/>
      <c r="M50" s="785"/>
      <c r="N50" s="787">
        <f>20.3*$AN$8</f>
        <v>11.834202765898304</v>
      </c>
      <c r="O50" s="785"/>
      <c r="P50" s="785"/>
      <c r="Q50" s="785"/>
      <c r="R50" s="785"/>
      <c r="S50" s="785"/>
      <c r="T50" s="785"/>
      <c r="U50" s="289"/>
      <c r="V50" s="290"/>
      <c r="W50" s="290"/>
      <c r="X50" s="290"/>
      <c r="Y50" s="290"/>
      <c r="Z50" s="290"/>
      <c r="AA50" s="290"/>
      <c r="AB50" s="650">
        <v>33.799999999999997</v>
      </c>
      <c r="AC50" s="789"/>
      <c r="AD50" s="288"/>
      <c r="AE50" s="789"/>
      <c r="AF50" s="789"/>
      <c r="AG50" s="288"/>
      <c r="AH50" s="788"/>
      <c r="AI50" s="11"/>
      <c r="AJ50" s="104"/>
    </row>
    <row r="51" spans="1:36" x14ac:dyDescent="0.3">
      <c r="A51" s="953"/>
      <c r="B51" s="310" t="s">
        <v>267</v>
      </c>
      <c r="C51" s="318"/>
      <c r="D51" s="318"/>
      <c r="E51" s="318"/>
      <c r="F51" s="318"/>
      <c r="G51" s="312">
        <f>MIN(G48:G50)</f>
        <v>453.96</v>
      </c>
      <c r="H51" s="313">
        <f t="shared" ref="H51" si="106">MIN(H48:H50)</f>
        <v>444.6</v>
      </c>
      <c r="I51" s="313">
        <f t="shared" ref="I51" si="107">MIN(I48:I50)</f>
        <v>435.24</v>
      </c>
      <c r="J51" s="313">
        <f t="shared" ref="J51" si="108">MIN(J48:J50)</f>
        <v>423.54</v>
      </c>
      <c r="K51" s="313">
        <f t="shared" ref="K51" si="109">MIN(K48:K50)</f>
        <v>417.69</v>
      </c>
      <c r="L51" s="313">
        <f t="shared" ref="L51" si="110">MIN(L48:L50)</f>
        <v>411.84</v>
      </c>
      <c r="M51" s="313">
        <f t="shared" ref="M51" si="111">MIN(M48:M50)</f>
        <v>516.67200000000003</v>
      </c>
      <c r="N51" s="312">
        <f t="shared" ref="N51" si="112">MIN(N48:N50)</f>
        <v>4.703236960992859</v>
      </c>
      <c r="O51" s="313">
        <f t="shared" ref="O51" si="113">MIN(O48:O50)</f>
        <v>4.6093732413887576</v>
      </c>
      <c r="P51" s="313">
        <f t="shared" ref="P51" si="114">MIN(P48:P50)</f>
        <v>4.5151248344092281</v>
      </c>
      <c r="Q51" s="313">
        <f t="shared" ref="Q51" si="115">MIN(Q48:Q50)</f>
        <v>4.4211574401933085</v>
      </c>
      <c r="R51" s="313">
        <f t="shared" ref="R51" si="116">MIN(R48:R50)</f>
        <v>4.3742146672742246</v>
      </c>
      <c r="S51" s="313">
        <f t="shared" ref="S51" si="117">MIN(S48:S50)</f>
        <v>4.3271163824374135</v>
      </c>
      <c r="T51" s="313">
        <f t="shared" ref="T51" si="118">MIN(T48:T50)</f>
        <v>4.3271163824374135</v>
      </c>
      <c r="U51" s="317"/>
      <c r="V51" s="318"/>
      <c r="W51" s="318"/>
      <c r="X51" s="318"/>
      <c r="Y51" s="318"/>
      <c r="Z51" s="318"/>
      <c r="AA51" s="318"/>
      <c r="AB51" s="653">
        <f t="shared" ref="AB51" si="119">MIN(AB48:AB50)</f>
        <v>33.799999999999997</v>
      </c>
      <c r="AC51" s="319"/>
      <c r="AD51" s="319"/>
      <c r="AE51" s="319"/>
      <c r="AF51" s="319"/>
      <c r="AG51" s="319"/>
      <c r="AH51" s="320"/>
      <c r="AI51" s="797"/>
      <c r="AJ51" s="104"/>
    </row>
    <row r="52" spans="1:36" x14ac:dyDescent="0.3">
      <c r="A52" s="953"/>
      <c r="B52" s="322" t="s">
        <v>268</v>
      </c>
      <c r="C52" s="311"/>
      <c r="D52" s="311"/>
      <c r="E52" s="311"/>
      <c r="F52" s="311"/>
      <c r="G52" s="323">
        <f>MEDIAN(G48:G50)</f>
        <v>455</v>
      </c>
      <c r="H52" s="324">
        <f t="shared" ref="H52:T52" si="120">MEDIAN(H48:H50)</f>
        <v>637.29999999999995</v>
      </c>
      <c r="I52" s="324">
        <f t="shared" si="120"/>
        <v>602.62</v>
      </c>
      <c r="J52" s="324">
        <f t="shared" si="120"/>
        <v>556.77</v>
      </c>
      <c r="K52" s="324">
        <f t="shared" si="120"/>
        <v>553.84500000000003</v>
      </c>
      <c r="L52" s="324">
        <f t="shared" si="120"/>
        <v>550.91999999999996</v>
      </c>
      <c r="M52" s="324">
        <f t="shared" si="120"/>
        <v>603.33600000000001</v>
      </c>
      <c r="N52" s="323">
        <f t="shared" si="120"/>
        <v>11.834202765898304</v>
      </c>
      <c r="O52" s="324">
        <f t="shared" si="120"/>
        <v>8.4258259823659145</v>
      </c>
      <c r="P52" s="324">
        <f t="shared" si="120"/>
        <v>8.0872189521298878</v>
      </c>
      <c r="Q52" s="324">
        <f t="shared" si="120"/>
        <v>7.7487524282756635</v>
      </c>
      <c r="R52" s="324">
        <f t="shared" si="120"/>
        <v>7.4337982150698583</v>
      </c>
      <c r="S52" s="324">
        <f t="shared" si="120"/>
        <v>7.4102490726514523</v>
      </c>
      <c r="T52" s="324">
        <f t="shared" si="120"/>
        <v>7.4102490726514523</v>
      </c>
      <c r="U52" s="328"/>
      <c r="V52" s="311"/>
      <c r="W52" s="311"/>
      <c r="X52" s="311"/>
      <c r="Y52" s="311"/>
      <c r="Z52" s="311"/>
      <c r="AA52" s="311"/>
      <c r="AB52" s="654">
        <f t="shared" ref="AB52" si="121">MEDIAN(AB48:AB50)</f>
        <v>36.9</v>
      </c>
      <c r="AC52" s="741">
        <v>37.5</v>
      </c>
      <c r="AD52" s="329">
        <v>38</v>
      </c>
      <c r="AE52" s="329">
        <v>39</v>
      </c>
      <c r="AF52" s="741">
        <v>39.5</v>
      </c>
      <c r="AG52" s="329">
        <v>40</v>
      </c>
      <c r="AH52" s="330">
        <v>40</v>
      </c>
      <c r="AI52" s="798">
        <f t="shared" ref="AI52" si="122">MEDIAN(AI48:AI50)</f>
        <v>32.5</v>
      </c>
      <c r="AJ52" s="104"/>
    </row>
    <row r="53" spans="1:36" ht="15" thickBot="1" x14ac:dyDescent="0.35">
      <c r="A53" s="954"/>
      <c r="B53" s="332" t="s">
        <v>269</v>
      </c>
      <c r="C53" s="333"/>
      <c r="D53" s="333"/>
      <c r="E53" s="333"/>
      <c r="F53" s="333"/>
      <c r="G53" s="334">
        <f>MAX(G48:G50)</f>
        <v>830</v>
      </c>
      <c r="H53" s="335">
        <f t="shared" ref="H53:T53" si="123">MAX(H48:H50)</f>
        <v>830</v>
      </c>
      <c r="I53" s="335">
        <f t="shared" si="123"/>
        <v>770</v>
      </c>
      <c r="J53" s="335">
        <f t="shared" si="123"/>
        <v>690</v>
      </c>
      <c r="K53" s="335">
        <f t="shared" si="123"/>
        <v>690</v>
      </c>
      <c r="L53" s="335">
        <f t="shared" si="123"/>
        <v>690</v>
      </c>
      <c r="M53" s="335">
        <f t="shared" si="123"/>
        <v>690</v>
      </c>
      <c r="N53" s="334">
        <f t="shared" si="123"/>
        <v>12.242278723343073</v>
      </c>
      <c r="O53" s="335">
        <f t="shared" si="123"/>
        <v>12.242278723343073</v>
      </c>
      <c r="P53" s="335">
        <f t="shared" si="123"/>
        <v>11.659313069850546</v>
      </c>
      <c r="Q53" s="335">
        <f t="shared" si="123"/>
        <v>11.076347416358018</v>
      </c>
      <c r="R53" s="335">
        <f t="shared" si="123"/>
        <v>10.493381762865491</v>
      </c>
      <c r="S53" s="335">
        <f t="shared" si="123"/>
        <v>10.493381762865491</v>
      </c>
      <c r="T53" s="335">
        <f t="shared" si="123"/>
        <v>10.493381762865491</v>
      </c>
      <c r="U53" s="339"/>
      <c r="V53" s="333"/>
      <c r="W53" s="333"/>
      <c r="X53" s="333"/>
      <c r="Y53" s="333"/>
      <c r="Z53" s="333"/>
      <c r="AA53" s="333"/>
      <c r="AB53" s="655">
        <f t="shared" ref="AB53" si="124">MAX(AB48:AB50)</f>
        <v>40</v>
      </c>
      <c r="AC53" s="340"/>
      <c r="AD53" s="340"/>
      <c r="AE53" s="340"/>
      <c r="AF53" s="340"/>
      <c r="AG53" s="340"/>
      <c r="AH53" s="341"/>
      <c r="AI53" s="799"/>
      <c r="AJ53" s="104"/>
    </row>
    <row r="55" spans="1:36" x14ac:dyDescent="0.3">
      <c r="B55" s="746" t="s">
        <v>519</v>
      </c>
      <c r="C55" s="12"/>
      <c r="D55" s="12"/>
      <c r="E55" s="776"/>
      <c r="F55" s="776"/>
    </row>
    <row r="56" spans="1:36" x14ac:dyDescent="0.3">
      <c r="B56" s="746" t="s">
        <v>520</v>
      </c>
    </row>
    <row r="57" spans="1:36" x14ac:dyDescent="0.3">
      <c r="L57" s="618">
        <v>5</v>
      </c>
      <c r="M57" s="618" t="s">
        <v>35</v>
      </c>
      <c r="N57" s="618">
        <v>2021</v>
      </c>
      <c r="O57" s="617" t="s">
        <v>19</v>
      </c>
    </row>
    <row r="59" spans="1:36" x14ac:dyDescent="0.3">
      <c r="C59" s="618">
        <v>4</v>
      </c>
      <c r="D59" s="618" t="s">
        <v>31</v>
      </c>
      <c r="E59" s="618">
        <v>2022</v>
      </c>
      <c r="F59" s="617" t="s">
        <v>19</v>
      </c>
      <c r="G59" s="617"/>
      <c r="Z59" s="82"/>
      <c r="AB59" s="777"/>
    </row>
    <row r="62" spans="1:36" x14ac:dyDescent="0.3">
      <c r="AE62" t="s">
        <v>517</v>
      </c>
    </row>
    <row r="64" spans="1:36" x14ac:dyDescent="0.3">
      <c r="AE64">
        <v>2025</v>
      </c>
      <c r="AF64">
        <v>2030</v>
      </c>
      <c r="AG64">
        <v>2040</v>
      </c>
      <c r="AH64">
        <v>2050</v>
      </c>
      <c r="AI64">
        <v>2060</v>
      </c>
    </row>
    <row r="65" spans="1:35" x14ac:dyDescent="0.3">
      <c r="AE65" s="74">
        <f>(830/550)-1</f>
        <v>0.50909090909090904</v>
      </c>
      <c r="AF65" s="74">
        <f>(770/550)-1</f>
        <v>0.39999999999999991</v>
      </c>
      <c r="AG65" s="74">
        <f>(690/550)-1</f>
        <v>0.25454545454545463</v>
      </c>
      <c r="AH65" s="74">
        <f>(690/550)-1</f>
        <v>0.25454545454545463</v>
      </c>
      <c r="AI65" s="74">
        <f>(690/550)-1</f>
        <v>0.25454545454545463</v>
      </c>
    </row>
    <row r="69" spans="1:35" x14ac:dyDescent="0.3">
      <c r="AE69" t="s">
        <v>3</v>
      </c>
    </row>
    <row r="70" spans="1:35" x14ac:dyDescent="0.3">
      <c r="AE70">
        <v>2025</v>
      </c>
      <c r="AF70">
        <v>2030</v>
      </c>
      <c r="AG70">
        <v>2040</v>
      </c>
      <c r="AH70">
        <v>2050</v>
      </c>
      <c r="AI70">
        <v>2060</v>
      </c>
    </row>
    <row r="71" spans="1:35" x14ac:dyDescent="0.3">
      <c r="AE71" s="74">
        <f>(21/15)-1</f>
        <v>0.39999999999999991</v>
      </c>
      <c r="AF71" s="74">
        <f>(20/15)-1</f>
        <v>0.33333333333333326</v>
      </c>
      <c r="AG71" s="74">
        <f>(18/15)-1</f>
        <v>0.19999999999999996</v>
      </c>
      <c r="AH71" s="74">
        <f>(18/15)-1</f>
        <v>0.19999999999999996</v>
      </c>
      <c r="AI71" s="74">
        <f>(18/15)-1</f>
        <v>0.19999999999999996</v>
      </c>
    </row>
    <row r="78" spans="1:35" x14ac:dyDescent="0.3">
      <c r="A78" t="s">
        <v>511</v>
      </c>
      <c r="B78">
        <v>2020</v>
      </c>
      <c r="C78">
        <v>2025</v>
      </c>
      <c r="D78">
        <v>2030</v>
      </c>
      <c r="E78">
        <v>2040</v>
      </c>
      <c r="F78">
        <v>2045</v>
      </c>
      <c r="G78">
        <v>2050</v>
      </c>
    </row>
    <row r="79" spans="1:35" x14ac:dyDescent="0.3">
      <c r="A79" t="s">
        <v>521</v>
      </c>
      <c r="B79">
        <v>1300</v>
      </c>
      <c r="C79">
        <v>1200</v>
      </c>
      <c r="D79">
        <v>1100</v>
      </c>
      <c r="E79">
        <v>950</v>
      </c>
      <c r="F79">
        <v>875</v>
      </c>
      <c r="G79">
        <v>800</v>
      </c>
      <c r="M79" s="793"/>
      <c r="N79" s="793" t="s">
        <v>513</v>
      </c>
      <c r="O79" s="793">
        <v>2022</v>
      </c>
      <c r="P79" s="794" t="s">
        <v>19</v>
      </c>
    </row>
    <row r="80" spans="1:35" x14ac:dyDescent="0.3">
      <c r="A80" t="s">
        <v>522</v>
      </c>
      <c r="C80" s="74">
        <f>C79/$B$79</f>
        <v>0.92307692307692313</v>
      </c>
      <c r="D80" s="74">
        <f t="shared" ref="D80:G80" si="125">D79/$B$79</f>
        <v>0.84615384615384615</v>
      </c>
      <c r="E80" s="74">
        <f t="shared" si="125"/>
        <v>0.73076923076923073</v>
      </c>
      <c r="F80" s="74">
        <f t="shared" si="125"/>
        <v>0.67307692307692313</v>
      </c>
      <c r="G80" s="74">
        <f t="shared" si="125"/>
        <v>0.61538461538461542</v>
      </c>
    </row>
    <row r="90" spans="3:32" x14ac:dyDescent="0.3">
      <c r="C90" s="48"/>
      <c r="D90" s="48"/>
      <c r="E90" s="48"/>
      <c r="F90" s="776"/>
      <c r="G90" s="776"/>
    </row>
    <row r="91" spans="3:32" x14ac:dyDescent="0.3">
      <c r="C91" s="790">
        <v>11</v>
      </c>
      <c r="D91" s="791" t="s">
        <v>57</v>
      </c>
      <c r="E91" s="790">
        <v>2022</v>
      </c>
      <c r="F91" s="792" t="s">
        <v>19</v>
      </c>
    </row>
    <row r="92" spans="3:32" x14ac:dyDescent="0.3">
      <c r="T92" t="s">
        <v>515</v>
      </c>
    </row>
    <row r="93" spans="3:32" x14ac:dyDescent="0.3">
      <c r="T93" t="s">
        <v>516</v>
      </c>
    </row>
    <row r="96" spans="3:32" x14ac:dyDescent="0.3">
      <c r="AF96" s="83"/>
    </row>
    <row r="101" spans="29:35" x14ac:dyDescent="0.3">
      <c r="AC101" s="74"/>
    </row>
    <row r="107" spans="29:35" x14ac:dyDescent="0.3">
      <c r="AF107" s="74"/>
      <c r="AG107" s="74"/>
      <c r="AH107" s="74"/>
      <c r="AI107" s="74"/>
    </row>
    <row r="111" spans="29:35" x14ac:dyDescent="0.3">
      <c r="AF111" s="74"/>
      <c r="AG111" s="74"/>
      <c r="AH111" s="74"/>
      <c r="AI111" s="74"/>
    </row>
    <row r="118" spans="2:32" x14ac:dyDescent="0.3">
      <c r="B118" s="793"/>
      <c r="C118" s="793" t="s">
        <v>514</v>
      </c>
      <c r="D118" s="793">
        <v>2021</v>
      </c>
      <c r="E118" s="794" t="s">
        <v>19</v>
      </c>
    </row>
    <row r="119" spans="2:32" x14ac:dyDescent="0.3">
      <c r="AF119" s="83"/>
    </row>
    <row r="120" spans="2:32" x14ac:dyDescent="0.3">
      <c r="B120" s="8"/>
      <c r="C120" s="8"/>
      <c r="D120" s="8"/>
      <c r="E120" s="776"/>
      <c r="F120" s="776"/>
    </row>
    <row r="130" spans="2:12" x14ac:dyDescent="0.3">
      <c r="B130" s="8"/>
      <c r="C130" s="8"/>
      <c r="D130" s="8"/>
      <c r="E130" s="776"/>
      <c r="F130" s="776"/>
    </row>
    <row r="131" spans="2:12" x14ac:dyDescent="0.3">
      <c r="B131" s="793"/>
      <c r="C131" s="793" t="s">
        <v>518</v>
      </c>
      <c r="D131" s="793">
        <v>2020</v>
      </c>
      <c r="E131" s="794" t="s">
        <v>19</v>
      </c>
    </row>
    <row r="133" spans="2:12" x14ac:dyDescent="0.3">
      <c r="K133" t="s">
        <v>524</v>
      </c>
    </row>
    <row r="136" spans="2:12" x14ac:dyDescent="0.3">
      <c r="K136" t="s">
        <v>523</v>
      </c>
      <c r="L136">
        <v>2030</v>
      </c>
    </row>
    <row r="137" spans="2:12" x14ac:dyDescent="0.3">
      <c r="K137" s="75">
        <f>(1320+67)/1.422</f>
        <v>975.38677918424753</v>
      </c>
      <c r="L137" s="75">
        <f>(1000+45)/1.1422</f>
        <v>914.90106811416558</v>
      </c>
    </row>
    <row r="141" spans="2:12" x14ac:dyDescent="0.3">
      <c r="B141" s="13"/>
      <c r="C141" s="12"/>
      <c r="D141" s="12"/>
    </row>
    <row r="142" spans="2:12" x14ac:dyDescent="0.3">
      <c r="B142" s="12"/>
      <c r="C142" s="12"/>
      <c r="D142" s="12"/>
      <c r="E142" s="776"/>
      <c r="F142" s="776"/>
    </row>
    <row r="236" spans="17:32" x14ac:dyDescent="0.3">
      <c r="Q236" s="12"/>
      <c r="R236" s="12"/>
      <c r="S236" s="12"/>
      <c r="T236" s="12"/>
      <c r="U236" s="12"/>
      <c r="V236" s="776"/>
      <c r="AF236" s="12"/>
    </row>
    <row r="260" spans="2:6" x14ac:dyDescent="0.3">
      <c r="B260" s="12"/>
      <c r="C260" s="12"/>
      <c r="D260" s="12"/>
      <c r="E260" s="776"/>
      <c r="F260" s="776"/>
    </row>
  </sheetData>
  <mergeCells count="21">
    <mergeCell ref="A42:A53"/>
    <mergeCell ref="B42:B44"/>
    <mergeCell ref="B48:B50"/>
    <mergeCell ref="A16:A27"/>
    <mergeCell ref="B16:B18"/>
    <mergeCell ref="B22:B24"/>
    <mergeCell ref="A29:A40"/>
    <mergeCell ref="B29:B31"/>
    <mergeCell ref="B35:B37"/>
    <mergeCell ref="AB1:AH1"/>
    <mergeCell ref="AI1:AI2"/>
    <mergeCell ref="AJ1:AJ2"/>
    <mergeCell ref="A3:A14"/>
    <mergeCell ref="B3:B5"/>
    <mergeCell ref="B9:B11"/>
    <mergeCell ref="A1:A2"/>
    <mergeCell ref="B1:B2"/>
    <mergeCell ref="C1:F1"/>
    <mergeCell ref="G1:M1"/>
    <mergeCell ref="N1:T1"/>
    <mergeCell ref="U1:AA1"/>
  </mergeCells>
  <hyperlinks>
    <hyperlink ref="F59" r:id="rId1" xr:uid="{82FBA853-0450-47C1-9052-8857209C10B3}"/>
    <hyperlink ref="F91" r:id="rId2" xr:uid="{2232E458-8403-46DF-A9F6-E1BF0638AF9F}"/>
    <hyperlink ref="O57" r:id="rId3" xr:uid="{C322BB03-0096-4491-ABC1-0EC555B80B6D}"/>
    <hyperlink ref="P79" r:id="rId4" xr:uid="{A2F180B3-ACFC-47D7-BAC6-219AE06977EB}"/>
    <hyperlink ref="E118" r:id="rId5" xr:uid="{AF155FDD-8870-4B1B-9C7E-A9C7826E2EB7}"/>
    <hyperlink ref="E131" r:id="rId6" xr:uid="{2025862E-0959-40DC-A761-C35F10D608CC}"/>
  </hyperlinks>
  <pageMargins left="0.7" right="0.7" top="0.78740157500000008" bottom="0.78740157500000008" header="0.3" footer="0.3"/>
  <pageSetup paperSize="9" orientation="portrait" verticalDpi="0"/>
  <ignoredErrors>
    <ignoredError sqref="T6:T8 M6:M8 AH6:AH8 AB6:AG8" formulaRange="1"/>
  </ignoredErrors>
  <drawing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5050"/>
  </sheetPr>
  <dimension ref="A1:E5"/>
  <sheetViews>
    <sheetView workbookViewId="0">
      <selection activeCell="G9" sqref="G9"/>
    </sheetView>
  </sheetViews>
  <sheetFormatPr baseColWidth="10" defaultRowHeight="14.4" x14ac:dyDescent="0.3"/>
  <sheetData>
    <row r="1" spans="1:5" x14ac:dyDescent="0.3">
      <c r="A1" t="s">
        <v>510</v>
      </c>
    </row>
    <row r="5" spans="1:5" x14ac:dyDescent="0.3">
      <c r="E5" s="83"/>
    </row>
  </sheetData>
  <pageMargins left="0.7" right="0.7" top="0.78740157500000008" bottom="0.78740157500000008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Übersicht</vt:lpstr>
      <vt:lpstr>Arbeitskosten Berechnung</vt:lpstr>
      <vt:lpstr>Strom-&amp; Wärmeerzeugung</vt:lpstr>
      <vt:lpstr>Entsalzung</vt:lpstr>
      <vt:lpstr>Elektrolyse</vt:lpstr>
      <vt:lpstr>Umwandlung</vt:lpstr>
      <vt:lpstr>Transport</vt:lpstr>
      <vt:lpstr>Speicherung</vt:lpstr>
      <vt:lpstr>H2 to electricity</vt:lpstr>
      <vt:lpstr>Nutzung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Mutke</dc:creator>
  <cp:lastModifiedBy>Cornelia Klüter</cp:lastModifiedBy>
  <cp:revision>1</cp:revision>
  <dcterms:created xsi:type="dcterms:W3CDTF">2015-06-05T18:19:34Z</dcterms:created>
  <dcterms:modified xsi:type="dcterms:W3CDTF">2024-08-08T08:43:14Z</dcterms:modified>
</cp:coreProperties>
</file>