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Krakka" sheetId="1" r:id="rId4"/>
    <sheet state="hidden" name="Ungmenna" sheetId="2" r:id="rId5"/>
    <sheet state="hidden" name="2020" sheetId="3" r:id="rId6"/>
    <sheet state="hidden" name="2021" sheetId="4" r:id="rId7"/>
    <sheet state="visible" name="Keppnis" sheetId="5" r:id="rId8"/>
    <sheet state="visible" name="KrakkaNew" sheetId="6" r:id="rId9"/>
    <sheet state="visible" name="U16" sheetId="7" r:id="rId10"/>
    <sheet state="visible" name="U21" sheetId="8" r:id="rId11"/>
    <sheet state="hidden" name="U16 Afreks" sheetId="9" r:id="rId12"/>
    <sheet state="hidden" name="U21 Afreks" sheetId="10" r:id="rId13"/>
    <sheet state="visible" name="Fullorðins" sheetId="11" r:id="rId14"/>
    <sheet state="visible" name="Mánaðarkort" sheetId="12" r:id="rId15"/>
    <sheet state="visible" name="2022" sheetId="13" r:id="rId16"/>
    <sheet state="visible" name="2023" sheetId="14" r:id="rId17"/>
    <sheet state="visible" name="2024" sheetId="15" r:id="rId18"/>
    <sheet state="visible" name="2025" sheetId="16" r:id="rId19"/>
    <sheet state="visible" name="Iðkendatölur" sheetId="17" r:id="rId20"/>
    <sheet state="visible" name="Display" sheetId="18" r:id="rId21"/>
  </sheets>
  <definedNames/>
  <calcPr/>
</workbook>
</file>

<file path=xl/sharedStrings.xml><?xml version="1.0" encoding="utf-8"?>
<sst xmlns="http://schemas.openxmlformats.org/spreadsheetml/2006/main" count="2602" uniqueCount="145">
  <si>
    <t>Byrjenda Æfingar</t>
  </si>
  <si>
    <t>(Áætlun)</t>
  </si>
  <si>
    <t>Haust 2020</t>
  </si>
  <si>
    <t>Gjald</t>
  </si>
  <si>
    <t>Þjálfari</t>
  </si>
  <si>
    <t>Fjöldi æfinga</t>
  </si>
  <si>
    <t>September</t>
  </si>
  <si>
    <t>Október</t>
  </si>
  <si>
    <t>Nóvember</t>
  </si>
  <si>
    <t>Desember</t>
  </si>
  <si>
    <t>Bogfimisetrið Gjald</t>
  </si>
  <si>
    <t>Oliver</t>
  </si>
  <si>
    <t>Tekjur</t>
  </si>
  <si>
    <t>Freyja</t>
  </si>
  <si>
    <t>Marín</t>
  </si>
  <si>
    <t>Heilar Skráningar</t>
  </si>
  <si>
    <t>Melissa</t>
  </si>
  <si>
    <t>Hálfar Skráningar</t>
  </si>
  <si>
    <t>Samtals</t>
  </si>
  <si>
    <t>Innheimta</t>
  </si>
  <si>
    <t>Laun á klst</t>
  </si>
  <si>
    <t>Bogfimisetrið</t>
  </si>
  <si>
    <t>Margin</t>
  </si>
  <si>
    <t>Klst per æfing</t>
  </si>
  <si>
    <t>Vor 2021</t>
  </si>
  <si>
    <t>Janúar</t>
  </si>
  <si>
    <t>Febrúar</t>
  </si>
  <si>
    <t>Mars</t>
  </si>
  <si>
    <t>Apríl</t>
  </si>
  <si>
    <t>Valgerður</t>
  </si>
  <si>
    <t>Nói</t>
  </si>
  <si>
    <t>Kostnaður</t>
  </si>
  <si>
    <t>Sara</t>
  </si>
  <si>
    <t>Jan</t>
  </si>
  <si>
    <t>Feb</t>
  </si>
  <si>
    <t>Mar</t>
  </si>
  <si>
    <t>Apr</t>
  </si>
  <si>
    <t>Plan Sumar 2021</t>
  </si>
  <si>
    <t>Maí</t>
  </si>
  <si>
    <t>Júní</t>
  </si>
  <si>
    <t>Júlí</t>
  </si>
  <si>
    <t>Ágúst</t>
  </si>
  <si>
    <t>Plan Haust 2021</t>
  </si>
  <si>
    <t>Ungmenna</t>
  </si>
  <si>
    <t>Gummi</t>
  </si>
  <si>
    <t>Fjöldi æfinga eldri</t>
  </si>
  <si>
    <t>Fjöldi æginga yngri</t>
  </si>
  <si>
    <t>Afreks yngri</t>
  </si>
  <si>
    <t>Gjald m/ áskrift</t>
  </si>
  <si>
    <t xml:space="preserve">Gjald </t>
  </si>
  <si>
    <t>Gjald án Setursaðg.</t>
  </si>
  <si>
    <t>Skráningar m/ áskrift</t>
  </si>
  <si>
    <t>Venjulegar skráningar</t>
  </si>
  <si>
    <t>Skráningar án seturs</t>
  </si>
  <si>
    <t>Setrið fá fyrir áskrift</t>
  </si>
  <si>
    <t>Sumar 2021</t>
  </si>
  <si>
    <t>Haust 2021</t>
  </si>
  <si>
    <t>Nóri</t>
  </si>
  <si>
    <t>Greiðsluflæði</t>
  </si>
  <si>
    <t>Gamalt</t>
  </si>
  <si>
    <t>Greiðsluseðill</t>
  </si>
  <si>
    <t>Kreditkort</t>
  </si>
  <si>
    <t>Frístundastyrkir</t>
  </si>
  <si>
    <t>Arion e. sept</t>
  </si>
  <si>
    <t>Nóri e. okt</t>
  </si>
  <si>
    <t>Krakkaæfingar</t>
  </si>
  <si>
    <t>Laun</t>
  </si>
  <si>
    <t>Plan Vor 2021</t>
  </si>
  <si>
    <t>Tekjur á mán</t>
  </si>
  <si>
    <t>Fullorðnir</t>
  </si>
  <si>
    <t>Haust</t>
  </si>
  <si>
    <t>Vala</t>
  </si>
  <si>
    <t>Sveigbogi</t>
  </si>
  <si>
    <t>Ragnar</t>
  </si>
  <si>
    <t>Trissubogi</t>
  </si>
  <si>
    <t>Krakka Æfingar</t>
  </si>
  <si>
    <t>Vor</t>
  </si>
  <si>
    <t>Samtals Tímar</t>
  </si>
  <si>
    <t>Sumar</t>
  </si>
  <si>
    <t>Heba</t>
  </si>
  <si>
    <t>Unnur</t>
  </si>
  <si>
    <t>U16</t>
  </si>
  <si>
    <t>---</t>
  </si>
  <si>
    <t>U21 Æfingar</t>
  </si>
  <si>
    <t>Gjald m/áskrift</t>
  </si>
  <si>
    <t>Með áskrift</t>
  </si>
  <si>
    <t>U16 Afreks Æfingar</t>
  </si>
  <si>
    <t>Með Áskrift</t>
  </si>
  <si>
    <t>U21 Afreks Æfingar</t>
  </si>
  <si>
    <t>Gummi U21</t>
  </si>
  <si>
    <t>Mánuður</t>
  </si>
  <si>
    <t>Æfingar</t>
  </si>
  <si>
    <t>Tímar</t>
  </si>
  <si>
    <t>U21 Æfing</t>
  </si>
  <si>
    <t>U21</t>
  </si>
  <si>
    <t>Gummi Laun</t>
  </si>
  <si>
    <t>Tímakaup</t>
  </si>
  <si>
    <t>Fullorðins</t>
  </si>
  <si>
    <t>Gjald + áskrift</t>
  </si>
  <si>
    <t>Skráningar</t>
  </si>
  <si>
    <t>Skráningar + áskrift</t>
  </si>
  <si>
    <t>Samt</t>
  </si>
  <si>
    <t>-</t>
  </si>
  <si>
    <t>Frá Sept 23</t>
  </si>
  <si>
    <t>Mánaðarkort</t>
  </si>
  <si>
    <t>Gjald Maí 23</t>
  </si>
  <si>
    <t>Gjald Feb 25</t>
  </si>
  <si>
    <t>Hæfileikamótun</t>
  </si>
  <si>
    <t>Grunnnámskeið</t>
  </si>
  <si>
    <t>U16 Æfingar</t>
  </si>
  <si>
    <t>U16 Afreks</t>
  </si>
  <si>
    <t>U21 Afreks</t>
  </si>
  <si>
    <t>Margins</t>
  </si>
  <si>
    <t>Samtals Margin</t>
  </si>
  <si>
    <t>Vor samtals</t>
  </si>
  <si>
    <t>Sumar samtals</t>
  </si>
  <si>
    <t>Haust samtals</t>
  </si>
  <si>
    <t>Á mánuði</t>
  </si>
  <si>
    <t>Mánuði</t>
  </si>
  <si>
    <t>Bogfimisetrið Greitt Vor</t>
  </si>
  <si>
    <t>Bogfimisetrið Greitt Sumar</t>
  </si>
  <si>
    <t>Bogfimisetrið Greitt Haust</t>
  </si>
  <si>
    <t>Extra</t>
  </si>
  <si>
    <t>Total</t>
  </si>
  <si>
    <t>Leiga</t>
  </si>
  <si>
    <t>Ferðastyrkir</t>
  </si>
  <si>
    <t>Samt 2022</t>
  </si>
  <si>
    <t xml:space="preserve"> </t>
  </si>
  <si>
    <t>Iðkendatölur / Statistics</t>
  </si>
  <si>
    <t>Iðkendur</t>
  </si>
  <si>
    <t>Aldur</t>
  </si>
  <si>
    <t>Flokkur</t>
  </si>
  <si>
    <t>Mán</t>
  </si>
  <si>
    <t>Þri</t>
  </si>
  <si>
    <t>Mið</t>
  </si>
  <si>
    <t>Fim</t>
  </si>
  <si>
    <t>Fös</t>
  </si>
  <si>
    <t>2015-2013</t>
  </si>
  <si>
    <t>Krakka Hópur</t>
  </si>
  <si>
    <t>16:30-17:30</t>
  </si>
  <si>
    <t>2012-2010</t>
  </si>
  <si>
    <t>U16 Hópur</t>
  </si>
  <si>
    <t>2009-2005</t>
  </si>
  <si>
    <t>U21 Hópur</t>
  </si>
  <si>
    <t>18:30-20:30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</si>
</sst>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[$kr]"/>
  </numFmts>
  <fonts count="16">
    <font>
      <sz val="10.0"/>
      <color rgb="FF000000"/>
      <name val="Calibri"/>
      <scheme val="minor"/>
    </font>
    <font>
      <b/>
      <sz val="12.0"/>
      <color rgb="FF222222"/>
      <name val="Arial"/>
    </font>
    <font>
      <color theme="1"/>
      <name val="Arial"/>
    </font>
    <font>
      <b/>
      <color theme="1"/>
      <name val="Arial"/>
    </font>
    <font/>
    <font>
      <color theme="1"/>
      <name val="Calibri"/>
      <scheme val="minor"/>
    </font>
    <font>
      <sz val="10.0"/>
      <color theme="1"/>
      <name val="Arial"/>
    </font>
    <font>
      <color rgb="FF222222"/>
      <name val="Arial"/>
    </font>
    <font>
      <b/>
      <sz val="14.0"/>
      <color theme="1"/>
      <name val="Arial"/>
    </font>
    <font>
      <sz val="10.0"/>
      <color rgb="FF000000"/>
      <name val="Arial"/>
    </font>
    <font>
      <b/>
      <color theme="1"/>
      <name val="Calibri"/>
      <scheme val="minor"/>
    </font>
    <font>
      <b/>
      <sz val="12.0"/>
      <color theme="1"/>
      <name val="Calibri"/>
      <scheme val="minor"/>
    </font>
    <font>
      <color rgb="FF666666"/>
      <name val="Calibri"/>
      <scheme val="minor"/>
    </font>
    <font>
      <color rgb="FF666666"/>
      <name val="Arial"/>
    </font>
    <font>
      <b/>
      <sz val="14.0"/>
      <color theme="1"/>
      <name val="Calibri"/>
      <scheme val="minor"/>
    </font>
    <font>
      <sz val="10.0"/>
      <color theme="1"/>
      <name val="Calibri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/>
    </xf>
    <xf borderId="1" fillId="0" fontId="4" numFmtId="0" xfId="0" applyBorder="1" applyFont="1"/>
    <xf borderId="1" fillId="3" fontId="5" numFmtId="0" xfId="0" applyBorder="1" applyFont="1"/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4" fontId="2" numFmtId="0" xfId="0" applyBorder="1" applyFill="1" applyFont="1"/>
    <xf borderId="0" fillId="3" fontId="2" numFmtId="0" xfId="0" applyFont="1"/>
    <xf borderId="2" fillId="0" fontId="3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" fillId="3" fontId="2" numFmtId="0" xfId="0" applyBorder="1" applyFont="1"/>
    <xf borderId="0" fillId="3" fontId="2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3" fillId="5" fontId="3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horizontal="center" readingOrder="0"/>
    </xf>
    <xf borderId="1" fillId="6" fontId="2" numFmtId="0" xfId="0" applyBorder="1" applyFont="1"/>
    <xf borderId="3" fillId="6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1" xfId="0" applyFont="1" applyNumberFormat="1"/>
    <xf borderId="0" fillId="0" fontId="2" numFmtId="2" xfId="0" applyFont="1" applyNumberFormat="1"/>
    <xf borderId="0" fillId="5" fontId="3" numFmtId="0" xfId="0" applyAlignment="1" applyFont="1">
      <alignment horizontal="center" readingOrder="0"/>
    </xf>
    <xf borderId="0" fillId="5" fontId="2" numFmtId="0" xfId="0" applyFont="1"/>
    <xf borderId="0" fillId="7" fontId="2" numFmtId="0" xfId="0" applyFill="1" applyFont="1"/>
    <xf borderId="1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2" numFmtId="0" xfId="0" applyBorder="1" applyFont="1"/>
    <xf borderId="8" fillId="0" fontId="2" numFmtId="0" xfId="0" applyAlignment="1" applyBorder="1" applyFont="1">
      <alignment readingOrder="0"/>
    </xf>
    <xf borderId="0" fillId="6" fontId="3" numFmtId="0" xfId="0" applyAlignment="1" applyFont="1">
      <alignment horizontal="center" readingOrder="0"/>
    </xf>
    <xf borderId="0" fillId="6" fontId="2" numFmtId="0" xfId="0" applyFont="1"/>
    <xf borderId="1" fillId="0" fontId="2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0" fillId="2" fontId="6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1" fillId="0" fontId="2" numFmtId="0" xfId="0" applyBorder="1" applyFont="1"/>
    <xf borderId="10" fillId="0" fontId="3" numFmtId="0" xfId="0" applyAlignment="1" applyBorder="1" applyFont="1">
      <alignment readingOrder="0"/>
    </xf>
    <xf borderId="8" fillId="0" fontId="2" numFmtId="0" xfId="0" applyBorder="1" applyFont="1"/>
    <xf borderId="8" fillId="0" fontId="5" numFmtId="0" xfId="0" applyBorder="1" applyFont="1"/>
    <xf borderId="8" fillId="2" fontId="6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8" fillId="0" fontId="2" numFmtId="1" xfId="0" applyBorder="1" applyFont="1" applyNumberFormat="1"/>
    <xf borderId="0" fillId="0" fontId="5" numFmtId="0" xfId="0" applyFont="1"/>
    <xf borderId="1" fillId="8" fontId="2" numFmtId="0" xfId="0" applyAlignment="1" applyBorder="1" applyFill="1" applyFont="1">
      <alignment readingOrder="0"/>
    </xf>
    <xf borderId="0" fillId="0" fontId="8" numFmtId="0" xfId="0" applyAlignment="1" applyFont="1">
      <alignment horizontal="center" readingOrder="0"/>
    </xf>
    <xf borderId="0" fillId="9" fontId="9" numFmtId="0" xfId="0" applyFill="1" applyFont="1"/>
    <xf borderId="0" fillId="2" fontId="7" numFmtId="0" xfId="0" applyAlignment="1" applyFont="1">
      <alignment horizontal="right" readingOrder="0"/>
    </xf>
    <xf borderId="0" fillId="0" fontId="3" numFmtId="9" xfId="0" applyAlignment="1" applyFont="1" applyNumberFormat="1">
      <alignment readingOrder="0"/>
    </xf>
    <xf borderId="0" fillId="9" fontId="2" numFmtId="0" xfId="0" applyFont="1"/>
    <xf borderId="0" fillId="0" fontId="2" numFmtId="9" xfId="0" applyFont="1" applyNumberFormat="1"/>
    <xf borderId="0" fillId="0" fontId="6" numFmtId="0" xfId="0" applyAlignment="1" applyFont="1">
      <alignment readingOrder="0"/>
    </xf>
    <xf borderId="0" fillId="8" fontId="10" numFmtId="0" xfId="0" applyAlignment="1" applyFont="1">
      <alignment readingOrder="0"/>
    </xf>
    <xf borderId="0" fillId="8" fontId="5" numFmtId="0" xfId="0" applyFont="1"/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6" fillId="0" fontId="2" numFmtId="9" xfId="0" applyAlignment="1" applyBorder="1" applyFont="1" applyNumberFormat="1">
      <alignment readingOrder="0"/>
    </xf>
    <xf borderId="13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3" xfId="0" applyBorder="1" applyFont="1" applyNumberFormat="1"/>
    <xf borderId="6" fillId="0" fontId="2" numFmtId="3" xfId="0" applyBorder="1" applyFont="1" applyNumberFormat="1"/>
    <xf borderId="6" fillId="0" fontId="2" numFmtId="3" xfId="0" applyAlignment="1" applyBorder="1" applyFont="1" applyNumberFormat="1">
      <alignment readingOrder="0"/>
    </xf>
    <xf borderId="7" fillId="3" fontId="2" numFmtId="3" xfId="0" applyAlignment="1" applyBorder="1" applyFont="1" applyNumberFormat="1">
      <alignment readingOrder="0"/>
    </xf>
    <xf borderId="0" fillId="10" fontId="11" numFmtId="0" xfId="0" applyAlignment="1" applyFill="1" applyFont="1">
      <alignment horizontal="center" readingOrder="0"/>
    </xf>
    <xf borderId="0" fillId="0" fontId="11" numFmtId="0" xfId="0" applyAlignment="1" applyFont="1">
      <alignment horizontal="left" readingOrder="0"/>
    </xf>
    <xf borderId="0" fillId="11" fontId="10" numFmtId="0" xfId="0" applyAlignment="1" applyFill="1" applyFont="1">
      <alignment readingOrder="0"/>
    </xf>
    <xf borderId="0" fillId="11" fontId="5" numFmtId="0" xfId="0" applyFont="1"/>
    <xf borderId="0" fillId="0" fontId="10" numFmtId="0" xfId="0" applyAlignment="1" applyFont="1">
      <alignment readingOrder="0"/>
    </xf>
    <xf borderId="12" fillId="0" fontId="2" numFmtId="0" xfId="0" applyBorder="1" applyFont="1"/>
    <xf borderId="5" fillId="0" fontId="5" numFmtId="0" xfId="0" applyAlignment="1" applyBorder="1" applyFont="1">
      <alignment readingOrder="0"/>
    </xf>
    <xf borderId="6" fillId="0" fontId="5" numFmtId="0" xfId="0" applyBorder="1" applyFont="1"/>
    <xf borderId="7" fillId="3" fontId="2" numFmtId="0" xfId="0" applyAlignment="1" applyBorder="1" applyFont="1">
      <alignment readingOrder="0"/>
    </xf>
    <xf borderId="0" fillId="6" fontId="10" numFmtId="0" xfId="0" applyAlignment="1" applyFont="1">
      <alignment readingOrder="0"/>
    </xf>
    <xf borderId="0" fillId="6" fontId="5" numFmtId="0" xfId="0" applyFont="1"/>
    <xf borderId="6" fillId="0" fontId="2" numFmtId="1" xfId="0" applyAlignment="1" applyBorder="1" applyFont="1" applyNumberFormat="1">
      <alignment readingOrder="0"/>
    </xf>
    <xf borderId="7" fillId="3" fontId="2" numFmtId="1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6" fillId="0" fontId="5" numFmtId="3" xfId="0" applyBorder="1" applyFont="1" applyNumberFormat="1"/>
    <xf borderId="0" fillId="12" fontId="12" numFmtId="0" xfId="0" applyAlignment="1" applyFill="1" applyFont="1">
      <alignment readingOrder="0"/>
    </xf>
    <xf borderId="0" fillId="12" fontId="13" numFmtId="0" xfId="0" applyAlignment="1" applyFont="1">
      <alignment readingOrder="0"/>
    </xf>
    <xf borderId="0" fillId="12" fontId="13" numFmtId="0" xfId="0" applyFont="1"/>
    <xf borderId="0" fillId="12" fontId="12" numFmtId="0" xfId="0" applyFont="1"/>
    <xf borderId="0" fillId="0" fontId="13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13" fontId="11" numFmtId="0" xfId="0" applyAlignment="1" applyFill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1" fillId="4" fontId="2" numFmtId="0" xfId="0" applyAlignment="1" applyBorder="1" applyFont="1">
      <alignment readingOrder="0"/>
    </xf>
    <xf borderId="12" fillId="4" fontId="2" numFmtId="0" xfId="0" applyAlignment="1" applyBorder="1" applyFont="1">
      <alignment readingOrder="0"/>
    </xf>
    <xf borderId="0" fillId="4" fontId="2" numFmtId="0" xfId="0" applyFont="1"/>
    <xf borderId="0" fillId="4" fontId="5" numFmtId="0" xfId="0" applyFont="1"/>
    <xf borderId="5" fillId="4" fontId="2" numFmtId="0" xfId="0" applyAlignment="1" applyBorder="1" applyFont="1">
      <alignment readingOrder="0"/>
    </xf>
    <xf borderId="6" fillId="4" fontId="2" numFmtId="9" xfId="0" applyAlignment="1" applyBorder="1" applyFont="1" applyNumberFormat="1">
      <alignment readingOrder="0"/>
    </xf>
    <xf borderId="0" fillId="4" fontId="3" numFmtId="0" xfId="0" applyAlignment="1" applyFont="1">
      <alignment readingOrder="0"/>
    </xf>
    <xf borderId="13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9" fillId="4" fontId="2" numFmtId="0" xfId="0" applyAlignment="1" applyBorder="1" applyFont="1">
      <alignment readingOrder="0"/>
    </xf>
    <xf borderId="9" fillId="4" fontId="2" numFmtId="0" xfId="0" applyAlignment="1" applyBorder="1" applyFont="1">
      <alignment horizontal="center" readingOrder="0"/>
    </xf>
    <xf borderId="11" fillId="4" fontId="2" numFmtId="0" xfId="0" applyAlignment="1" applyBorder="1" applyFont="1">
      <alignment readingOrder="0"/>
    </xf>
    <xf borderId="6" fillId="4" fontId="2" numFmtId="0" xfId="0" applyAlignment="1" applyBorder="1" applyFont="1">
      <alignment readingOrder="0"/>
    </xf>
    <xf borderId="12" fillId="4" fontId="2" numFmtId="0" xfId="0" applyBorder="1" applyFont="1"/>
    <xf borderId="5" fillId="4" fontId="5" numFmtId="0" xfId="0" applyAlignment="1" applyBorder="1" applyFont="1">
      <alignment readingOrder="0"/>
    </xf>
    <xf borderId="6" fillId="4" fontId="5" numFmtId="0" xfId="0" applyBorder="1" applyFont="1"/>
    <xf borderId="1" fillId="4" fontId="2" numFmtId="0" xfId="0" applyAlignment="1" applyBorder="1" applyFont="1">
      <alignment readingOrder="0"/>
    </xf>
    <xf borderId="1" fillId="4" fontId="2" numFmtId="0" xfId="0" applyBorder="1" applyFont="1"/>
    <xf borderId="12" fillId="0" fontId="2" numFmtId="1" xfId="0" applyBorder="1" applyFont="1" applyNumberFormat="1"/>
    <xf borderId="6" fillId="0" fontId="5" numFmtId="1" xfId="0" applyBorder="1" applyFont="1" applyNumberFormat="1"/>
    <xf borderId="6" fillId="0" fontId="2" numFmtId="1" xfId="0" applyBorder="1" applyFont="1" applyNumberFormat="1"/>
    <xf borderId="0" fillId="14" fontId="11" numFmtId="0" xfId="0" applyAlignment="1" applyFill="1" applyFont="1">
      <alignment horizontal="center" readingOrder="0"/>
    </xf>
    <xf borderId="6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7" fillId="0" fontId="5" numFmtId="0" xfId="0" applyBorder="1" applyFont="1"/>
    <xf borderId="0" fillId="15" fontId="5" numFmtId="0" xfId="0" applyAlignment="1" applyFill="1" applyFont="1">
      <alignment readingOrder="0"/>
    </xf>
    <xf borderId="6" fillId="15" fontId="2" numFmtId="0" xfId="0" applyAlignment="1" applyBorder="1" applyFont="1">
      <alignment readingOrder="0"/>
    </xf>
    <xf borderId="7" fillId="0" fontId="2" numFmtId="0" xfId="0" applyBorder="1" applyFont="1"/>
    <xf borderId="2" fillId="0" fontId="10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0" fontId="10" numFmtId="0" xfId="0" applyAlignment="1" applyFont="1">
      <alignment horizontal="center" readingOrder="0"/>
    </xf>
    <xf borderId="10" fillId="0" fontId="5" numFmtId="0" xfId="0" applyAlignment="1" applyBorder="1" applyFont="1">
      <alignment readingOrder="0"/>
    </xf>
    <xf borderId="10" fillId="0" fontId="5" numFmtId="0" xfId="0" applyBorder="1" applyFont="1"/>
    <xf borderId="10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0" fillId="0" fontId="5" numFmtId="0" xfId="0" applyAlignment="1" applyFont="1">
      <alignment horizontal="left"/>
    </xf>
    <xf borderId="2" fillId="4" fontId="10" numFmtId="0" xfId="0" applyAlignment="1" applyBorder="1" applyFont="1">
      <alignment horizontal="center" readingOrder="0"/>
    </xf>
    <xf borderId="10" fillId="4" fontId="5" numFmtId="0" xfId="0" applyAlignment="1" applyBorder="1" applyFont="1">
      <alignment readingOrder="0"/>
    </xf>
    <xf borderId="10" fillId="4" fontId="5" numFmtId="0" xfId="0" applyBorder="1" applyFont="1"/>
    <xf borderId="10" fillId="4" fontId="2" numFmtId="0" xfId="0" applyAlignment="1" applyBorder="1" applyFont="1">
      <alignment readingOrder="0"/>
    </xf>
    <xf borderId="0" fillId="4" fontId="10" numFmtId="0" xfId="0" applyAlignment="1" applyFont="1">
      <alignment readingOrder="0"/>
    </xf>
    <xf borderId="1" fillId="4" fontId="3" numFmtId="0" xfId="0" applyAlignment="1" applyBorder="1" applyFont="1">
      <alignment readingOrder="0"/>
    </xf>
    <xf borderId="1" fillId="4" fontId="2" numFmtId="0" xfId="0" applyAlignment="1" applyBorder="1" applyFont="1">
      <alignment horizontal="left" readingOrder="0"/>
    </xf>
    <xf borderId="0" fillId="4" fontId="2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1" fillId="4" fontId="5" numFmtId="0" xfId="0" applyAlignment="1" applyBorder="1" applyFont="1">
      <alignment horizontal="left" readingOrder="0"/>
    </xf>
    <xf borderId="0" fillId="4" fontId="5" numFmtId="0" xfId="0" applyAlignment="1" applyFont="1">
      <alignment horizontal="left"/>
    </xf>
    <xf borderId="10" fillId="0" fontId="2" numFmtId="0" xfId="0" applyAlignment="1" applyBorder="1" applyFont="1">
      <alignment readingOrder="0"/>
    </xf>
    <xf borderId="10" fillId="16" fontId="5" numFmtId="0" xfId="0" applyBorder="1" applyFill="1" applyFont="1"/>
    <xf borderId="10" fillId="15" fontId="5" numFmtId="0" xfId="0" applyBorder="1" applyFont="1"/>
    <xf borderId="10" fillId="17" fontId="5" numFmtId="0" xfId="0" applyBorder="1" applyFill="1" applyFont="1"/>
    <xf borderId="14" fillId="0" fontId="5" numFmtId="0" xfId="0" applyAlignment="1" applyBorder="1" applyFont="1">
      <alignment readingOrder="0"/>
    </xf>
    <xf borderId="14" fillId="16" fontId="5" numFmtId="0" xfId="0" applyBorder="1" applyFont="1"/>
    <xf borderId="14" fillId="15" fontId="5" numFmtId="0" xfId="0" applyBorder="1" applyFont="1"/>
    <xf borderId="14" fillId="17" fontId="5" numFmtId="0" xfId="0" applyBorder="1" applyFont="1"/>
    <xf borderId="14" fillId="0" fontId="5" numFmtId="0" xfId="0" applyBorder="1" applyFont="1"/>
    <xf borderId="15" fillId="12" fontId="10" numFmtId="0" xfId="0" applyAlignment="1" applyBorder="1" applyFont="1">
      <alignment readingOrder="0"/>
    </xf>
    <xf borderId="15" fillId="12" fontId="5" numFmtId="0" xfId="0" applyBorder="1" applyFont="1"/>
    <xf borderId="15" fillId="5" fontId="5" numFmtId="0" xfId="0" applyBorder="1" applyFont="1"/>
    <xf borderId="15" fillId="18" fontId="5" numFmtId="0" xfId="0" applyBorder="1" applyFill="1" applyFont="1"/>
    <xf borderId="15" fillId="7" fontId="5" numFmtId="0" xfId="0" applyBorder="1" applyFont="1"/>
    <xf borderId="10" fillId="12" fontId="5" numFmtId="0" xfId="0" applyBorder="1" applyFont="1"/>
    <xf borderId="10" fillId="12" fontId="5" numFmtId="0" xfId="0" applyAlignment="1" applyBorder="1" applyFont="1">
      <alignment horizontal="center" readingOrder="0"/>
    </xf>
    <xf borderId="16" fillId="0" fontId="2" numFmtId="0" xfId="0" applyAlignment="1" applyBorder="1" applyFont="1">
      <alignment readingOrder="0"/>
    </xf>
    <xf borderId="16" fillId="0" fontId="5" numFmtId="0" xfId="0" applyAlignment="1" applyBorder="1" applyFont="1">
      <alignment horizontal="right" readingOrder="0"/>
    </xf>
    <xf borderId="16" fillId="16" fontId="5" numFmtId="0" xfId="0" applyBorder="1" applyFont="1"/>
    <xf borderId="16" fillId="15" fontId="5" numFmtId="0" xfId="0" applyBorder="1" applyFont="1"/>
    <xf borderId="16" fillId="17" fontId="5" numFmtId="0" xfId="0" applyBorder="1" applyFont="1"/>
    <xf borderId="16" fillId="0" fontId="5" numFmtId="0" xfId="0" applyBorder="1" applyFont="1"/>
    <xf borderId="10" fillId="0" fontId="5" numFmtId="0" xfId="0" applyAlignment="1" applyBorder="1" applyFont="1">
      <alignment horizontal="right" readingOrder="0"/>
    </xf>
    <xf borderId="14" fillId="0" fontId="2" numFmtId="0" xfId="0" applyAlignment="1" applyBorder="1" applyFont="1">
      <alignment readingOrder="0"/>
    </xf>
    <xf borderId="14" fillId="0" fontId="2" numFmtId="0" xfId="0" applyAlignment="1" applyBorder="1" applyFont="1">
      <alignment horizontal="right" readingOrder="0"/>
    </xf>
    <xf borderId="15" fillId="12" fontId="5" numFmtId="0" xfId="0" applyAlignment="1" applyBorder="1" applyFont="1">
      <alignment horizontal="right"/>
    </xf>
    <xf borderId="15" fillId="5" fontId="2" numFmtId="0" xfId="0" applyAlignment="1" applyBorder="1" applyFont="1">
      <alignment readingOrder="0"/>
    </xf>
    <xf borderId="15" fillId="18" fontId="2" numFmtId="0" xfId="0" applyAlignment="1" applyBorder="1" applyFont="1">
      <alignment readingOrder="0"/>
    </xf>
    <xf borderId="15" fillId="7" fontId="2" numFmtId="0" xfId="0" applyAlignment="1" applyBorder="1" applyFont="1">
      <alignment horizontal="right" readingOrder="0"/>
    </xf>
    <xf borderId="15" fillId="12" fontId="2" numFmtId="0" xfId="0" applyAlignment="1" applyBorder="1" applyFont="1">
      <alignment readingOrder="0"/>
    </xf>
    <xf borderId="16" fillId="0" fontId="2" numFmtId="0" xfId="0" applyAlignment="1" applyBorder="1" applyFont="1">
      <alignment horizontal="right" readingOrder="0"/>
    </xf>
    <xf borderId="14" fillId="0" fontId="5" numFmtId="0" xfId="0" applyAlignment="1" applyBorder="1" applyFont="1">
      <alignment horizontal="right" readingOrder="0"/>
    </xf>
    <xf borderId="15" fillId="12" fontId="2" numFmtId="0" xfId="0" applyAlignment="1" applyBorder="1" applyFont="1">
      <alignment horizontal="right"/>
    </xf>
    <xf borderId="10" fillId="12" fontId="2" numFmtId="0" xfId="0" applyAlignment="1" applyBorder="1" applyFont="1">
      <alignment horizontal="center" readingOrder="0"/>
    </xf>
    <xf borderId="0" fillId="13" fontId="10" numFmtId="0" xfId="0" applyAlignment="1" applyFont="1">
      <alignment readingOrder="0"/>
    </xf>
    <xf borderId="0" fillId="13" fontId="5" numFmtId="0" xfId="0" applyFont="1"/>
    <xf borderId="12" fillId="0" fontId="5" numFmtId="0" xfId="0" applyAlignment="1" applyBorder="1" applyFont="1">
      <alignment readingOrder="0"/>
    </xf>
    <xf borderId="0" fillId="3" fontId="10" numFmtId="0" xfId="0" applyAlignment="1" applyFont="1">
      <alignment readingOrder="0"/>
    </xf>
    <xf borderId="0" fillId="3" fontId="5" numFmtId="0" xfId="0" applyFont="1"/>
    <xf borderId="2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2" fillId="8" fontId="10" numFmtId="0" xfId="0" applyAlignment="1" applyBorder="1" applyFont="1">
      <alignment horizontal="center" readingOrder="0"/>
    </xf>
    <xf borderId="2" fillId="14" fontId="10" numFmtId="0" xfId="0" applyAlignment="1" applyBorder="1" applyFont="1">
      <alignment horizontal="center" readingOrder="0"/>
    </xf>
    <xf borderId="2" fillId="6" fontId="10" numFmtId="0" xfId="0" applyAlignment="1" applyBorder="1" applyFont="1">
      <alignment horizontal="center" readingOrder="0"/>
    </xf>
    <xf borderId="2" fillId="3" fontId="10" numFmtId="0" xfId="0" applyAlignment="1" applyBorder="1" applyFont="1">
      <alignment horizontal="center" readingOrder="0"/>
    </xf>
    <xf borderId="10" fillId="15" fontId="5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0" fillId="19" fontId="11" numFmtId="0" xfId="0" applyAlignment="1" applyFill="1" applyFont="1">
      <alignment horizontal="center" readingOrder="0"/>
    </xf>
    <xf borderId="0" fillId="0" fontId="2" numFmtId="0" xfId="0" applyAlignment="1" applyFont="1">
      <alignment horizontal="right" readingOrder="0"/>
    </xf>
    <xf borderId="14" fillId="4" fontId="5" numFmtId="0" xfId="0" applyAlignment="1" applyBorder="1" applyFont="1">
      <alignment readingOrder="0"/>
    </xf>
    <xf borderId="15" fillId="4" fontId="10" numFmtId="0" xfId="0" applyAlignment="1" applyBorder="1" applyFont="1">
      <alignment readingOrder="0"/>
    </xf>
    <xf borderId="15" fillId="4" fontId="5" numFmtId="0" xfId="0" applyBorder="1" applyFont="1"/>
    <xf borderId="16" fillId="4" fontId="2" numFmtId="0" xfId="0" applyAlignment="1" applyBorder="1" applyFont="1">
      <alignment readingOrder="0"/>
    </xf>
    <xf borderId="10" fillId="20" fontId="5" numFmtId="0" xfId="0" applyAlignment="1" applyBorder="1" applyFill="1" applyFont="1">
      <alignment readingOrder="0"/>
    </xf>
    <xf borderId="15" fillId="19" fontId="2" numFmtId="0" xfId="0" applyAlignment="1" applyBorder="1" applyFont="1">
      <alignment readingOrder="0"/>
    </xf>
    <xf borderId="0" fillId="0" fontId="14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1" fillId="3" fontId="5" numFmtId="0" xfId="0" applyAlignment="1" applyBorder="1" applyFont="1">
      <alignment readingOrder="0"/>
    </xf>
    <xf borderId="0" fillId="6" fontId="5" numFmtId="0" xfId="0" applyAlignment="1" applyFont="1">
      <alignment readingOrder="0"/>
    </xf>
    <xf borderId="1" fillId="0" fontId="5" numFmtId="0" xfId="0" applyBorder="1" applyFont="1"/>
    <xf borderId="9" fillId="0" fontId="10" numFmtId="0" xfId="0" applyAlignment="1" applyBorder="1" applyFont="1">
      <alignment readingOrder="0"/>
    </xf>
    <xf borderId="9" fillId="0" fontId="10" numFmtId="0" xfId="0" applyBorder="1" applyFont="1"/>
    <xf borderId="1" fillId="6" fontId="5" numFmtId="0" xfId="0" applyAlignment="1" applyBorder="1" applyFont="1">
      <alignment readingOrder="0"/>
    </xf>
    <xf borderId="1" fillId="6" fontId="5" numFmtId="0" xfId="0" applyBorder="1" applyFont="1"/>
    <xf borderId="1" fillId="8" fontId="5" numFmtId="0" xfId="0" applyAlignment="1" applyBorder="1" applyFont="1">
      <alignment readingOrder="0"/>
    </xf>
    <xf borderId="1" fillId="8" fontId="5" numFmtId="0" xfId="0" applyBorder="1" applyFont="1"/>
    <xf borderId="0" fillId="0" fontId="5" numFmtId="1" xfId="0" applyFont="1" applyNumberFormat="1"/>
    <xf borderId="9" fillId="0" fontId="10" numFmtId="1" xfId="0" applyBorder="1" applyFont="1" applyNumberFormat="1"/>
    <xf borderId="1" fillId="20" fontId="5" numFmtId="0" xfId="0" applyAlignment="1" applyBorder="1" applyFont="1">
      <alignment readingOrder="0"/>
    </xf>
    <xf borderId="1" fillId="20" fontId="5" numFmtId="0" xfId="0" applyBorder="1" applyFont="1"/>
    <xf borderId="1" fillId="0" fontId="5" numFmtId="1" xfId="0" applyBorder="1" applyFont="1" applyNumberFormat="1"/>
    <xf borderId="0" fillId="0" fontId="10" numFmtId="0" xfId="0" applyFont="1"/>
    <xf borderId="10" fillId="3" fontId="5" numFmtId="0" xfId="0" applyAlignment="1" applyBorder="1" applyFont="1">
      <alignment readingOrder="0"/>
    </xf>
    <xf borderId="10" fillId="0" fontId="5" numFmtId="164" xfId="0" applyBorder="1" applyFont="1" applyNumberFormat="1"/>
    <xf borderId="10" fillId="6" fontId="5" numFmtId="0" xfId="0" applyAlignment="1" applyBorder="1" applyFont="1">
      <alignment readingOrder="0"/>
    </xf>
    <xf borderId="10" fillId="0" fontId="5" numFmtId="1" xfId="0" applyBorder="1" applyFont="1" applyNumberFormat="1"/>
    <xf borderId="10" fillId="8" fontId="5" numFmtId="0" xfId="0" applyAlignment="1" applyBorder="1" applyFont="1">
      <alignment readingOrder="0"/>
    </xf>
    <xf borderId="10" fillId="0" fontId="5" numFmtId="3" xfId="0" applyAlignment="1" applyBorder="1" applyFont="1" applyNumberFormat="1">
      <alignment readingOrder="0"/>
    </xf>
    <xf borderId="10" fillId="0" fontId="5" numFmtId="3" xfId="0" applyBorder="1" applyFont="1" applyNumberFormat="1"/>
    <xf borderId="0" fillId="0" fontId="5" numFmtId="3" xfId="0" applyAlignment="1" applyFont="1" applyNumberFormat="1">
      <alignment readingOrder="0"/>
    </xf>
    <xf borderId="1" fillId="0" fontId="5" numFmtId="3" xfId="0" applyAlignment="1" applyBorder="1" applyFont="1" applyNumberFormat="1">
      <alignment readingOrder="0"/>
    </xf>
    <xf borderId="0" fillId="0" fontId="5" numFmtId="3" xfId="0" applyFont="1" applyNumberFormat="1"/>
    <xf borderId="9" fillId="0" fontId="5" numFmtId="0" xfId="0" applyBorder="1" applyFont="1"/>
    <xf borderId="0" fillId="0" fontId="10" numFmtId="3" xfId="0" applyFont="1" applyNumberFormat="1"/>
    <xf borderId="2" fillId="11" fontId="5" numFmtId="0" xfId="0" applyAlignment="1" applyBorder="1" applyFont="1">
      <alignment readingOrder="0"/>
    </xf>
    <xf borderId="0" fillId="0" fontId="5" numFmtId="0" xfId="0" applyFont="1"/>
    <xf borderId="2" fillId="6" fontId="5" numFmtId="0" xfId="0" applyAlignment="1" applyBorder="1" applyFont="1">
      <alignment readingOrder="0"/>
    </xf>
    <xf borderId="2" fillId="8" fontId="5" numFmtId="0" xfId="0" applyAlignment="1" applyBorder="1" applyFont="1">
      <alignment readingOrder="0"/>
    </xf>
    <xf borderId="10" fillId="12" fontId="5" numFmtId="3" xfId="0" applyAlignment="1" applyBorder="1" applyFont="1" applyNumberFormat="1">
      <alignment readingOrder="0"/>
    </xf>
    <xf borderId="10" fillId="12" fontId="5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/>
    </xf>
    <xf borderId="7" fillId="0" fontId="10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8" fillId="4" fontId="5" numFmtId="0" xfId="0" applyBorder="1" applyFont="1"/>
    <xf borderId="8" fillId="0" fontId="5" numFmtId="1" xfId="0" applyAlignment="1" applyBorder="1" applyFont="1" applyNumberFormat="1">
      <alignment readingOrder="0"/>
    </xf>
    <xf borderId="8" fillId="4" fontId="5" numFmtId="1" xfId="0" applyAlignment="1" applyBorder="1" applyFont="1" applyNumberFormat="1">
      <alignment readingOrder="0"/>
    </xf>
    <xf borderId="12" fillId="0" fontId="10" numFmtId="0" xfId="0" applyAlignment="1" applyBorder="1" applyFont="1">
      <alignment readingOrder="0"/>
    </xf>
    <xf borderId="14" fillId="0" fontId="10" numFmtId="1" xfId="0" applyBorder="1" applyFont="1" applyNumberFormat="1"/>
    <xf borderId="8" fillId="0" fontId="5" numFmtId="0" xfId="0" applyAlignment="1" applyBorder="1" applyFont="1">
      <alignment readingOrder="0"/>
    </xf>
    <xf borderId="14" fillId="0" fontId="10" numFmtId="0" xfId="0" applyBorder="1" applyFont="1"/>
    <xf borderId="0" fillId="2" fontId="15" numFmtId="0" xfId="0" applyAlignment="1" applyFont="1">
      <alignment readingOrder="0"/>
    </xf>
    <xf borderId="10" fillId="21" fontId="10" numFmtId="0" xfId="0" applyAlignment="1" applyBorder="1" applyFill="1" applyFont="1">
      <alignment readingOrder="0"/>
    </xf>
    <xf borderId="10" fillId="22" fontId="5" numFmtId="0" xfId="0" applyAlignment="1" applyBorder="1" applyFill="1" applyFont="1">
      <alignment readingOrder="0"/>
    </xf>
    <xf borderId="10" fillId="22" fontId="5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3"/>
      <c r="G2" s="2"/>
      <c r="H2" s="3"/>
      <c r="I2" s="2"/>
      <c r="J2" s="3"/>
      <c r="K2" s="2"/>
      <c r="L2" s="3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idden="1">
      <c r="A5" s="3" t="s">
        <v>3</v>
      </c>
      <c r="B5" s="3">
        <v>39000.0</v>
      </c>
      <c r="C5" s="2"/>
      <c r="D5" s="7" t="s">
        <v>4</v>
      </c>
      <c r="E5" s="7" t="s">
        <v>5</v>
      </c>
      <c r="F5" s="7" t="s">
        <v>6</v>
      </c>
      <c r="G5" s="7" t="s">
        <v>5</v>
      </c>
      <c r="H5" s="7" t="s">
        <v>7</v>
      </c>
      <c r="I5" s="7" t="s">
        <v>5</v>
      </c>
      <c r="J5" s="7" t="s">
        <v>8</v>
      </c>
      <c r="K5" s="7" t="s">
        <v>5</v>
      </c>
      <c r="L5" s="7" t="s">
        <v>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idden="1">
      <c r="A6" s="3" t="s">
        <v>10</v>
      </c>
      <c r="B6" s="8">
        <v>0.5</v>
      </c>
      <c r="C6" s="2"/>
      <c r="D6" s="3" t="s">
        <v>11</v>
      </c>
      <c r="E6" s="3">
        <v>9.0</v>
      </c>
      <c r="F6" s="9">
        <f t="shared" ref="F6:F9" si="1">E6*$B$18</f>
        <v>18</v>
      </c>
      <c r="G6" s="3">
        <v>9.0</v>
      </c>
      <c r="H6" s="9">
        <f t="shared" ref="H6:H9" si="2">G6*$B$18</f>
        <v>18</v>
      </c>
      <c r="I6" s="9">
        <v>8.0</v>
      </c>
      <c r="J6" s="9">
        <f t="shared" ref="J6:J9" si="3">I6*$B$18</f>
        <v>16</v>
      </c>
      <c r="K6" s="9">
        <v>8.0</v>
      </c>
      <c r="L6" s="9">
        <f t="shared" ref="L6:L9" si="4">K6*$B$18</f>
        <v>16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idden="1">
      <c r="A7" s="3" t="s">
        <v>12</v>
      </c>
      <c r="B7" s="2">
        <f>B5*B6</f>
        <v>19500</v>
      </c>
      <c r="C7" s="2"/>
      <c r="D7" s="3" t="s">
        <v>13</v>
      </c>
      <c r="E7" s="3">
        <v>7.0</v>
      </c>
      <c r="F7" s="9">
        <f t="shared" si="1"/>
        <v>14</v>
      </c>
      <c r="G7" s="3">
        <v>9.0</v>
      </c>
      <c r="H7" s="9">
        <f t="shared" si="2"/>
        <v>18</v>
      </c>
      <c r="I7" s="9">
        <v>8.0</v>
      </c>
      <c r="J7" s="9">
        <f t="shared" si="3"/>
        <v>16</v>
      </c>
      <c r="K7" s="9">
        <v>6.0</v>
      </c>
      <c r="L7" s="9">
        <f t="shared" si="4"/>
        <v>12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idden="1">
      <c r="A8" s="2"/>
      <c r="B8" s="2"/>
      <c r="C8" s="2"/>
      <c r="D8" s="3" t="s">
        <v>14</v>
      </c>
      <c r="E8" s="3">
        <v>3.0</v>
      </c>
      <c r="F8" s="9">
        <f t="shared" si="1"/>
        <v>6</v>
      </c>
      <c r="G8" s="3">
        <v>4.0</v>
      </c>
      <c r="H8" s="9">
        <f t="shared" si="2"/>
        <v>8</v>
      </c>
      <c r="I8" s="9">
        <v>4.0</v>
      </c>
      <c r="J8" s="9">
        <f t="shared" si="3"/>
        <v>8</v>
      </c>
      <c r="K8" s="9">
        <v>5.0</v>
      </c>
      <c r="L8" s="9">
        <f t="shared" si="4"/>
        <v>10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idden="1">
      <c r="A9" s="10" t="s">
        <v>15</v>
      </c>
      <c r="B9" s="3">
        <v>14.0</v>
      </c>
      <c r="C9" s="3"/>
      <c r="D9" s="3" t="s">
        <v>16</v>
      </c>
      <c r="E9" s="3">
        <v>1.0</v>
      </c>
      <c r="F9" s="9">
        <f t="shared" si="1"/>
        <v>2</v>
      </c>
      <c r="G9" s="3">
        <v>5.0</v>
      </c>
      <c r="H9" s="9">
        <f t="shared" si="2"/>
        <v>10</v>
      </c>
      <c r="I9" s="9">
        <v>4.0</v>
      </c>
      <c r="J9" s="9">
        <f t="shared" si="3"/>
        <v>8</v>
      </c>
      <c r="K9" s="9">
        <v>2.0</v>
      </c>
      <c r="L9" s="9">
        <f t="shared" si="4"/>
        <v>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idden="1">
      <c r="A10" s="3" t="s">
        <v>17</v>
      </c>
      <c r="B10" s="3">
        <v>3.0</v>
      </c>
      <c r="C10" s="3"/>
      <c r="D10" s="7"/>
      <c r="E10" s="2"/>
      <c r="F10" s="2"/>
      <c r="G10" s="2"/>
      <c r="H10" s="2"/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idden="1">
      <c r="A11" s="3" t="s">
        <v>18</v>
      </c>
      <c r="B11" s="2">
        <f>SUM(B9:B10)</f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idden="1">
      <c r="A12" s="2"/>
      <c r="B12" s="2"/>
      <c r="C12" s="2"/>
      <c r="D12" s="12"/>
      <c r="E12" s="13"/>
      <c r="F12" s="14" t="s">
        <v>1</v>
      </c>
      <c r="G12" s="14" t="s">
        <v>1</v>
      </c>
      <c r="H12" s="14" t="s">
        <v>1</v>
      </c>
      <c r="I12" s="14" t="s">
        <v>1</v>
      </c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idden="1">
      <c r="A13" s="3" t="s">
        <v>19</v>
      </c>
      <c r="B13" s="2">
        <f>(B9*B5)+(B10*(B5/2))</f>
        <v>604500</v>
      </c>
      <c r="C13" s="2"/>
      <c r="D13" s="16" t="s">
        <v>4</v>
      </c>
      <c r="E13" s="17" t="s">
        <v>20</v>
      </c>
      <c r="F13" s="7" t="s">
        <v>6</v>
      </c>
      <c r="G13" s="7" t="s">
        <v>7</v>
      </c>
      <c r="H13" s="7" t="s">
        <v>8</v>
      </c>
      <c r="I13" s="7" t="s">
        <v>9</v>
      </c>
      <c r="J13" s="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idden="1">
      <c r="A14" s="3" t="s">
        <v>21</v>
      </c>
      <c r="B14" s="2">
        <f>B13*$B$6</f>
        <v>302250</v>
      </c>
      <c r="C14" s="2"/>
      <c r="D14" s="19" t="s">
        <v>11</v>
      </c>
      <c r="E14" s="20">
        <v>2200.0</v>
      </c>
      <c r="F14" s="2">
        <f t="shared" ref="F14:F16" si="5">F6*E14</f>
        <v>39600</v>
      </c>
      <c r="G14" s="2">
        <f>H6*$E$14</f>
        <v>39600</v>
      </c>
      <c r="H14" s="2">
        <f t="shared" ref="H14:H17" si="6">J6*E14</f>
        <v>35200</v>
      </c>
      <c r="I14" s="2">
        <f t="shared" ref="I14:I17" si="7">L6*E14</f>
        <v>35200</v>
      </c>
      <c r="J14" s="2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idden="1">
      <c r="A15" s="3" t="s">
        <v>12</v>
      </c>
      <c r="B15" s="2">
        <f>B13-B14</f>
        <v>302250</v>
      </c>
      <c r="C15" s="2"/>
      <c r="D15" s="19" t="s">
        <v>13</v>
      </c>
      <c r="E15" s="20">
        <v>1000.0</v>
      </c>
      <c r="F15" s="2">
        <f t="shared" si="5"/>
        <v>14000</v>
      </c>
      <c r="G15" s="2">
        <f>H7*$E$15</f>
        <v>18000</v>
      </c>
      <c r="H15" s="2">
        <f t="shared" si="6"/>
        <v>16000</v>
      </c>
      <c r="I15" s="2">
        <f t="shared" si="7"/>
        <v>12000</v>
      </c>
      <c r="J15" s="2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idden="1">
      <c r="A16" s="3" t="s">
        <v>22</v>
      </c>
      <c r="B16" s="22">
        <f>B15-J18</f>
        <v>42250</v>
      </c>
      <c r="C16" s="2"/>
      <c r="D16" s="19" t="s">
        <v>14</v>
      </c>
      <c r="E16" s="20">
        <v>1200.0</v>
      </c>
      <c r="F16" s="2">
        <f t="shared" si="5"/>
        <v>7200</v>
      </c>
      <c r="G16" s="2">
        <f>H8*$E$16</f>
        <v>9600</v>
      </c>
      <c r="H16" s="2">
        <f t="shared" si="6"/>
        <v>9600</v>
      </c>
      <c r="I16" s="2">
        <f t="shared" si="7"/>
        <v>12000</v>
      </c>
      <c r="J16" s="2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idden="1">
      <c r="A17" s="2"/>
      <c r="B17" s="2"/>
      <c r="C17" s="2"/>
      <c r="D17" s="19" t="s">
        <v>16</v>
      </c>
      <c r="E17" s="20">
        <v>1000.0</v>
      </c>
      <c r="F17" s="3">
        <v>0.0</v>
      </c>
      <c r="G17" s="3">
        <v>0.0</v>
      </c>
      <c r="H17" s="2">
        <f t="shared" si="6"/>
        <v>8000</v>
      </c>
      <c r="I17" s="2">
        <f t="shared" si="7"/>
        <v>4000</v>
      </c>
      <c r="J17" s="2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idden="1">
      <c r="A18" s="3" t="s">
        <v>23</v>
      </c>
      <c r="B18" s="3">
        <v>2.0</v>
      </c>
      <c r="C18" s="2"/>
      <c r="D18" s="23" t="s">
        <v>18</v>
      </c>
      <c r="E18" s="15"/>
      <c r="F18" s="13">
        <f t="shared" ref="F18:I18" si="8">SUM(F14:F17)</f>
        <v>60800</v>
      </c>
      <c r="G18" s="13">
        <f t="shared" si="8"/>
        <v>67200</v>
      </c>
      <c r="H18" s="13">
        <f t="shared" si="8"/>
        <v>68800</v>
      </c>
      <c r="I18" s="13">
        <f t="shared" si="8"/>
        <v>63200</v>
      </c>
      <c r="J18" s="24">
        <f>SUM(F18:I18)</f>
        <v>260000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4" t="s">
        <v>24</v>
      </c>
      <c r="B22" s="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idden="1">
      <c r="A23" s="2"/>
      <c r="B23" s="2"/>
      <c r="C23" s="2"/>
      <c r="D23" s="2"/>
      <c r="E23" s="2"/>
      <c r="F23" s="3"/>
      <c r="G23" s="2"/>
      <c r="H23" s="3"/>
      <c r="I23" s="2"/>
      <c r="J23" s="3"/>
      <c r="K23" s="2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idden="1">
      <c r="A24" s="3" t="s">
        <v>3</v>
      </c>
      <c r="B24" s="3">
        <v>39000.0</v>
      </c>
      <c r="C24" s="2"/>
      <c r="D24" s="7" t="s">
        <v>4</v>
      </c>
      <c r="E24" s="7" t="s">
        <v>5</v>
      </c>
      <c r="F24" s="7" t="s">
        <v>25</v>
      </c>
      <c r="G24" s="7" t="s">
        <v>5</v>
      </c>
      <c r="H24" s="7" t="s">
        <v>26</v>
      </c>
      <c r="I24" s="7" t="s">
        <v>5</v>
      </c>
      <c r="J24" s="7" t="s">
        <v>27</v>
      </c>
      <c r="K24" s="7" t="s">
        <v>5</v>
      </c>
      <c r="L24" s="7" t="s">
        <v>28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idden="1">
      <c r="A25" s="3"/>
      <c r="B25" s="8"/>
      <c r="C25" s="2"/>
      <c r="D25" s="3" t="s">
        <v>11</v>
      </c>
      <c r="E25" s="3">
        <v>8.0</v>
      </c>
      <c r="F25" s="9">
        <f t="shared" ref="F25:F31" si="9">E25*$B$35</f>
        <v>12</v>
      </c>
      <c r="G25" s="3">
        <v>8.0</v>
      </c>
      <c r="H25" s="9">
        <f t="shared" ref="H25:H31" si="10">G25*$B$35</f>
        <v>12</v>
      </c>
      <c r="I25" s="9">
        <v>9.0</v>
      </c>
      <c r="J25" s="9">
        <f t="shared" ref="J25:J31" si="11">I25*$B$35</f>
        <v>13.5</v>
      </c>
      <c r="K25" s="9">
        <v>0.0</v>
      </c>
      <c r="L25" s="9">
        <f t="shared" ref="L25:L31" si="12">K25*$B$36</f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idden="1">
      <c r="A26" s="10" t="s">
        <v>15</v>
      </c>
      <c r="B26" s="3">
        <v>27.0</v>
      </c>
      <c r="C26" s="2"/>
      <c r="D26" s="3" t="s">
        <v>29</v>
      </c>
      <c r="E26" s="3">
        <v>0.0</v>
      </c>
      <c r="F26" s="9">
        <f t="shared" si="9"/>
        <v>0</v>
      </c>
      <c r="G26" s="3">
        <v>8.0</v>
      </c>
      <c r="H26" s="9">
        <f t="shared" si="10"/>
        <v>12</v>
      </c>
      <c r="I26" s="9">
        <v>8.0</v>
      </c>
      <c r="J26" s="9">
        <f t="shared" si="11"/>
        <v>12</v>
      </c>
      <c r="K26" s="9">
        <v>9.0</v>
      </c>
      <c r="L26" s="9">
        <f t="shared" si="12"/>
        <v>18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idden="1">
      <c r="A27" s="3" t="s">
        <v>17</v>
      </c>
      <c r="B27" s="3">
        <v>1.0</v>
      </c>
      <c r="C27" s="2"/>
      <c r="D27" s="3" t="s">
        <v>13</v>
      </c>
      <c r="E27" s="3">
        <v>7.0</v>
      </c>
      <c r="F27" s="9">
        <f t="shared" si="9"/>
        <v>10.5</v>
      </c>
      <c r="G27" s="3">
        <v>8.0</v>
      </c>
      <c r="H27" s="9">
        <f t="shared" si="10"/>
        <v>12</v>
      </c>
      <c r="I27" s="9">
        <v>7.0</v>
      </c>
      <c r="J27" s="9">
        <f t="shared" si="11"/>
        <v>10.5</v>
      </c>
      <c r="K27" s="9">
        <v>9.0</v>
      </c>
      <c r="L27" s="9">
        <f t="shared" si="12"/>
        <v>18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idden="1">
      <c r="A28" s="3" t="s">
        <v>18</v>
      </c>
      <c r="B28" s="2">
        <f>SUM(B26:B27)</f>
        <v>28</v>
      </c>
      <c r="C28" s="2"/>
      <c r="D28" s="3" t="s">
        <v>14</v>
      </c>
      <c r="E28" s="3">
        <v>4.0</v>
      </c>
      <c r="F28" s="9">
        <f t="shared" si="9"/>
        <v>6</v>
      </c>
      <c r="G28" s="3">
        <v>4.0</v>
      </c>
      <c r="H28" s="9">
        <f t="shared" si="10"/>
        <v>6</v>
      </c>
      <c r="I28" s="9">
        <v>5.0</v>
      </c>
      <c r="J28" s="9">
        <f t="shared" si="11"/>
        <v>7.5</v>
      </c>
      <c r="K28" s="9">
        <v>4.0</v>
      </c>
      <c r="L28" s="9">
        <f t="shared" si="12"/>
        <v>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idden="1">
      <c r="A29" s="2"/>
      <c r="B29" s="2"/>
      <c r="C29" s="2"/>
      <c r="D29" s="3" t="s">
        <v>16</v>
      </c>
      <c r="E29" s="3">
        <v>4.0</v>
      </c>
      <c r="F29" s="9">
        <f t="shared" si="9"/>
        <v>6</v>
      </c>
      <c r="G29" s="3">
        <v>6.0</v>
      </c>
      <c r="H29" s="9">
        <f t="shared" si="10"/>
        <v>9</v>
      </c>
      <c r="I29" s="9">
        <v>7.0</v>
      </c>
      <c r="J29" s="9">
        <f t="shared" si="11"/>
        <v>10.5</v>
      </c>
      <c r="K29" s="9">
        <v>8.0</v>
      </c>
      <c r="L29" s="9">
        <f t="shared" si="12"/>
        <v>16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idden="1">
      <c r="A30" s="3" t="s">
        <v>12</v>
      </c>
      <c r="B30" s="2">
        <f>(B26*B24)+(B27*(B24/2))</f>
        <v>1072500</v>
      </c>
      <c r="C30" s="2"/>
      <c r="D30" s="3" t="s">
        <v>30</v>
      </c>
      <c r="E30" s="3">
        <v>0.0</v>
      </c>
      <c r="F30" s="9">
        <f t="shared" si="9"/>
        <v>0</v>
      </c>
      <c r="G30" s="3">
        <v>3.0</v>
      </c>
      <c r="H30" s="9">
        <f t="shared" si="10"/>
        <v>4.5</v>
      </c>
      <c r="I30" s="9">
        <v>9.0</v>
      </c>
      <c r="J30" s="9">
        <f t="shared" si="11"/>
        <v>13.5</v>
      </c>
      <c r="K30" s="9">
        <v>9.0</v>
      </c>
      <c r="L30" s="9">
        <f t="shared" si="12"/>
        <v>18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idden="1">
      <c r="A31" s="3" t="s">
        <v>31</v>
      </c>
      <c r="B31" s="3">
        <f>J41</f>
        <v>456650</v>
      </c>
      <c r="C31" s="2"/>
      <c r="D31" s="3" t="s">
        <v>32</v>
      </c>
      <c r="E31" s="3">
        <v>0.0</v>
      </c>
      <c r="F31" s="9">
        <f t="shared" si="9"/>
        <v>0</v>
      </c>
      <c r="G31" s="3">
        <v>3.0</v>
      </c>
      <c r="H31" s="9">
        <f t="shared" si="10"/>
        <v>4.5</v>
      </c>
      <c r="I31" s="9">
        <v>8.0</v>
      </c>
      <c r="J31" s="9">
        <f t="shared" si="11"/>
        <v>12</v>
      </c>
      <c r="K31" s="9">
        <v>9.0</v>
      </c>
      <c r="L31" s="9">
        <f t="shared" si="12"/>
        <v>18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idden="1">
      <c r="A32" s="3" t="s">
        <v>22</v>
      </c>
      <c r="B32" s="26">
        <f>B30-B31</f>
        <v>615850</v>
      </c>
      <c r="C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idden="1">
      <c r="C33" s="2"/>
      <c r="D33" s="23" t="s">
        <v>4</v>
      </c>
      <c r="E33" s="27" t="s">
        <v>20</v>
      </c>
      <c r="F33" s="28" t="s">
        <v>33</v>
      </c>
      <c r="G33" s="28" t="s">
        <v>34</v>
      </c>
      <c r="H33" s="28" t="s">
        <v>35</v>
      </c>
      <c r="I33" s="28" t="s">
        <v>36</v>
      </c>
      <c r="J33" s="1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idden="1">
      <c r="A34" s="2"/>
      <c r="B34" s="2"/>
      <c r="C34" s="2"/>
      <c r="D34" s="19" t="s">
        <v>11</v>
      </c>
      <c r="E34" s="20">
        <v>2200.0</v>
      </c>
      <c r="F34" s="2">
        <f>F25*E34</f>
        <v>26400</v>
      </c>
      <c r="G34" s="2">
        <f t="shared" ref="G34:G37" si="13">H25*E34</f>
        <v>26400</v>
      </c>
      <c r="H34" s="2">
        <f t="shared" ref="H34:H37" si="14">J25*E34</f>
        <v>29700</v>
      </c>
      <c r="I34" s="2">
        <f>L25*E34</f>
        <v>0</v>
      </c>
      <c r="J34" s="2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idden="1">
      <c r="A35" s="3" t="s">
        <v>23</v>
      </c>
      <c r="B35" s="3">
        <v>1.5</v>
      </c>
      <c r="C35" s="2"/>
      <c r="D35" s="19" t="s">
        <v>29</v>
      </c>
      <c r="E35" s="20">
        <v>1700.0</v>
      </c>
      <c r="F35" s="3">
        <v>0.0</v>
      </c>
      <c r="G35" s="2">
        <f t="shared" si="13"/>
        <v>20400</v>
      </c>
      <c r="H35" s="2">
        <f t="shared" si="14"/>
        <v>20400</v>
      </c>
      <c r="I35" s="2">
        <f t="shared" ref="I35:I37" si="15">L26*K35</f>
        <v>39600</v>
      </c>
      <c r="J35" s="21"/>
      <c r="K35" s="3">
        <v>2200.0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idden="1">
      <c r="A36" s="3" t="s">
        <v>23</v>
      </c>
      <c r="B36" s="3">
        <v>2.0</v>
      </c>
      <c r="C36" s="2"/>
      <c r="D36" s="19" t="s">
        <v>13</v>
      </c>
      <c r="E36" s="20">
        <v>1200.0</v>
      </c>
      <c r="F36" s="2">
        <f t="shared" ref="F36:F37" si="16">F27*E36</f>
        <v>12600</v>
      </c>
      <c r="G36" s="2">
        <f t="shared" si="13"/>
        <v>14400</v>
      </c>
      <c r="H36" s="2">
        <f t="shared" si="14"/>
        <v>12600</v>
      </c>
      <c r="I36" s="2">
        <f t="shared" si="15"/>
        <v>27000</v>
      </c>
      <c r="J36" s="21"/>
      <c r="K36" s="3">
        <v>1500.0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idden="1">
      <c r="C37" s="2"/>
      <c r="D37" s="19" t="s">
        <v>14</v>
      </c>
      <c r="E37" s="20">
        <v>1400.0</v>
      </c>
      <c r="F37" s="2">
        <f t="shared" si="16"/>
        <v>8400</v>
      </c>
      <c r="G37" s="2">
        <f t="shared" si="13"/>
        <v>8400</v>
      </c>
      <c r="H37" s="2">
        <f t="shared" si="14"/>
        <v>10500</v>
      </c>
      <c r="I37" s="2">
        <f t="shared" si="15"/>
        <v>12800</v>
      </c>
      <c r="J37" s="21"/>
      <c r="K37" s="3">
        <v>1600.0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idden="1">
      <c r="C38" s="2"/>
      <c r="D38" s="19" t="s">
        <v>30</v>
      </c>
      <c r="E38" s="20">
        <v>1700.0</v>
      </c>
      <c r="F38" s="3">
        <v>0.0</v>
      </c>
      <c r="G38" s="2">
        <f t="shared" ref="G38:G39" si="17">H30*E38</f>
        <v>7650</v>
      </c>
      <c r="H38" s="2">
        <f t="shared" ref="H38:H39" si="18">J30*E38</f>
        <v>22950</v>
      </c>
      <c r="I38" s="2">
        <f t="shared" ref="I38:I39" si="19">L30*K38</f>
        <v>34200</v>
      </c>
      <c r="J38" s="21"/>
      <c r="K38" s="3">
        <v>1900.0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idden="1">
      <c r="C39" s="2"/>
      <c r="D39" s="19" t="s">
        <v>32</v>
      </c>
      <c r="E39" s="20">
        <v>1700.0</v>
      </c>
      <c r="F39" s="3">
        <v>0.0</v>
      </c>
      <c r="G39" s="2">
        <f t="shared" si="17"/>
        <v>7650</v>
      </c>
      <c r="H39" s="2">
        <f t="shared" si="18"/>
        <v>20400</v>
      </c>
      <c r="I39" s="2">
        <f t="shared" si="19"/>
        <v>39600</v>
      </c>
      <c r="J39" s="21"/>
      <c r="K39" s="3">
        <v>2200.0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idden="1">
      <c r="A40" s="2"/>
      <c r="B40" s="2"/>
      <c r="C40" s="2"/>
      <c r="D40" s="19" t="s">
        <v>16</v>
      </c>
      <c r="E40" s="20">
        <v>1200.0</v>
      </c>
      <c r="F40" s="2">
        <f>F29*E40</f>
        <v>7200</v>
      </c>
      <c r="G40" s="2">
        <f>H29*E40</f>
        <v>10800</v>
      </c>
      <c r="H40" s="2">
        <f>J29*E40</f>
        <v>12600</v>
      </c>
      <c r="I40" s="2">
        <f>L29*K40</f>
        <v>24000</v>
      </c>
      <c r="J40" s="21"/>
      <c r="K40" s="3">
        <v>1500.0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idden="1">
      <c r="A41" s="2"/>
      <c r="B41" s="2"/>
      <c r="C41" s="2"/>
      <c r="D41" s="23" t="s">
        <v>18</v>
      </c>
      <c r="E41" s="15"/>
      <c r="F41" s="13">
        <f t="shared" ref="F41:I41" si="20">SUM(F34:F40)</f>
        <v>54600</v>
      </c>
      <c r="G41" s="13">
        <f t="shared" si="20"/>
        <v>95700</v>
      </c>
      <c r="H41" s="13">
        <f t="shared" si="20"/>
        <v>129150</v>
      </c>
      <c r="I41" s="13">
        <f t="shared" si="20"/>
        <v>177200</v>
      </c>
      <c r="J41" s="24">
        <f>SUM(F41:I41)</f>
        <v>456650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 t="s">
        <v>37</v>
      </c>
      <c r="B43" s="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idden="1">
      <c r="A44" s="2"/>
      <c r="B44" s="2"/>
      <c r="C44" s="2"/>
      <c r="D44" s="2"/>
      <c r="E44" s="2"/>
      <c r="F44" s="3"/>
      <c r="G44" s="2"/>
      <c r="H44" s="3"/>
      <c r="I44" s="2"/>
      <c r="J44" s="3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idden="1">
      <c r="A45" s="3" t="s">
        <v>3</v>
      </c>
      <c r="B45" s="3">
        <v>39000.0</v>
      </c>
      <c r="C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idden="1">
      <c r="A46" s="3"/>
      <c r="B46" s="8"/>
      <c r="C46" s="2"/>
      <c r="D46" s="7" t="s">
        <v>4</v>
      </c>
      <c r="E46" s="7" t="s">
        <v>5</v>
      </c>
      <c r="F46" s="7" t="s">
        <v>38</v>
      </c>
      <c r="G46" s="7" t="s">
        <v>5</v>
      </c>
      <c r="H46" s="7" t="s">
        <v>39</v>
      </c>
      <c r="I46" s="7" t="s">
        <v>5</v>
      </c>
      <c r="J46" s="7" t="s">
        <v>40</v>
      </c>
      <c r="K46" s="7" t="s">
        <v>5</v>
      </c>
      <c r="L46" s="7" t="s">
        <v>41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idden="1">
      <c r="A47" s="10" t="s">
        <v>15</v>
      </c>
      <c r="B47" s="3">
        <v>4.0</v>
      </c>
      <c r="C47" s="2"/>
      <c r="D47" s="3" t="s">
        <v>29</v>
      </c>
      <c r="E47" s="3">
        <v>8.0</v>
      </c>
      <c r="F47" s="9">
        <f t="shared" ref="F47:F52" si="21">E47*$B$57</f>
        <v>16</v>
      </c>
      <c r="G47" s="3">
        <v>9.0</v>
      </c>
      <c r="H47" s="9">
        <f t="shared" ref="H47:H52" si="22">G47*$B$35</f>
        <v>13.5</v>
      </c>
      <c r="I47" s="9">
        <v>9.0</v>
      </c>
      <c r="J47" s="9">
        <f t="shared" ref="J47:J52" si="23">I47*$B$35</f>
        <v>13.5</v>
      </c>
      <c r="K47" s="9">
        <v>9.0</v>
      </c>
      <c r="L47" s="9">
        <f t="shared" ref="L47:L52" si="24">K47*$B$36</f>
        <v>18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idden="1">
      <c r="A48" s="3" t="s">
        <v>17</v>
      </c>
      <c r="B48" s="3">
        <v>2.0</v>
      </c>
      <c r="C48" s="2"/>
      <c r="D48" s="3" t="s">
        <v>13</v>
      </c>
      <c r="E48" s="3">
        <v>8.0</v>
      </c>
      <c r="F48" s="9">
        <f t="shared" si="21"/>
        <v>16</v>
      </c>
      <c r="G48" s="3">
        <v>0.0</v>
      </c>
      <c r="H48" s="9">
        <f t="shared" si="22"/>
        <v>0</v>
      </c>
      <c r="I48" s="9">
        <v>0.0</v>
      </c>
      <c r="J48" s="9">
        <f t="shared" si="23"/>
        <v>0</v>
      </c>
      <c r="K48" s="9">
        <v>0.0</v>
      </c>
      <c r="L48" s="9">
        <f t="shared" si="24"/>
        <v>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idden="1">
      <c r="A49" s="3" t="s">
        <v>18</v>
      </c>
      <c r="B49" s="2">
        <f>SUM(B47:B48)</f>
        <v>6</v>
      </c>
      <c r="C49" s="2"/>
      <c r="D49" s="3" t="s">
        <v>14</v>
      </c>
      <c r="E49" s="3">
        <v>4.0</v>
      </c>
      <c r="F49" s="9">
        <f t="shared" si="21"/>
        <v>8</v>
      </c>
      <c r="G49" s="3">
        <v>0.0</v>
      </c>
      <c r="H49" s="9">
        <f t="shared" si="22"/>
        <v>0</v>
      </c>
      <c r="I49" s="9">
        <v>0.0</v>
      </c>
      <c r="J49" s="9">
        <f t="shared" si="23"/>
        <v>0</v>
      </c>
      <c r="K49" s="9">
        <v>0.0</v>
      </c>
      <c r="L49" s="9">
        <f t="shared" si="24"/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idden="1">
      <c r="A50" s="2"/>
      <c r="B50" s="2"/>
      <c r="C50" s="2"/>
      <c r="D50" s="3" t="s">
        <v>16</v>
      </c>
      <c r="E50" s="3">
        <v>6.0</v>
      </c>
      <c r="F50" s="9">
        <f t="shared" si="21"/>
        <v>12</v>
      </c>
      <c r="G50" s="3">
        <v>0.0</v>
      </c>
      <c r="H50" s="9">
        <f t="shared" si="22"/>
        <v>0</v>
      </c>
      <c r="I50" s="9">
        <v>0.0</v>
      </c>
      <c r="J50" s="9">
        <f t="shared" si="23"/>
        <v>0</v>
      </c>
      <c r="K50" s="9">
        <v>0.0</v>
      </c>
      <c r="L50" s="9">
        <f t="shared" si="24"/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idden="1">
      <c r="A51" s="3" t="s">
        <v>12</v>
      </c>
      <c r="B51" s="2">
        <f>(B47*B45)+(B48*(B45/2))</f>
        <v>195000</v>
      </c>
      <c r="C51" s="2"/>
      <c r="D51" s="3" t="s">
        <v>30</v>
      </c>
      <c r="E51" s="3">
        <v>1.0</v>
      </c>
      <c r="F51" s="9">
        <f t="shared" si="21"/>
        <v>2</v>
      </c>
      <c r="G51" s="3">
        <v>0.0</v>
      </c>
      <c r="H51" s="9">
        <f t="shared" si="22"/>
        <v>0</v>
      </c>
      <c r="I51" s="9">
        <v>0.0</v>
      </c>
      <c r="J51" s="9">
        <f t="shared" si="23"/>
        <v>0</v>
      </c>
      <c r="K51" s="9">
        <v>0.0</v>
      </c>
      <c r="L51" s="9">
        <f t="shared" si="24"/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idden="1">
      <c r="A52" s="3" t="s">
        <v>31</v>
      </c>
      <c r="B52" s="3">
        <f>J61</f>
        <v>327000</v>
      </c>
      <c r="C52" s="2"/>
      <c r="D52" s="3" t="s">
        <v>32</v>
      </c>
      <c r="E52" s="3">
        <v>8.0</v>
      </c>
      <c r="F52" s="9">
        <f t="shared" si="21"/>
        <v>16</v>
      </c>
      <c r="G52" s="3">
        <v>9.0</v>
      </c>
      <c r="H52" s="9">
        <f t="shared" si="22"/>
        <v>13.5</v>
      </c>
      <c r="I52" s="9">
        <v>9.0</v>
      </c>
      <c r="J52" s="9">
        <f t="shared" si="23"/>
        <v>13.5</v>
      </c>
      <c r="K52" s="9">
        <v>9.0</v>
      </c>
      <c r="L52" s="9">
        <f t="shared" si="24"/>
        <v>18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idden="1">
      <c r="A53" s="3" t="s">
        <v>22</v>
      </c>
      <c r="B53" s="26">
        <f>B51-B52</f>
        <v>-132000</v>
      </c>
      <c r="C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idden="1">
      <c r="C54" s="2"/>
      <c r="D54" s="23" t="s">
        <v>4</v>
      </c>
      <c r="E54" s="27" t="s">
        <v>20</v>
      </c>
      <c r="F54" s="28" t="s">
        <v>38</v>
      </c>
      <c r="G54" s="28" t="s">
        <v>39</v>
      </c>
      <c r="H54" s="28" t="s">
        <v>40</v>
      </c>
      <c r="I54" s="28" t="s">
        <v>41</v>
      </c>
      <c r="J54" s="1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idden="1">
      <c r="A55" s="2"/>
      <c r="B55" s="2"/>
      <c r="C55" s="2"/>
      <c r="D55" s="19" t="s">
        <v>29</v>
      </c>
      <c r="E55" s="20">
        <v>2200.0</v>
      </c>
      <c r="F55" s="3">
        <f t="shared" ref="F55:F57" si="25">F47*E55</f>
        <v>35200</v>
      </c>
      <c r="G55" s="2">
        <f t="shared" ref="G55:G57" si="26">H47*E55</f>
        <v>29700</v>
      </c>
      <c r="H55" s="2">
        <f t="shared" ref="H55:H57" si="27">J47*E55</f>
        <v>29700</v>
      </c>
      <c r="I55" s="2">
        <f t="shared" ref="I55:I57" si="28">L47*E55</f>
        <v>39600</v>
      </c>
      <c r="J55" s="21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idden="1">
      <c r="A56" s="3" t="s">
        <v>23</v>
      </c>
      <c r="B56" s="3">
        <v>1.5</v>
      </c>
      <c r="C56" s="2"/>
      <c r="D56" s="19" t="s">
        <v>13</v>
      </c>
      <c r="E56" s="20">
        <v>1500.0</v>
      </c>
      <c r="F56" s="2">
        <f t="shared" si="25"/>
        <v>24000</v>
      </c>
      <c r="G56" s="2">
        <f t="shared" si="26"/>
        <v>0</v>
      </c>
      <c r="H56" s="2">
        <f t="shared" si="27"/>
        <v>0</v>
      </c>
      <c r="I56" s="2">
        <f t="shared" si="28"/>
        <v>0</v>
      </c>
      <c r="J56" s="21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idden="1">
      <c r="A57" s="3" t="s">
        <v>23</v>
      </c>
      <c r="B57" s="3">
        <v>2.0</v>
      </c>
      <c r="C57" s="2"/>
      <c r="D57" s="19" t="s">
        <v>14</v>
      </c>
      <c r="E57" s="20">
        <v>1600.0</v>
      </c>
      <c r="F57" s="2">
        <f t="shared" si="25"/>
        <v>12800</v>
      </c>
      <c r="G57" s="2">
        <f t="shared" si="26"/>
        <v>0</v>
      </c>
      <c r="H57" s="2">
        <f t="shared" si="27"/>
        <v>0</v>
      </c>
      <c r="I57" s="2">
        <f t="shared" si="28"/>
        <v>0</v>
      </c>
      <c r="J57" s="21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idden="1">
      <c r="C58" s="2"/>
      <c r="D58" s="19" t="s">
        <v>30</v>
      </c>
      <c r="E58" s="20">
        <v>1900.0</v>
      </c>
      <c r="F58" s="3">
        <f t="shared" ref="F58:F59" si="29">F51*E58</f>
        <v>3800</v>
      </c>
      <c r="G58" s="2">
        <f t="shared" ref="G58:G59" si="30">H51*E58</f>
        <v>0</v>
      </c>
      <c r="H58" s="2">
        <f t="shared" ref="H58:H59" si="31">J51*E58</f>
        <v>0</v>
      </c>
      <c r="I58" s="2">
        <f t="shared" ref="I58:I59" si="32">L51*E58</f>
        <v>0</v>
      </c>
      <c r="J58" s="21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idden="1">
      <c r="C59" s="2"/>
      <c r="D59" s="19" t="s">
        <v>32</v>
      </c>
      <c r="E59" s="20">
        <v>2200.0</v>
      </c>
      <c r="F59" s="3">
        <f t="shared" si="29"/>
        <v>35200</v>
      </c>
      <c r="G59" s="2">
        <f t="shared" si="30"/>
        <v>29700</v>
      </c>
      <c r="H59" s="2">
        <f t="shared" si="31"/>
        <v>29700</v>
      </c>
      <c r="I59" s="2">
        <f t="shared" si="32"/>
        <v>39600</v>
      </c>
      <c r="J59" s="21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idden="1">
      <c r="C60" s="2"/>
      <c r="D60" s="19" t="s">
        <v>16</v>
      </c>
      <c r="E60" s="20">
        <v>1500.0</v>
      </c>
      <c r="F60" s="2">
        <f>F50*E60</f>
        <v>18000</v>
      </c>
      <c r="G60" s="2">
        <f>H50*E60</f>
        <v>0</v>
      </c>
      <c r="H60" s="2">
        <f>J50*E60</f>
        <v>0</v>
      </c>
      <c r="I60" s="2">
        <f>L50*E60</f>
        <v>0</v>
      </c>
      <c r="J60" s="21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idden="1">
      <c r="A61" s="2"/>
      <c r="B61" s="2"/>
      <c r="C61" s="2"/>
      <c r="D61" s="23" t="s">
        <v>18</v>
      </c>
      <c r="E61" s="15"/>
      <c r="F61" s="13">
        <f t="shared" ref="F61:I61" si="33">SUM(F55:F60)</f>
        <v>129000</v>
      </c>
      <c r="G61" s="13">
        <f t="shared" si="33"/>
        <v>59400</v>
      </c>
      <c r="H61" s="13">
        <f t="shared" si="33"/>
        <v>59400</v>
      </c>
      <c r="I61" s="13">
        <f t="shared" si="33"/>
        <v>79200</v>
      </c>
      <c r="J61" s="24">
        <f>SUM(F61:I61)</f>
        <v>327000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9" t="s">
        <v>42</v>
      </c>
      <c r="B63" s="5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3"/>
      <c r="G64" s="2"/>
      <c r="H64" s="3"/>
      <c r="I64" s="2"/>
      <c r="J64" s="3"/>
      <c r="K64" s="2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3</v>
      </c>
      <c r="B65" s="3">
        <v>39000.0</v>
      </c>
      <c r="C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/>
      <c r="B66" s="8"/>
      <c r="C66" s="2"/>
      <c r="D66" s="7" t="s">
        <v>4</v>
      </c>
      <c r="E66" s="7" t="s">
        <v>5</v>
      </c>
      <c r="F66" s="7" t="s">
        <v>6</v>
      </c>
      <c r="G66" s="7" t="s">
        <v>5</v>
      </c>
      <c r="H66" s="7" t="s">
        <v>7</v>
      </c>
      <c r="I66" s="7" t="s">
        <v>5</v>
      </c>
      <c r="J66" s="7" t="s">
        <v>8</v>
      </c>
      <c r="K66" s="7" t="s">
        <v>5</v>
      </c>
      <c r="L66" s="7" t="s">
        <v>9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0" t="s">
        <v>15</v>
      </c>
      <c r="B67" s="3">
        <v>36.0</v>
      </c>
      <c r="C67" s="2"/>
      <c r="D67" s="3" t="s">
        <v>29</v>
      </c>
      <c r="E67" s="3">
        <v>9.0</v>
      </c>
      <c r="F67" s="9">
        <f t="shared" ref="F67:F72" si="34">E67*$B$77</f>
        <v>18</v>
      </c>
      <c r="G67" s="3">
        <v>8.0</v>
      </c>
      <c r="H67" s="9">
        <f t="shared" ref="H67:H72" si="35">G67*$B$77</f>
        <v>16</v>
      </c>
      <c r="I67" s="9">
        <v>9.0</v>
      </c>
      <c r="J67" s="9">
        <f t="shared" ref="J67:J72" si="36">I67*$B$77</f>
        <v>18</v>
      </c>
      <c r="K67" s="9">
        <v>9.0</v>
      </c>
      <c r="L67" s="9">
        <f t="shared" ref="L67:L72" si="37">K67*$B$77</f>
        <v>18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17</v>
      </c>
      <c r="B68" s="3">
        <v>3.0</v>
      </c>
      <c r="C68" s="2"/>
      <c r="D68" s="3" t="s">
        <v>13</v>
      </c>
      <c r="E68" s="3">
        <v>9.0</v>
      </c>
      <c r="F68" s="9">
        <f t="shared" si="34"/>
        <v>18</v>
      </c>
      <c r="G68" s="3">
        <v>8.0</v>
      </c>
      <c r="H68" s="9">
        <f t="shared" si="35"/>
        <v>16</v>
      </c>
      <c r="I68" s="9">
        <v>9.0</v>
      </c>
      <c r="J68" s="9">
        <f t="shared" si="36"/>
        <v>18</v>
      </c>
      <c r="K68" s="9">
        <v>9.0</v>
      </c>
      <c r="L68" s="9">
        <f t="shared" si="37"/>
        <v>18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18</v>
      </c>
      <c r="B69" s="3">
        <f>SUM(B67:B68)</f>
        <v>39</v>
      </c>
      <c r="C69" s="2"/>
      <c r="D69" s="3" t="s">
        <v>14</v>
      </c>
      <c r="E69" s="3">
        <v>0.0</v>
      </c>
      <c r="F69" s="9">
        <f t="shared" si="34"/>
        <v>0</v>
      </c>
      <c r="G69" s="3">
        <v>0.0</v>
      </c>
      <c r="H69" s="9">
        <f t="shared" si="35"/>
        <v>0</v>
      </c>
      <c r="I69" s="9">
        <v>0.0</v>
      </c>
      <c r="J69" s="9">
        <f t="shared" si="36"/>
        <v>0</v>
      </c>
      <c r="K69" s="9">
        <v>0.0</v>
      </c>
      <c r="L69" s="9">
        <f t="shared" si="37"/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3" t="s">
        <v>16</v>
      </c>
      <c r="E70" s="3">
        <v>0.0</v>
      </c>
      <c r="F70" s="9">
        <f t="shared" si="34"/>
        <v>0</v>
      </c>
      <c r="G70" s="3">
        <v>0.0</v>
      </c>
      <c r="H70" s="9">
        <f t="shared" si="35"/>
        <v>0</v>
      </c>
      <c r="I70" s="9">
        <v>0.0</v>
      </c>
      <c r="J70" s="9">
        <f t="shared" si="36"/>
        <v>0</v>
      </c>
      <c r="K70" s="9">
        <v>0.0</v>
      </c>
      <c r="L70" s="9">
        <f t="shared" si="37"/>
        <v>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</v>
      </c>
      <c r="B71" s="2">
        <f>(B67*B65)+(B68*(B65/2))</f>
        <v>1462500</v>
      </c>
      <c r="C71" s="2"/>
      <c r="D71" s="3" t="s">
        <v>30</v>
      </c>
      <c r="E71" s="3">
        <v>9.0</v>
      </c>
      <c r="F71" s="9">
        <f t="shared" si="34"/>
        <v>18</v>
      </c>
      <c r="G71" s="3">
        <v>8.0</v>
      </c>
      <c r="H71" s="9">
        <f t="shared" si="35"/>
        <v>16</v>
      </c>
      <c r="I71" s="9">
        <v>9.0</v>
      </c>
      <c r="J71" s="9">
        <f t="shared" si="36"/>
        <v>18</v>
      </c>
      <c r="K71" s="9">
        <v>9.0</v>
      </c>
      <c r="L71" s="9">
        <f t="shared" si="37"/>
        <v>18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31</v>
      </c>
      <c r="B72" s="3">
        <f>J81</f>
        <v>546000</v>
      </c>
      <c r="C72" s="2"/>
      <c r="D72" s="3" t="s">
        <v>32</v>
      </c>
      <c r="E72" s="3">
        <v>9.0</v>
      </c>
      <c r="F72" s="9">
        <f t="shared" si="34"/>
        <v>18</v>
      </c>
      <c r="G72" s="3">
        <v>8.0</v>
      </c>
      <c r="H72" s="9">
        <f t="shared" si="35"/>
        <v>16</v>
      </c>
      <c r="I72" s="9">
        <v>9.0</v>
      </c>
      <c r="J72" s="9">
        <f t="shared" si="36"/>
        <v>18</v>
      </c>
      <c r="K72" s="9">
        <v>9.0</v>
      </c>
      <c r="L72" s="9">
        <f t="shared" si="37"/>
        <v>18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22</v>
      </c>
      <c r="B73" s="26">
        <f>B71-B72</f>
        <v>916500</v>
      </c>
      <c r="C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C74" s="2"/>
      <c r="D74" s="23" t="s">
        <v>4</v>
      </c>
      <c r="E74" s="27" t="s">
        <v>20</v>
      </c>
      <c r="F74" s="28" t="s">
        <v>6</v>
      </c>
      <c r="G74" s="28" t="s">
        <v>7</v>
      </c>
      <c r="H74" s="31" t="s">
        <v>8</v>
      </c>
      <c r="I74" s="31" t="s">
        <v>9</v>
      </c>
      <c r="J74" s="1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19" t="s">
        <v>29</v>
      </c>
      <c r="E75" s="20">
        <v>2200.0</v>
      </c>
      <c r="F75" s="3">
        <f t="shared" ref="F75:F77" si="38">F67*E75</f>
        <v>39600</v>
      </c>
      <c r="G75" s="2">
        <f t="shared" ref="G75:G77" si="39">H67*E75</f>
        <v>35200</v>
      </c>
      <c r="H75" s="2">
        <f t="shared" ref="H75:H77" si="40">J67*E75</f>
        <v>39600</v>
      </c>
      <c r="I75" s="2">
        <f t="shared" ref="I75:I77" si="41">L67*E75</f>
        <v>39600</v>
      </c>
      <c r="J75" s="21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23</v>
      </c>
      <c r="B76" s="3">
        <v>1.5</v>
      </c>
      <c r="C76" s="2"/>
      <c r="D76" s="19" t="s">
        <v>13</v>
      </c>
      <c r="E76" s="20">
        <v>1500.0</v>
      </c>
      <c r="F76" s="2">
        <f t="shared" si="38"/>
        <v>27000</v>
      </c>
      <c r="G76" s="2">
        <f t="shared" si="39"/>
        <v>24000</v>
      </c>
      <c r="H76" s="2">
        <f t="shared" si="40"/>
        <v>27000</v>
      </c>
      <c r="I76" s="2">
        <f t="shared" si="41"/>
        <v>27000</v>
      </c>
      <c r="J76" s="21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23</v>
      </c>
      <c r="B77" s="3">
        <v>2.0</v>
      </c>
      <c r="C77" s="2"/>
      <c r="D77" s="19" t="s">
        <v>14</v>
      </c>
      <c r="E77" s="20">
        <v>1600.0</v>
      </c>
      <c r="F77" s="2">
        <f t="shared" si="38"/>
        <v>0</v>
      </c>
      <c r="G77" s="2">
        <f t="shared" si="39"/>
        <v>0</v>
      </c>
      <c r="H77" s="2">
        <f t="shared" si="40"/>
        <v>0</v>
      </c>
      <c r="I77" s="2">
        <f t="shared" si="41"/>
        <v>0</v>
      </c>
      <c r="J77" s="21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C78" s="2"/>
      <c r="D78" s="19" t="s">
        <v>30</v>
      </c>
      <c r="E78" s="20">
        <v>1900.0</v>
      </c>
      <c r="F78" s="3">
        <f t="shared" ref="F78:F79" si="42">F71*E78</f>
        <v>34200</v>
      </c>
      <c r="G78" s="2">
        <f t="shared" ref="G78:G79" si="43">H71*E78</f>
        <v>30400</v>
      </c>
      <c r="H78" s="2">
        <f t="shared" ref="H78:H79" si="44">J71*E78</f>
        <v>34200</v>
      </c>
      <c r="I78" s="2">
        <f t="shared" ref="I78:I79" si="45">L71*E78</f>
        <v>34200</v>
      </c>
      <c r="J78" s="21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C79" s="2"/>
      <c r="D79" s="19" t="s">
        <v>32</v>
      </c>
      <c r="E79" s="20">
        <v>2200.0</v>
      </c>
      <c r="F79" s="3">
        <f t="shared" si="42"/>
        <v>39600</v>
      </c>
      <c r="G79" s="2">
        <f t="shared" si="43"/>
        <v>35200</v>
      </c>
      <c r="H79" s="2">
        <f t="shared" si="44"/>
        <v>39600</v>
      </c>
      <c r="I79" s="2">
        <f t="shared" si="45"/>
        <v>39600</v>
      </c>
      <c r="J79" s="21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C80" s="2"/>
      <c r="D80" s="19" t="s">
        <v>16</v>
      </c>
      <c r="E80" s="20">
        <v>1500.0</v>
      </c>
      <c r="F80" s="2">
        <f>F70*E80</f>
        <v>0</v>
      </c>
      <c r="G80" s="2">
        <f>H70*E80</f>
        <v>0</v>
      </c>
      <c r="H80" s="2">
        <f>J70*E80</f>
        <v>0</v>
      </c>
      <c r="I80" s="2">
        <f>L70*E80</f>
        <v>0</v>
      </c>
      <c r="J80" s="21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3" t="s">
        <v>18</v>
      </c>
      <c r="E81" s="15"/>
      <c r="F81" s="13">
        <f t="shared" ref="F81:I81" si="46">SUM(F75:F80)</f>
        <v>140400</v>
      </c>
      <c r="G81" s="13">
        <f t="shared" si="46"/>
        <v>124800</v>
      </c>
      <c r="H81" s="13">
        <f t="shared" si="46"/>
        <v>140400</v>
      </c>
      <c r="I81" s="13">
        <f t="shared" si="46"/>
        <v>140400</v>
      </c>
      <c r="J81" s="24">
        <f>SUM(F81:I81)</f>
        <v>546000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3"/>
      <c r="G86" s="2"/>
      <c r="H86" s="3"/>
      <c r="I86" s="2"/>
      <c r="J86" s="3"/>
      <c r="K86" s="2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/>
      <c r="B87" s="3"/>
      <c r="C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/>
      <c r="B88" s="8"/>
      <c r="C88" s="2"/>
      <c r="D88" s="7"/>
      <c r="E88" s="7"/>
      <c r="F88" s="7"/>
      <c r="G88" s="7"/>
      <c r="H88" s="7"/>
      <c r="I88" s="7"/>
      <c r="J88" s="7"/>
      <c r="K88" s="7"/>
      <c r="L88" s="7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0"/>
      <c r="B89" s="3"/>
      <c r="C89" s="2"/>
      <c r="D89" s="3"/>
      <c r="E89" s="3"/>
      <c r="F89" s="9"/>
      <c r="G89" s="3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/>
      <c r="B90" s="3"/>
      <c r="C90" s="2"/>
      <c r="D90" s="3"/>
      <c r="E90" s="3"/>
      <c r="F90" s="9"/>
      <c r="G90" s="3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/>
      <c r="B91" s="3"/>
      <c r="C91" s="2"/>
      <c r="D91" s="3"/>
      <c r="E91" s="3"/>
      <c r="F91" s="9"/>
      <c r="G91" s="3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3"/>
      <c r="E92" s="3"/>
      <c r="F92" s="9"/>
      <c r="G92" s="3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/>
      <c r="B93" s="2"/>
      <c r="C93" s="2"/>
      <c r="D93" s="3"/>
      <c r="E93" s="3"/>
      <c r="F93" s="9"/>
      <c r="G93" s="3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/>
      <c r="B94" s="3"/>
      <c r="C94" s="2"/>
      <c r="D94" s="3"/>
      <c r="E94" s="3"/>
      <c r="F94" s="9"/>
      <c r="G94" s="3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/>
      <c r="B95" s="3"/>
      <c r="C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C96" s="2"/>
      <c r="D96" s="7"/>
      <c r="E96" s="7"/>
      <c r="F96" s="7"/>
      <c r="G96" s="7"/>
      <c r="H96" s="7"/>
      <c r="I96" s="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3"/>
      <c r="E97" s="3"/>
      <c r="F97" s="3"/>
      <c r="G97" s="2"/>
      <c r="H97" s="2"/>
      <c r="I97" s="2"/>
      <c r="J97" s="2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/>
      <c r="B98" s="3"/>
      <c r="C98" s="2"/>
      <c r="D98" s="3"/>
      <c r="E98" s="3"/>
      <c r="F98" s="2"/>
      <c r="G98" s="2"/>
      <c r="H98" s="2"/>
      <c r="I98" s="2"/>
      <c r="J98" s="2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/>
      <c r="B99" s="3"/>
      <c r="C99" s="2"/>
      <c r="D99" s="3"/>
      <c r="E99" s="3"/>
      <c r="F99" s="2"/>
      <c r="G99" s="2"/>
      <c r="H99" s="2"/>
      <c r="I99" s="2"/>
      <c r="J99" s="2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C100" s="2"/>
      <c r="D100" s="3"/>
      <c r="E100" s="3"/>
      <c r="F100" s="3"/>
      <c r="G100" s="2"/>
      <c r="H100" s="2"/>
      <c r="I100" s="2"/>
      <c r="J100" s="2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C101" s="2"/>
      <c r="D101" s="3"/>
      <c r="E101" s="3"/>
      <c r="F101" s="3"/>
      <c r="G101" s="2"/>
      <c r="H101" s="2"/>
      <c r="I101" s="2"/>
      <c r="J101" s="2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C102" s="2"/>
      <c r="D102" s="3"/>
      <c r="E102" s="3"/>
      <c r="F102" s="2"/>
      <c r="G102" s="2"/>
      <c r="H102" s="2"/>
      <c r="I102" s="2"/>
      <c r="J102" s="2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7"/>
      <c r="E103" s="2"/>
      <c r="F103" s="2"/>
      <c r="G103" s="2"/>
      <c r="H103" s="2"/>
      <c r="I103" s="2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6">
    <mergeCell ref="A1:C1"/>
    <mergeCell ref="A4:B4"/>
    <mergeCell ref="A22:B22"/>
    <mergeCell ref="A43:B43"/>
    <mergeCell ref="A63:B63"/>
    <mergeCell ref="A85:B85"/>
  </mergeCells>
  <conditionalFormatting sqref="B32 B53 B73 B95">
    <cfRule type="cellIs" dxfId="0" priority="1" operator="lessThan">
      <formula>0</formula>
    </cfRule>
  </conditionalFormatting>
  <conditionalFormatting sqref="B32 B53 B73 B95">
    <cfRule type="cellIs" dxfId="1" priority="2" operator="greaterThanOrEqual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99" t="s">
        <v>88</v>
      </c>
    </row>
    <row r="3">
      <c r="A3" s="78">
        <v>2022.0</v>
      </c>
    </row>
    <row r="5">
      <c r="A5" s="79" t="s">
        <v>76</v>
      </c>
      <c r="B5" s="80"/>
      <c r="C5" s="80"/>
      <c r="D5" s="80"/>
      <c r="E5" s="80"/>
      <c r="F5" s="80"/>
      <c r="I5" s="81"/>
      <c r="Q5" s="81"/>
    </row>
    <row r="6" hidden="1">
      <c r="A6" s="68" t="s">
        <v>3</v>
      </c>
      <c r="B6" s="69">
        <v>45000.0</v>
      </c>
      <c r="C6" s="2"/>
      <c r="D6" s="129" t="s">
        <v>89</v>
      </c>
      <c r="E6" s="130"/>
      <c r="F6" s="131"/>
      <c r="I6" s="3"/>
      <c r="J6" s="3"/>
      <c r="K6" s="2"/>
      <c r="L6" s="132"/>
      <c r="Q6" s="3"/>
      <c r="R6" s="3"/>
      <c r="S6" s="2"/>
      <c r="T6" s="132"/>
    </row>
    <row r="7" hidden="1">
      <c r="A7" s="19" t="s">
        <v>21</v>
      </c>
      <c r="B7" s="70">
        <v>0.5</v>
      </c>
      <c r="C7" s="2"/>
      <c r="D7" s="133" t="s">
        <v>90</v>
      </c>
      <c r="E7" s="133" t="s">
        <v>91</v>
      </c>
      <c r="F7" s="133" t="s">
        <v>92</v>
      </c>
      <c r="G7" s="7"/>
      <c r="I7" s="3"/>
      <c r="J7" s="8"/>
      <c r="K7" s="2"/>
      <c r="L7" s="90"/>
      <c r="M7" s="90"/>
      <c r="N7" s="90"/>
      <c r="Q7" s="3"/>
      <c r="R7" s="8"/>
      <c r="S7" s="2"/>
      <c r="T7" s="90"/>
      <c r="U7" s="90"/>
      <c r="V7" s="90"/>
    </row>
    <row r="8" hidden="1">
      <c r="A8" s="71" t="s">
        <v>93</v>
      </c>
      <c r="B8" s="24">
        <v>2.5</v>
      </c>
      <c r="C8" s="2"/>
      <c r="D8" s="133" t="s">
        <v>25</v>
      </c>
      <c r="E8" s="133">
        <v>8.0</v>
      </c>
      <c r="F8" s="134">
        <f t="shared" ref="F8:F11" si="1">E8*$B$8</f>
        <v>20</v>
      </c>
      <c r="G8" s="3"/>
      <c r="I8" s="90"/>
      <c r="J8" s="90"/>
      <c r="K8" s="2"/>
      <c r="L8" s="90"/>
      <c r="M8" s="90"/>
      <c r="Q8" s="90"/>
      <c r="R8" s="90"/>
      <c r="S8" s="2"/>
      <c r="T8" s="90"/>
      <c r="U8" s="90"/>
    </row>
    <row r="9" hidden="1">
      <c r="C9" s="2"/>
      <c r="D9" s="135" t="s">
        <v>26</v>
      </c>
      <c r="E9" s="135">
        <v>8.0</v>
      </c>
      <c r="F9" s="134">
        <f t="shared" si="1"/>
        <v>20</v>
      </c>
      <c r="G9" s="3"/>
      <c r="I9" s="3"/>
      <c r="J9" s="3"/>
      <c r="K9" s="2"/>
      <c r="L9" s="3"/>
      <c r="M9" s="3"/>
      <c r="Q9" s="3"/>
      <c r="R9" s="3"/>
      <c r="S9" s="2"/>
      <c r="T9" s="3"/>
      <c r="U9" s="3"/>
    </row>
    <row r="10" hidden="1">
      <c r="A10" s="81" t="s">
        <v>94</v>
      </c>
      <c r="C10" s="2"/>
      <c r="D10" s="133" t="s">
        <v>27</v>
      </c>
      <c r="E10" s="133">
        <v>10.0</v>
      </c>
      <c r="F10" s="134">
        <f t="shared" si="1"/>
        <v>25</v>
      </c>
      <c r="G10" s="7"/>
      <c r="K10" s="2"/>
      <c r="L10" s="90"/>
      <c r="M10" s="90"/>
      <c r="S10" s="2"/>
      <c r="T10" s="90"/>
      <c r="U10" s="90"/>
    </row>
    <row r="11" hidden="1">
      <c r="A11" s="72" t="s">
        <v>15</v>
      </c>
      <c r="B11" s="69">
        <v>9.0</v>
      </c>
      <c r="C11" s="2"/>
      <c r="D11" s="133" t="s">
        <v>28</v>
      </c>
      <c r="E11" s="133">
        <v>8.0</v>
      </c>
      <c r="F11" s="134">
        <f t="shared" si="1"/>
        <v>20</v>
      </c>
      <c r="G11" s="2"/>
      <c r="I11" s="81"/>
      <c r="K11" s="2"/>
      <c r="L11" s="90"/>
      <c r="M11" s="90"/>
      <c r="Q11" s="81"/>
      <c r="S11" s="2"/>
      <c r="T11" s="90"/>
      <c r="U11" s="90"/>
    </row>
    <row r="12" hidden="1">
      <c r="A12" s="19" t="s">
        <v>17</v>
      </c>
      <c r="B12" s="20">
        <v>0.0</v>
      </c>
      <c r="C12" s="2"/>
      <c r="F12" s="57">
        <f>SUM(F8:F11)</f>
        <v>85</v>
      </c>
      <c r="G12" s="3"/>
      <c r="I12" s="10"/>
      <c r="J12" s="3"/>
      <c r="K12" s="2"/>
      <c r="Q12" s="10"/>
      <c r="R12" s="3"/>
      <c r="S12" s="2"/>
    </row>
    <row r="13" hidden="1">
      <c r="A13" s="71" t="s">
        <v>18</v>
      </c>
      <c r="B13" s="24">
        <f>SUM(B11:B12)</f>
        <v>9</v>
      </c>
      <c r="C13" s="2"/>
      <c r="D13" s="38" t="s">
        <v>95</v>
      </c>
      <c r="E13" s="38"/>
      <c r="F13" s="38"/>
      <c r="G13" s="3"/>
      <c r="I13" s="3"/>
      <c r="J13" s="3"/>
      <c r="K13" s="2"/>
      <c r="L13" s="132"/>
      <c r="Q13" s="3"/>
      <c r="R13" s="3"/>
      <c r="S13" s="2"/>
      <c r="T13" s="132"/>
    </row>
    <row r="14" hidden="1">
      <c r="C14" s="2"/>
      <c r="D14" s="45" t="s">
        <v>90</v>
      </c>
      <c r="E14" s="45" t="s">
        <v>96</v>
      </c>
      <c r="F14" s="136" t="s">
        <v>18</v>
      </c>
      <c r="I14" s="3"/>
      <c r="J14" s="3"/>
      <c r="K14" s="2"/>
      <c r="L14" s="90"/>
      <c r="M14" s="90"/>
      <c r="N14" s="90"/>
      <c r="Q14" s="3"/>
      <c r="R14" s="3"/>
      <c r="S14" s="2"/>
      <c r="T14" s="90"/>
      <c r="U14" s="90"/>
      <c r="V14" s="90"/>
    </row>
    <row r="15" hidden="1">
      <c r="C15" s="2"/>
      <c r="D15" s="137" t="s">
        <v>25</v>
      </c>
      <c r="E15" s="137">
        <v>2500.0</v>
      </c>
      <c r="F15" s="137">
        <f t="shared" ref="F15:F18" si="2">E15*F8</f>
        <v>50000</v>
      </c>
      <c r="K15" s="2"/>
      <c r="L15" s="90"/>
      <c r="M15" s="90"/>
      <c r="S15" s="2"/>
      <c r="T15" s="90"/>
      <c r="U15" s="90"/>
    </row>
    <row r="16" hidden="1">
      <c r="A16" s="68" t="s">
        <v>12</v>
      </c>
      <c r="B16" s="82">
        <f>B6*B11</f>
        <v>405000</v>
      </c>
      <c r="C16" s="2"/>
      <c r="D16" s="137" t="s">
        <v>26</v>
      </c>
      <c r="E16" s="137">
        <v>2500.0</v>
      </c>
      <c r="F16" s="137">
        <f t="shared" si="2"/>
        <v>50000</v>
      </c>
      <c r="G16" s="2"/>
      <c r="K16" s="2"/>
      <c r="L16" s="3"/>
      <c r="M16" s="3"/>
      <c r="S16" s="2"/>
      <c r="T16" s="3"/>
      <c r="U16" s="3"/>
    </row>
    <row r="17" hidden="1">
      <c r="A17" s="83" t="s">
        <v>21</v>
      </c>
      <c r="B17" s="84">
        <f>(B6*B7)*B11</f>
        <v>202500</v>
      </c>
      <c r="C17" s="2"/>
      <c r="D17" s="138" t="s">
        <v>27</v>
      </c>
      <c r="E17" s="138">
        <v>2500.0</v>
      </c>
      <c r="F17" s="137">
        <f t="shared" si="2"/>
        <v>62500</v>
      </c>
      <c r="I17" s="81"/>
      <c r="K17" s="2"/>
      <c r="L17" s="90"/>
      <c r="M17" s="90"/>
      <c r="Q17" s="81"/>
      <c r="S17" s="2"/>
      <c r="T17" s="90"/>
      <c r="U17" s="90"/>
    </row>
    <row r="18" hidden="1">
      <c r="A18" s="19" t="s">
        <v>66</v>
      </c>
      <c r="B18" s="20">
        <f>(F19)*1.288</f>
        <v>273700</v>
      </c>
      <c r="C18" s="2"/>
      <c r="D18" s="139" t="s">
        <v>28</v>
      </c>
      <c r="E18" s="139">
        <v>2500.0</v>
      </c>
      <c r="F18" s="136">
        <f t="shared" si="2"/>
        <v>50000</v>
      </c>
      <c r="I18" s="10"/>
      <c r="J18" s="3"/>
      <c r="K18" s="2"/>
      <c r="L18" s="90"/>
      <c r="M18" s="90"/>
      <c r="Q18" s="10"/>
      <c r="R18" s="3"/>
      <c r="S18" s="2"/>
      <c r="T18" s="90"/>
      <c r="U18" s="90"/>
    </row>
    <row r="19" hidden="1">
      <c r="A19" s="71" t="s">
        <v>22</v>
      </c>
      <c r="B19" s="85">
        <f>B16-(B18+B17)</f>
        <v>-71200</v>
      </c>
      <c r="D19" s="2"/>
      <c r="E19" s="2"/>
      <c r="F19" s="140">
        <f>SUM(F15:F18)</f>
        <v>212500</v>
      </c>
      <c r="I19" s="3"/>
      <c r="J19" s="3"/>
      <c r="Q19" s="3"/>
      <c r="R19" s="3"/>
    </row>
    <row r="20">
      <c r="C20" s="2"/>
      <c r="I20" s="3"/>
      <c r="J20" s="3"/>
      <c r="K20" s="2"/>
      <c r="L20" s="7"/>
      <c r="M20" s="7"/>
      <c r="N20" s="7"/>
      <c r="Q20" s="3"/>
      <c r="R20" s="3"/>
      <c r="S20" s="2"/>
      <c r="T20" s="7"/>
      <c r="U20" s="7"/>
      <c r="V20" s="7"/>
    </row>
    <row r="21">
      <c r="A21" s="86" t="s">
        <v>78</v>
      </c>
      <c r="B21" s="87"/>
      <c r="C21" s="87"/>
      <c r="D21" s="87"/>
      <c r="E21" s="87"/>
      <c r="F21" s="87"/>
      <c r="G21" s="7"/>
      <c r="K21" s="2"/>
      <c r="L21" s="3"/>
      <c r="M21" s="3"/>
      <c r="N21" s="137"/>
      <c r="S21" s="2"/>
      <c r="T21" s="3"/>
      <c r="U21" s="3"/>
      <c r="V21" s="137"/>
    </row>
    <row r="22">
      <c r="A22" s="68" t="s">
        <v>3</v>
      </c>
      <c r="B22" s="69">
        <v>34000.0</v>
      </c>
      <c r="C22" s="2"/>
      <c r="D22" s="129" t="s">
        <v>89</v>
      </c>
      <c r="E22" s="130"/>
      <c r="F22" s="131"/>
      <c r="G22" s="3"/>
      <c r="K22" s="2"/>
      <c r="L22" s="137"/>
      <c r="M22" s="137"/>
      <c r="N22" s="137"/>
      <c r="S22" s="2"/>
      <c r="T22" s="137"/>
      <c r="U22" s="137"/>
      <c r="V22" s="137"/>
    </row>
    <row r="23">
      <c r="A23" s="19" t="s">
        <v>21</v>
      </c>
      <c r="B23" s="70">
        <v>1.0</v>
      </c>
      <c r="C23" s="2"/>
      <c r="D23" s="133" t="s">
        <v>90</v>
      </c>
      <c r="E23" s="133" t="s">
        <v>91</v>
      </c>
      <c r="F23" s="133" t="s">
        <v>92</v>
      </c>
      <c r="G23" s="3"/>
      <c r="I23" s="3"/>
      <c r="J23" s="2"/>
      <c r="K23" s="2"/>
      <c r="L23" s="137"/>
      <c r="M23" s="137"/>
      <c r="N23" s="137"/>
      <c r="Q23" s="3"/>
      <c r="R23" s="2"/>
      <c r="S23" s="2"/>
      <c r="T23" s="137"/>
      <c r="U23" s="137"/>
      <c r="V23" s="137"/>
    </row>
    <row r="24">
      <c r="A24" s="71" t="s">
        <v>93</v>
      </c>
      <c r="B24" s="24">
        <v>2.5</v>
      </c>
      <c r="C24" s="2"/>
      <c r="D24" s="133" t="s">
        <v>38</v>
      </c>
      <c r="E24" s="133">
        <v>9.0</v>
      </c>
      <c r="F24" s="134">
        <f t="shared" ref="F24:F27" si="3">E24*$B$8</f>
        <v>22.5</v>
      </c>
      <c r="G24" s="3"/>
      <c r="I24" s="90"/>
      <c r="K24" s="2"/>
      <c r="L24" s="138"/>
      <c r="M24" s="138"/>
      <c r="N24" s="137"/>
      <c r="Q24" s="90"/>
      <c r="S24" s="2"/>
      <c r="T24" s="138"/>
      <c r="U24" s="138"/>
      <c r="V24" s="137"/>
    </row>
    <row r="25">
      <c r="C25" s="2"/>
      <c r="D25" s="135" t="s">
        <v>39</v>
      </c>
      <c r="E25" s="135">
        <v>5.0</v>
      </c>
      <c r="F25" s="134">
        <f t="shared" si="3"/>
        <v>12.5</v>
      </c>
      <c r="G25" s="3"/>
      <c r="I25" s="3"/>
      <c r="J25" s="3"/>
      <c r="K25" s="2"/>
      <c r="L25" s="138"/>
      <c r="M25" s="138"/>
      <c r="N25" s="137"/>
      <c r="Q25" s="3"/>
      <c r="R25" s="3"/>
      <c r="S25" s="2"/>
      <c r="T25" s="138"/>
      <c r="U25" s="138"/>
      <c r="V25" s="137"/>
    </row>
    <row r="26">
      <c r="A26" s="81" t="s">
        <v>94</v>
      </c>
      <c r="C26" s="2"/>
      <c r="D26" s="133" t="s">
        <v>40</v>
      </c>
      <c r="E26" s="133">
        <v>0.0</v>
      </c>
      <c r="F26" s="134">
        <f t="shared" si="3"/>
        <v>0</v>
      </c>
      <c r="G26" s="3"/>
      <c r="I26" s="3"/>
      <c r="J26" s="3"/>
      <c r="K26" s="2"/>
      <c r="L26" s="2"/>
      <c r="M26" s="2"/>
      <c r="N26" s="140"/>
      <c r="Q26" s="3"/>
      <c r="R26" s="3"/>
      <c r="S26" s="2"/>
      <c r="T26" s="2"/>
      <c r="U26" s="2"/>
      <c r="V26" s="140"/>
    </row>
    <row r="27">
      <c r="A27" s="72" t="s">
        <v>15</v>
      </c>
      <c r="B27" s="69">
        <v>1.0</v>
      </c>
      <c r="C27" s="2"/>
      <c r="D27" s="133" t="s">
        <v>41</v>
      </c>
      <c r="E27" s="133">
        <v>0.0</v>
      </c>
      <c r="F27" s="134">
        <f t="shared" si="3"/>
        <v>0</v>
      </c>
      <c r="G27" s="3"/>
      <c r="H27" s="9"/>
      <c r="I27" s="9"/>
      <c r="J27" s="9"/>
      <c r="K27" s="9"/>
      <c r="L27" s="9"/>
    </row>
    <row r="28">
      <c r="A28" s="19" t="s">
        <v>87</v>
      </c>
      <c r="B28" s="20">
        <v>0.0</v>
      </c>
      <c r="C28" s="2"/>
      <c r="G28" s="7"/>
      <c r="H28" s="7"/>
      <c r="I28" s="7"/>
      <c r="J28" s="2"/>
      <c r="K28" s="2"/>
      <c r="L28" s="2"/>
    </row>
    <row r="29">
      <c r="A29" s="71" t="s">
        <v>18</v>
      </c>
      <c r="B29" s="24">
        <f>SUM(B27:B28)</f>
        <v>1</v>
      </c>
      <c r="C29" s="2"/>
      <c r="D29" s="38" t="s">
        <v>95</v>
      </c>
      <c r="E29" s="38"/>
      <c r="F29" s="38"/>
      <c r="G29" s="2"/>
      <c r="H29" s="2"/>
      <c r="I29" s="2"/>
      <c r="J29" s="2"/>
      <c r="K29" s="2"/>
      <c r="L29" s="2"/>
    </row>
    <row r="30">
      <c r="C30" s="2"/>
      <c r="D30" s="45" t="s">
        <v>90</v>
      </c>
      <c r="E30" s="45" t="s">
        <v>96</v>
      </c>
      <c r="F30" s="136" t="s">
        <v>18</v>
      </c>
      <c r="G30" s="2"/>
      <c r="H30" s="2"/>
      <c r="I30" s="2"/>
      <c r="J30" s="2"/>
      <c r="K30" s="3"/>
      <c r="L30" s="2"/>
    </row>
    <row r="31">
      <c r="C31" s="2"/>
      <c r="D31" s="137" t="s">
        <v>38</v>
      </c>
      <c r="E31" s="137">
        <v>2500.0</v>
      </c>
      <c r="F31" s="137">
        <f t="shared" ref="F31:F34" si="4">E31*F24</f>
        <v>56250</v>
      </c>
      <c r="G31" s="2"/>
      <c r="H31" s="2"/>
      <c r="I31" s="2"/>
      <c r="J31" s="3"/>
      <c r="K31" s="3"/>
      <c r="L31" s="2"/>
    </row>
    <row r="32">
      <c r="A32" s="68" t="s">
        <v>12</v>
      </c>
      <c r="B32" s="82">
        <f>B22*B27</f>
        <v>34000</v>
      </c>
      <c r="C32" s="2"/>
      <c r="D32" s="137" t="s">
        <v>39</v>
      </c>
      <c r="E32" s="137">
        <v>2500.0</v>
      </c>
      <c r="F32" s="137">
        <f t="shared" si="4"/>
        <v>31250</v>
      </c>
    </row>
    <row r="33">
      <c r="A33" s="83" t="s">
        <v>21</v>
      </c>
      <c r="B33" s="84">
        <f>(B22*B23)*B27</f>
        <v>34000</v>
      </c>
      <c r="C33" s="2"/>
      <c r="D33" s="138" t="s">
        <v>40</v>
      </c>
      <c r="E33" s="138">
        <v>2500.0</v>
      </c>
      <c r="F33" s="137">
        <f t="shared" si="4"/>
        <v>0</v>
      </c>
    </row>
    <row r="34">
      <c r="A34" s="19" t="s">
        <v>66</v>
      </c>
      <c r="B34" s="20">
        <f>(F35)*1.288</f>
        <v>112700</v>
      </c>
      <c r="C34" s="2"/>
      <c r="D34" s="139" t="s">
        <v>41</v>
      </c>
      <c r="E34" s="139">
        <v>2500.0</v>
      </c>
      <c r="F34" s="136">
        <f t="shared" si="4"/>
        <v>0</v>
      </c>
    </row>
    <row r="35">
      <c r="A35" s="71" t="s">
        <v>22</v>
      </c>
      <c r="B35" s="85">
        <f>B32-(B34+B33)</f>
        <v>-112700</v>
      </c>
      <c r="D35" s="2"/>
      <c r="E35" s="2"/>
      <c r="F35" s="140">
        <f>SUM(F31:F34)</f>
        <v>87500</v>
      </c>
      <c r="G35" s="7"/>
      <c r="H35" s="7"/>
      <c r="I35" s="7"/>
      <c r="J35" s="7"/>
      <c r="K35" s="7"/>
      <c r="L35" s="7"/>
    </row>
    <row r="36">
      <c r="A36" s="3"/>
      <c r="B36" s="3"/>
      <c r="C36" s="2"/>
      <c r="D36" s="3"/>
      <c r="E36" s="3"/>
      <c r="F36" s="9"/>
      <c r="G36" s="3"/>
      <c r="H36" s="9"/>
      <c r="I36" s="9"/>
      <c r="J36" s="9"/>
      <c r="K36" s="9"/>
      <c r="L36" s="9"/>
    </row>
    <row r="37">
      <c r="A37" s="66" t="s">
        <v>70</v>
      </c>
      <c r="B37" s="67"/>
      <c r="C37" s="67"/>
      <c r="D37" s="67"/>
      <c r="E37" s="67"/>
      <c r="F37" s="67"/>
      <c r="G37" s="3"/>
      <c r="H37" s="9"/>
      <c r="I37" s="9"/>
      <c r="J37" s="9"/>
      <c r="K37" s="9"/>
      <c r="L37" s="9"/>
    </row>
    <row r="38">
      <c r="A38" s="101" t="s">
        <v>3</v>
      </c>
      <c r="B38" s="102">
        <v>45000.0</v>
      </c>
      <c r="C38" s="103"/>
      <c r="D38" s="141" t="s">
        <v>89</v>
      </c>
      <c r="E38" s="130"/>
      <c r="F38" s="131"/>
      <c r="G38" s="3"/>
      <c r="H38" s="9"/>
      <c r="I38" s="9"/>
      <c r="J38" s="9"/>
      <c r="K38" s="9"/>
      <c r="L38" s="9"/>
    </row>
    <row r="39">
      <c r="A39" s="105" t="s">
        <v>21</v>
      </c>
      <c r="B39" s="106">
        <v>0.5</v>
      </c>
      <c r="C39" s="103"/>
      <c r="D39" s="142" t="s">
        <v>90</v>
      </c>
      <c r="E39" s="142" t="s">
        <v>91</v>
      </c>
      <c r="F39" s="142" t="s">
        <v>92</v>
      </c>
      <c r="G39" s="3"/>
      <c r="H39" s="9"/>
      <c r="I39" s="9"/>
      <c r="J39" s="9"/>
      <c r="K39" s="9"/>
      <c r="L39" s="9"/>
    </row>
    <row r="40">
      <c r="A40" s="108" t="s">
        <v>93</v>
      </c>
      <c r="B40" s="109">
        <v>2.5</v>
      </c>
      <c r="C40" s="103"/>
      <c r="D40" s="142" t="s">
        <v>6</v>
      </c>
      <c r="E40" s="142">
        <v>0.0</v>
      </c>
      <c r="F40" s="143">
        <f t="shared" ref="F40:F43" si="5">E40*$B$8</f>
        <v>0</v>
      </c>
      <c r="G40" s="3"/>
      <c r="H40" s="9"/>
      <c r="I40" s="9"/>
      <c r="J40" s="9"/>
      <c r="K40" s="9"/>
      <c r="L40" s="9"/>
    </row>
    <row r="41">
      <c r="A41" s="104"/>
      <c r="B41" s="104"/>
      <c r="C41" s="103"/>
      <c r="D41" s="144" t="s">
        <v>7</v>
      </c>
      <c r="E41" s="144">
        <v>0.0</v>
      </c>
      <c r="F41" s="143">
        <f t="shared" si="5"/>
        <v>0</v>
      </c>
      <c r="G41" s="3"/>
      <c r="H41" s="9"/>
      <c r="I41" s="9"/>
      <c r="J41" s="9"/>
      <c r="K41" s="9"/>
      <c r="L41" s="9"/>
    </row>
    <row r="42">
      <c r="A42" s="145" t="s">
        <v>94</v>
      </c>
      <c r="B42" s="104"/>
      <c r="C42" s="103"/>
      <c r="D42" s="142" t="s">
        <v>8</v>
      </c>
      <c r="E42" s="142">
        <v>0.0</v>
      </c>
      <c r="F42" s="143">
        <f t="shared" si="5"/>
        <v>0</v>
      </c>
      <c r="G42" s="7"/>
      <c r="H42" s="7"/>
      <c r="I42" s="7"/>
      <c r="J42" s="2"/>
      <c r="K42" s="2"/>
      <c r="L42" s="2"/>
    </row>
    <row r="43">
      <c r="A43" s="112" t="s">
        <v>15</v>
      </c>
      <c r="B43" s="102">
        <v>0.0</v>
      </c>
      <c r="C43" s="103"/>
      <c r="D43" s="142" t="s">
        <v>9</v>
      </c>
      <c r="E43" s="142">
        <v>0.0</v>
      </c>
      <c r="F43" s="143">
        <f t="shared" si="5"/>
        <v>0</v>
      </c>
      <c r="G43" s="2"/>
      <c r="H43" s="2"/>
      <c r="I43" s="2"/>
      <c r="J43" s="2"/>
      <c r="K43" s="2"/>
      <c r="L43" s="2"/>
    </row>
    <row r="44">
      <c r="A44" s="105" t="s">
        <v>17</v>
      </c>
      <c r="B44" s="113">
        <v>0.0</v>
      </c>
      <c r="C44" s="103"/>
      <c r="D44" s="104"/>
      <c r="E44" s="104"/>
      <c r="F44" s="104"/>
      <c r="G44" s="2"/>
      <c r="H44" s="2"/>
      <c r="I44" s="2"/>
      <c r="J44" s="2"/>
      <c r="K44" s="3"/>
      <c r="L44" s="2"/>
    </row>
    <row r="45">
      <c r="A45" s="108" t="s">
        <v>18</v>
      </c>
      <c r="B45" s="109">
        <f>SUM(B43:B44)</f>
        <v>0</v>
      </c>
      <c r="C45" s="103"/>
      <c r="D45" s="146" t="s">
        <v>95</v>
      </c>
      <c r="E45" s="146"/>
      <c r="F45" s="146"/>
      <c r="G45" s="2"/>
      <c r="H45" s="2"/>
      <c r="I45" s="2"/>
      <c r="J45" s="3"/>
      <c r="K45" s="3"/>
      <c r="L45" s="2"/>
    </row>
    <row r="46">
      <c r="A46" s="104"/>
      <c r="B46" s="104"/>
      <c r="C46" s="103"/>
      <c r="D46" s="117" t="s">
        <v>90</v>
      </c>
      <c r="E46" s="117" t="s">
        <v>96</v>
      </c>
      <c r="F46" s="147" t="s">
        <v>18</v>
      </c>
    </row>
    <row r="47">
      <c r="A47" s="104"/>
      <c r="B47" s="104"/>
      <c r="C47" s="103"/>
      <c r="D47" s="148" t="s">
        <v>6</v>
      </c>
      <c r="E47" s="148">
        <v>2500.0</v>
      </c>
      <c r="F47" s="148">
        <f t="shared" ref="F47:F50" si="6">E47*F40</f>
        <v>0</v>
      </c>
    </row>
    <row r="48">
      <c r="A48" s="101" t="s">
        <v>12</v>
      </c>
      <c r="B48" s="114">
        <f>B38*B43</f>
        <v>0</v>
      </c>
      <c r="C48" s="103"/>
      <c r="D48" s="148" t="s">
        <v>7</v>
      </c>
      <c r="E48" s="148">
        <v>2500.0</v>
      </c>
      <c r="F48" s="148">
        <f t="shared" si="6"/>
        <v>0</v>
      </c>
    </row>
    <row r="49">
      <c r="A49" s="115" t="s">
        <v>21</v>
      </c>
      <c r="B49" s="116">
        <f>(B38*B39)*B43</f>
        <v>0</v>
      </c>
      <c r="C49" s="103"/>
      <c r="D49" s="149" t="s">
        <v>8</v>
      </c>
      <c r="E49" s="149">
        <v>2500.0</v>
      </c>
      <c r="F49" s="148">
        <f t="shared" si="6"/>
        <v>0</v>
      </c>
    </row>
    <row r="50">
      <c r="A50" s="105" t="s">
        <v>66</v>
      </c>
      <c r="B50" s="113">
        <f>F51</f>
        <v>0</v>
      </c>
      <c r="C50" s="103"/>
      <c r="D50" s="150" t="s">
        <v>9</v>
      </c>
      <c r="E50" s="150">
        <v>2500.0</v>
      </c>
      <c r="F50" s="147">
        <f t="shared" si="6"/>
        <v>0</v>
      </c>
    </row>
    <row r="51">
      <c r="A51" s="108" t="s">
        <v>22</v>
      </c>
      <c r="B51" s="109">
        <f>B48-(B50+B49)</f>
        <v>0</v>
      </c>
      <c r="C51" s="104"/>
      <c r="D51" s="103"/>
      <c r="E51" s="103"/>
      <c r="F51" s="151">
        <f>SUM(F47:F50)</f>
        <v>0</v>
      </c>
    </row>
  </sheetData>
  <mergeCells count="8">
    <mergeCell ref="A1:C1"/>
    <mergeCell ref="D6:F6"/>
    <mergeCell ref="L6:N6"/>
    <mergeCell ref="T6:V6"/>
    <mergeCell ref="L13:N13"/>
    <mergeCell ref="T13:V13"/>
    <mergeCell ref="D22:F22"/>
    <mergeCell ref="D38:F38"/>
  </mergeCells>
  <conditionalFormatting sqref="B19 J26 R26 B31 B35 B45 B51">
    <cfRule type="cellIs" dxfId="0" priority="1" operator="lessThan">
      <formula>0</formula>
    </cfRule>
  </conditionalFormatting>
  <conditionalFormatting sqref="B19 J26 R26 B31 B35 B45 B51">
    <cfRule type="cellIs" dxfId="1" priority="2" operator="greaterThanOrEqual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3" max="3" width="18.86"/>
    <col customWidth="1" min="6" max="6" width="18.29"/>
  </cols>
  <sheetData>
    <row r="1">
      <c r="A1" s="122" t="s">
        <v>97</v>
      </c>
    </row>
    <row r="4">
      <c r="A4" s="79">
        <v>2022.0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hidden="1">
      <c r="A5" s="68" t="s">
        <v>3</v>
      </c>
      <c r="B5" s="69">
        <v>11250.0</v>
      </c>
      <c r="C5" s="2"/>
    </row>
    <row r="6" hidden="1">
      <c r="A6" s="90" t="s">
        <v>98</v>
      </c>
      <c r="B6" s="123">
        <v>14125.0</v>
      </c>
      <c r="C6" s="2"/>
    </row>
    <row r="7" hidden="1">
      <c r="A7" s="19" t="s">
        <v>21</v>
      </c>
      <c r="B7" s="70">
        <v>0.5</v>
      </c>
      <c r="C7" s="2"/>
      <c r="G7" s="3"/>
      <c r="H7" s="9"/>
      <c r="I7" s="9"/>
    </row>
    <row r="8" hidden="1">
      <c r="A8" s="71" t="s">
        <v>23</v>
      </c>
      <c r="B8" s="24">
        <v>1.5</v>
      </c>
      <c r="C8" s="2"/>
      <c r="G8" s="3"/>
      <c r="H8" s="9"/>
      <c r="I8" s="9"/>
    </row>
    <row r="9" hidden="1">
      <c r="C9" s="2"/>
      <c r="G9" s="3"/>
      <c r="H9" s="9"/>
      <c r="I9" s="9"/>
    </row>
    <row r="10" hidden="1">
      <c r="A10" s="129" t="s">
        <v>66</v>
      </c>
      <c r="B10" s="130"/>
      <c r="C10" s="131"/>
      <c r="G10" s="3"/>
      <c r="H10" s="9"/>
      <c r="I10" s="129" t="s">
        <v>66</v>
      </c>
      <c r="J10" s="130"/>
      <c r="K10" s="131"/>
    </row>
    <row r="11" hidden="1">
      <c r="A11" s="133" t="s">
        <v>90</v>
      </c>
      <c r="B11" s="133" t="s">
        <v>99</v>
      </c>
      <c r="C11" s="133" t="s">
        <v>100</v>
      </c>
      <c r="D11" s="152" t="s">
        <v>12</v>
      </c>
      <c r="E11" s="135" t="s">
        <v>21</v>
      </c>
      <c r="F11" s="135" t="s">
        <v>66</v>
      </c>
      <c r="G11" s="133" t="s">
        <v>22</v>
      </c>
      <c r="H11" s="9"/>
      <c r="I11" s="133" t="s">
        <v>90</v>
      </c>
      <c r="J11" s="133" t="s">
        <v>91</v>
      </c>
      <c r="K11" s="133" t="s">
        <v>92</v>
      </c>
      <c r="L11" s="133" t="s">
        <v>96</v>
      </c>
      <c r="M11" s="133" t="s">
        <v>101</v>
      </c>
    </row>
    <row r="12" hidden="1">
      <c r="A12" s="133" t="s">
        <v>25</v>
      </c>
      <c r="B12" s="133">
        <v>0.0</v>
      </c>
      <c r="C12" s="133">
        <v>0.0</v>
      </c>
      <c r="D12" s="153" t="str">
        <f>(B12*#REF!)+(C12*B3)</f>
        <v>#REF!</v>
      </c>
      <c r="E12" s="154" t="str">
        <f>((B12*#REF!)*B4)+(C12*8500)</f>
        <v>#REF!</v>
      </c>
      <c r="F12" s="155">
        <f t="shared" ref="F12:F20" si="1">M12</f>
        <v>0</v>
      </c>
      <c r="G12" s="134" t="str">
        <f t="shared" ref="G12:G15" si="2">D12-(E12+F12)</f>
        <v>#REF!</v>
      </c>
      <c r="H12" s="9"/>
      <c r="I12" s="133" t="s">
        <v>25</v>
      </c>
      <c r="J12" s="133">
        <v>0.0</v>
      </c>
      <c r="K12" s="134"/>
      <c r="L12" s="133">
        <v>2400.0</v>
      </c>
      <c r="M12" s="134">
        <f t="shared" ref="M12:M15" si="3">L12*K12</f>
        <v>0</v>
      </c>
    </row>
    <row r="13" hidden="1">
      <c r="A13" s="133" t="s">
        <v>26</v>
      </c>
      <c r="B13" s="133">
        <v>0.0</v>
      </c>
      <c r="C13" s="133">
        <v>0.0</v>
      </c>
      <c r="D13" s="153">
        <f t="shared" ref="D13:D14" si="4">(B13*B3)+(C13*B4)</f>
        <v>0</v>
      </c>
      <c r="E13" s="154">
        <f t="shared" ref="E13:E14" si="5">((B13*B3)*B5)+(C13*8500)</f>
        <v>0</v>
      </c>
      <c r="F13" s="155">
        <f t="shared" si="1"/>
        <v>0</v>
      </c>
      <c r="G13" s="134">
        <f t="shared" si="2"/>
        <v>0</v>
      </c>
      <c r="I13" s="133" t="s">
        <v>26</v>
      </c>
      <c r="J13" s="133">
        <v>0.0</v>
      </c>
      <c r="K13" s="134"/>
      <c r="L13" s="133">
        <v>2400.0</v>
      </c>
      <c r="M13" s="134">
        <f t="shared" si="3"/>
        <v>0</v>
      </c>
    </row>
    <row r="14" hidden="1">
      <c r="A14" s="133" t="s">
        <v>27</v>
      </c>
      <c r="B14" s="133">
        <v>0.0</v>
      </c>
      <c r="C14" s="133">
        <v>0.0</v>
      </c>
      <c r="D14" s="153">
        <f t="shared" si="4"/>
        <v>0</v>
      </c>
      <c r="E14" s="154">
        <f t="shared" si="5"/>
        <v>0</v>
      </c>
      <c r="F14" s="155">
        <f t="shared" si="1"/>
        <v>0</v>
      </c>
      <c r="G14" s="134">
        <f t="shared" si="2"/>
        <v>0</v>
      </c>
      <c r="I14" s="133" t="s">
        <v>27</v>
      </c>
      <c r="J14" s="133">
        <v>0.0</v>
      </c>
      <c r="K14" s="134"/>
      <c r="L14" s="133">
        <v>2400.0</v>
      </c>
      <c r="M14" s="134">
        <f t="shared" si="3"/>
        <v>0</v>
      </c>
    </row>
    <row r="15" hidden="1">
      <c r="A15" s="156" t="s">
        <v>28</v>
      </c>
      <c r="B15" s="156">
        <v>1.0</v>
      </c>
      <c r="C15" s="156">
        <v>3.0</v>
      </c>
      <c r="D15" s="157">
        <f>(B15*$B$5)+(C15*$B$6)</f>
        <v>53625</v>
      </c>
      <c r="E15" s="158">
        <f>((B15*$B$5)*$B$7)+(C15*8500)</f>
        <v>31125</v>
      </c>
      <c r="F15" s="159">
        <f t="shared" si="1"/>
        <v>0</v>
      </c>
      <c r="G15" s="160">
        <f t="shared" si="2"/>
        <v>22500</v>
      </c>
      <c r="I15" s="133" t="s">
        <v>28</v>
      </c>
      <c r="J15" s="133">
        <v>0.0</v>
      </c>
      <c r="K15" s="134">
        <f>J15*$B$8</f>
        <v>0</v>
      </c>
      <c r="L15" s="133">
        <v>2400.0</v>
      </c>
      <c r="M15" s="134">
        <f t="shared" si="3"/>
        <v>0</v>
      </c>
    </row>
    <row r="16" hidden="1">
      <c r="A16" s="161" t="s">
        <v>18</v>
      </c>
      <c r="B16" s="162">
        <f t="shared" ref="B16:E16" si="6">SUM(B12:B15)</f>
        <v>1</v>
      </c>
      <c r="C16" s="162">
        <f t="shared" si="6"/>
        <v>3</v>
      </c>
      <c r="D16" s="163" t="str">
        <f t="shared" si="6"/>
        <v>#REF!</v>
      </c>
      <c r="E16" s="164" t="str">
        <f t="shared" si="6"/>
        <v>#REF!</v>
      </c>
      <c r="F16" s="165">
        <f t="shared" si="1"/>
        <v>0</v>
      </c>
      <c r="G16" s="162" t="str">
        <f>SUM(G12:G15)</f>
        <v>#REF!</v>
      </c>
      <c r="I16" s="166"/>
      <c r="J16" s="166">
        <f t="shared" ref="J16:K16" si="7">SUM(J12:J15)</f>
        <v>0</v>
      </c>
      <c r="K16" s="166">
        <f t="shared" si="7"/>
        <v>0</v>
      </c>
      <c r="L16" s="167" t="s">
        <v>102</v>
      </c>
      <c r="M16" s="166">
        <f>SUM(M12:M15)</f>
        <v>0</v>
      </c>
    </row>
    <row r="17" hidden="1">
      <c r="A17" s="168" t="s">
        <v>38</v>
      </c>
      <c r="B17" s="168">
        <v>0.0</v>
      </c>
      <c r="C17" s="169">
        <v>3.0</v>
      </c>
      <c r="D17" s="170">
        <f t="shared" ref="D17:D20" si="8">(B17*$B$5)+(C17*$B$6)</f>
        <v>42375</v>
      </c>
      <c r="E17" s="171">
        <f t="shared" ref="E17:E20" si="9">((B17*$B$5)*$B$7)+(C17*8500)</f>
        <v>25500</v>
      </c>
      <c r="F17" s="172">
        <f t="shared" si="1"/>
        <v>0</v>
      </c>
      <c r="G17" s="173">
        <f t="shared" ref="G17:G20" si="10">D17-(E17+F17)</f>
        <v>16875</v>
      </c>
      <c r="H17" s="7"/>
      <c r="I17" s="135" t="s">
        <v>38</v>
      </c>
      <c r="J17" s="135">
        <v>0.0</v>
      </c>
      <c r="K17" s="134">
        <f t="shared" ref="K17:K20" si="11">J17*$B$8</f>
        <v>0</v>
      </c>
      <c r="L17" s="133">
        <v>2400.0</v>
      </c>
      <c r="M17" s="134">
        <f t="shared" ref="M17:M20" si="12">L17*K17</f>
        <v>0</v>
      </c>
    </row>
    <row r="18" hidden="1">
      <c r="A18" s="133" t="s">
        <v>39</v>
      </c>
      <c r="B18" s="133">
        <v>0.0</v>
      </c>
      <c r="C18" s="174">
        <v>4.0</v>
      </c>
      <c r="D18" s="153">
        <f t="shared" si="8"/>
        <v>56500</v>
      </c>
      <c r="E18" s="154">
        <f t="shared" si="9"/>
        <v>34000</v>
      </c>
      <c r="F18" s="155">
        <f t="shared" si="1"/>
        <v>0</v>
      </c>
      <c r="G18" s="134">
        <f t="shared" si="10"/>
        <v>22500</v>
      </c>
      <c r="H18" s="2"/>
      <c r="I18" s="133" t="s">
        <v>39</v>
      </c>
      <c r="J18" s="133">
        <v>0.0</v>
      </c>
      <c r="K18" s="134">
        <f t="shared" si="11"/>
        <v>0</v>
      </c>
      <c r="L18" s="133">
        <v>2400.0</v>
      </c>
      <c r="M18" s="134">
        <f t="shared" si="12"/>
        <v>0</v>
      </c>
    </row>
    <row r="19" hidden="1">
      <c r="A19" s="133" t="s">
        <v>40</v>
      </c>
      <c r="B19" s="133">
        <v>0.0</v>
      </c>
      <c r="C19" s="174">
        <v>3.0</v>
      </c>
      <c r="D19" s="153">
        <f t="shared" si="8"/>
        <v>42375</v>
      </c>
      <c r="E19" s="154">
        <f t="shared" si="9"/>
        <v>25500</v>
      </c>
      <c r="F19" s="155">
        <f t="shared" si="1"/>
        <v>0</v>
      </c>
      <c r="G19" s="134">
        <f t="shared" si="10"/>
        <v>16875</v>
      </c>
      <c r="H19" s="2"/>
      <c r="I19" s="133" t="s">
        <v>40</v>
      </c>
      <c r="J19" s="133">
        <v>0.0</v>
      </c>
      <c r="K19" s="134">
        <f t="shared" si="11"/>
        <v>0</v>
      </c>
      <c r="L19" s="133">
        <v>2400.0</v>
      </c>
      <c r="M19" s="134">
        <f t="shared" si="12"/>
        <v>0</v>
      </c>
    </row>
    <row r="20" hidden="1">
      <c r="A20" s="175" t="s">
        <v>41</v>
      </c>
      <c r="B20" s="175">
        <v>0.0</v>
      </c>
      <c r="C20" s="176">
        <v>5.0</v>
      </c>
      <c r="D20" s="157">
        <f t="shared" si="8"/>
        <v>70625</v>
      </c>
      <c r="E20" s="158">
        <f t="shared" si="9"/>
        <v>42500</v>
      </c>
      <c r="F20" s="159">
        <f t="shared" si="1"/>
        <v>0</v>
      </c>
      <c r="G20" s="160">
        <f t="shared" si="10"/>
        <v>28125</v>
      </c>
      <c r="H20" s="2"/>
      <c r="I20" s="135" t="s">
        <v>41</v>
      </c>
      <c r="J20" s="135">
        <v>0.0</v>
      </c>
      <c r="K20" s="134">
        <f t="shared" si="11"/>
        <v>0</v>
      </c>
      <c r="L20" s="133">
        <v>2400.0</v>
      </c>
      <c r="M20" s="134">
        <f t="shared" si="12"/>
        <v>0</v>
      </c>
    </row>
    <row r="21" hidden="1">
      <c r="A21" s="161" t="s">
        <v>18</v>
      </c>
      <c r="B21" s="162">
        <f t="shared" ref="B21:G21" si="13">SUM(B17:B20)</f>
        <v>0</v>
      </c>
      <c r="C21" s="177">
        <f t="shared" si="13"/>
        <v>15</v>
      </c>
      <c r="D21" s="178">
        <f t="shared" si="13"/>
        <v>211875</v>
      </c>
      <c r="E21" s="179">
        <f t="shared" si="13"/>
        <v>127500</v>
      </c>
      <c r="F21" s="180">
        <f t="shared" si="13"/>
        <v>0</v>
      </c>
      <c r="G21" s="181">
        <f t="shared" si="13"/>
        <v>84375</v>
      </c>
      <c r="H21" s="9"/>
      <c r="I21" s="166"/>
      <c r="J21" s="166">
        <f t="shared" ref="J21:K21" si="14">SUM(J17:J20)</f>
        <v>0</v>
      </c>
      <c r="K21" s="166">
        <f t="shared" si="14"/>
        <v>0</v>
      </c>
      <c r="L21" s="167" t="s">
        <v>102</v>
      </c>
      <c r="M21" s="166">
        <f>SUM(M17:M20)</f>
        <v>0</v>
      </c>
    </row>
    <row r="22" hidden="1">
      <c r="A22" s="168" t="s">
        <v>6</v>
      </c>
      <c r="B22" s="168">
        <v>1.0</v>
      </c>
      <c r="C22" s="182">
        <v>7.0</v>
      </c>
      <c r="D22" s="170">
        <f t="shared" ref="D22:D25" si="15">(B22*$B$5)+(C22*$B$6)</f>
        <v>110125</v>
      </c>
      <c r="E22" s="171">
        <f t="shared" ref="E22:E25" si="16">((B22*$B$5)*$B$7)+(C22*8500)</f>
        <v>65125</v>
      </c>
      <c r="F22" s="172">
        <f t="shared" ref="F22:F25" si="17">M22</f>
        <v>0</v>
      </c>
      <c r="G22" s="173">
        <f t="shared" ref="G22:G25" si="18">D22-(E22+F22)</f>
        <v>45000</v>
      </c>
      <c r="H22" s="9"/>
      <c r="I22" s="135" t="s">
        <v>6</v>
      </c>
      <c r="J22" s="135">
        <v>0.0</v>
      </c>
      <c r="K22" s="134">
        <f t="shared" ref="K22:K25" si="19">J22*$B$8</f>
        <v>0</v>
      </c>
      <c r="L22" s="133">
        <v>2400.0</v>
      </c>
      <c r="M22" s="134">
        <f t="shared" ref="M22:M25" si="20">L22*K22</f>
        <v>0</v>
      </c>
    </row>
    <row r="23" hidden="1">
      <c r="A23" s="133" t="s">
        <v>7</v>
      </c>
      <c r="B23" s="133">
        <v>1.0</v>
      </c>
      <c r="C23" s="174">
        <v>7.0</v>
      </c>
      <c r="D23" s="153">
        <f t="shared" si="15"/>
        <v>110125</v>
      </c>
      <c r="E23" s="154">
        <f t="shared" si="16"/>
        <v>65125</v>
      </c>
      <c r="F23" s="155">
        <f t="shared" si="17"/>
        <v>0</v>
      </c>
      <c r="G23" s="134">
        <f t="shared" si="18"/>
        <v>45000</v>
      </c>
      <c r="H23" s="9"/>
      <c r="I23" s="133" t="s">
        <v>7</v>
      </c>
      <c r="J23" s="133">
        <v>0.0</v>
      </c>
      <c r="K23" s="134">
        <f t="shared" si="19"/>
        <v>0</v>
      </c>
      <c r="L23" s="133">
        <v>2400.0</v>
      </c>
      <c r="M23" s="134">
        <f t="shared" si="20"/>
        <v>0</v>
      </c>
    </row>
    <row r="24" hidden="1">
      <c r="A24" s="133" t="s">
        <v>8</v>
      </c>
      <c r="B24" s="133">
        <v>0.0</v>
      </c>
      <c r="C24" s="174">
        <v>6.0</v>
      </c>
      <c r="D24" s="153">
        <f t="shared" si="15"/>
        <v>84750</v>
      </c>
      <c r="E24" s="154">
        <f t="shared" si="16"/>
        <v>51000</v>
      </c>
      <c r="F24" s="155">
        <f t="shared" si="17"/>
        <v>0</v>
      </c>
      <c r="G24" s="134">
        <f t="shared" si="18"/>
        <v>33750</v>
      </c>
      <c r="H24" s="9"/>
      <c r="I24" s="133" t="s">
        <v>8</v>
      </c>
      <c r="J24" s="133">
        <v>0.0</v>
      </c>
      <c r="K24" s="134">
        <f t="shared" si="19"/>
        <v>0</v>
      </c>
      <c r="L24" s="133">
        <v>2400.0</v>
      </c>
      <c r="M24" s="134">
        <f t="shared" si="20"/>
        <v>0</v>
      </c>
    </row>
    <row r="25" hidden="1">
      <c r="A25" s="156" t="s">
        <v>9</v>
      </c>
      <c r="B25" s="156">
        <v>0.0</v>
      </c>
      <c r="C25" s="183">
        <v>6.0</v>
      </c>
      <c r="D25" s="157">
        <f t="shared" si="15"/>
        <v>84750</v>
      </c>
      <c r="E25" s="158">
        <f t="shared" si="16"/>
        <v>51000</v>
      </c>
      <c r="F25" s="159">
        <f t="shared" si="17"/>
        <v>0</v>
      </c>
      <c r="G25" s="160">
        <f t="shared" si="18"/>
        <v>33750</v>
      </c>
      <c r="H25" s="9"/>
      <c r="I25" s="133" t="s">
        <v>9</v>
      </c>
      <c r="J25" s="133">
        <v>0.0</v>
      </c>
      <c r="K25" s="134">
        <f t="shared" si="19"/>
        <v>0</v>
      </c>
      <c r="L25" s="133">
        <v>2400.0</v>
      </c>
      <c r="M25" s="134">
        <f t="shared" si="20"/>
        <v>0</v>
      </c>
    </row>
    <row r="26" hidden="1">
      <c r="A26" s="161" t="s">
        <v>18</v>
      </c>
      <c r="B26" s="162">
        <f t="shared" ref="B26:G26" si="21">SUM(B22:B25)</f>
        <v>2</v>
      </c>
      <c r="C26" s="184">
        <f t="shared" si="21"/>
        <v>26</v>
      </c>
      <c r="D26" s="178">
        <f t="shared" si="21"/>
        <v>389750</v>
      </c>
      <c r="E26" s="179">
        <f t="shared" si="21"/>
        <v>232250</v>
      </c>
      <c r="F26" s="180">
        <f t="shared" si="21"/>
        <v>0</v>
      </c>
      <c r="G26" s="181">
        <f t="shared" si="21"/>
        <v>157500</v>
      </c>
      <c r="H26" s="9"/>
      <c r="I26" s="166"/>
      <c r="J26" s="166">
        <f t="shared" ref="J26:K26" si="22">SUM(J22:J25)</f>
        <v>0</v>
      </c>
      <c r="K26" s="166">
        <f t="shared" si="22"/>
        <v>0</v>
      </c>
      <c r="L26" s="185" t="s">
        <v>102</v>
      </c>
      <c r="M26" s="166">
        <f>SUM(M22:M25)</f>
        <v>0</v>
      </c>
    </row>
    <row r="27">
      <c r="A27" s="3"/>
      <c r="B27" s="2"/>
      <c r="C27" s="2"/>
      <c r="D27" s="7"/>
      <c r="E27" s="7"/>
      <c r="F27" s="7"/>
      <c r="G27" s="7"/>
      <c r="H27" s="7"/>
      <c r="I27" s="7"/>
      <c r="J27" s="2"/>
      <c r="K27" s="2"/>
      <c r="L27" s="2"/>
    </row>
    <row r="28">
      <c r="A28" s="90"/>
      <c r="C28" s="2"/>
      <c r="D28" s="3"/>
      <c r="E28" s="3"/>
      <c r="F28" s="3"/>
      <c r="G28" s="2"/>
      <c r="H28" s="2"/>
      <c r="I28" s="2"/>
      <c r="J28" s="2"/>
      <c r="K28" s="2"/>
      <c r="L28" s="2"/>
    </row>
    <row r="29">
      <c r="A29" s="186">
        <v>2023.0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</row>
    <row r="30" hidden="1">
      <c r="A30" s="68" t="s">
        <v>3</v>
      </c>
      <c r="B30" s="188">
        <v>11250.0</v>
      </c>
      <c r="C30" s="90" t="s">
        <v>103</v>
      </c>
      <c r="D30" s="3">
        <v>12500.0</v>
      </c>
    </row>
    <row r="31" hidden="1">
      <c r="A31" s="90" t="s">
        <v>98</v>
      </c>
      <c r="B31" s="123">
        <v>14125.0</v>
      </c>
      <c r="C31" s="90" t="s">
        <v>103</v>
      </c>
      <c r="D31" s="3">
        <v>15375.0</v>
      </c>
    </row>
    <row r="32" hidden="1">
      <c r="A32" s="19" t="s">
        <v>21</v>
      </c>
      <c r="B32" s="70">
        <v>0.5</v>
      </c>
      <c r="C32" s="2"/>
      <c r="G32" s="3"/>
      <c r="H32" s="9"/>
      <c r="I32" s="9"/>
    </row>
    <row r="33" hidden="1">
      <c r="A33" s="71" t="s">
        <v>23</v>
      </c>
      <c r="B33" s="24">
        <v>1.5</v>
      </c>
      <c r="C33" s="2"/>
      <c r="G33" s="3"/>
      <c r="H33" s="9"/>
      <c r="I33" s="9"/>
    </row>
    <row r="34" hidden="1">
      <c r="C34" s="2"/>
      <c r="G34" s="3"/>
      <c r="H34" s="9"/>
      <c r="I34" s="9"/>
    </row>
    <row r="35" hidden="1">
      <c r="A35" s="129" t="s">
        <v>66</v>
      </c>
      <c r="B35" s="130"/>
      <c r="C35" s="131"/>
      <c r="G35" s="3"/>
      <c r="H35" s="9"/>
      <c r="I35" s="129" t="s">
        <v>66</v>
      </c>
      <c r="J35" s="130"/>
      <c r="K35" s="131"/>
    </row>
    <row r="36" hidden="1">
      <c r="A36" s="133" t="s">
        <v>90</v>
      </c>
      <c r="B36" s="133" t="s">
        <v>99</v>
      </c>
      <c r="C36" s="133" t="s">
        <v>100</v>
      </c>
      <c r="D36" s="152" t="s">
        <v>12</v>
      </c>
      <c r="E36" s="135" t="s">
        <v>21</v>
      </c>
      <c r="F36" s="135" t="s">
        <v>66</v>
      </c>
      <c r="G36" s="133" t="s">
        <v>22</v>
      </c>
      <c r="H36" s="9"/>
      <c r="I36" s="133" t="s">
        <v>90</v>
      </c>
      <c r="J36" s="133" t="s">
        <v>91</v>
      </c>
      <c r="K36" s="133" t="s">
        <v>92</v>
      </c>
      <c r="L36" s="133" t="s">
        <v>96</v>
      </c>
      <c r="M36" s="133" t="s">
        <v>101</v>
      </c>
    </row>
    <row r="37" hidden="1">
      <c r="A37" s="133" t="s">
        <v>25</v>
      </c>
      <c r="B37" s="133">
        <v>2.0</v>
      </c>
      <c r="C37" s="133">
        <v>7.0</v>
      </c>
      <c r="D37" s="157">
        <f t="shared" ref="D37:D40" si="23">(B37*$B$30)+(C37*$B$31)</f>
        <v>121375</v>
      </c>
      <c r="E37" s="158">
        <f t="shared" ref="E37:E40" si="24">((B37*$B$30)*$B$32)+(C37*8500)</f>
        <v>70750</v>
      </c>
      <c r="F37" s="155">
        <f t="shared" ref="F37:F45" si="25">M37</f>
        <v>0</v>
      </c>
      <c r="G37" s="134">
        <f t="shared" ref="G37:G40" si="26">D37-(E37+F37)</f>
        <v>50625</v>
      </c>
      <c r="H37" s="9"/>
      <c r="I37" s="133" t="s">
        <v>25</v>
      </c>
      <c r="J37" s="133">
        <v>0.0</v>
      </c>
      <c r="K37" s="134">
        <f t="shared" ref="K37:K40" si="27">J37*$B$33</f>
        <v>0</v>
      </c>
      <c r="L37" s="133">
        <v>2500.0</v>
      </c>
      <c r="M37" s="134">
        <f t="shared" ref="M37:M40" si="28">L37*K37</f>
        <v>0</v>
      </c>
    </row>
    <row r="38" hidden="1">
      <c r="A38" s="133" t="s">
        <v>26</v>
      </c>
      <c r="B38" s="133">
        <v>2.0</v>
      </c>
      <c r="C38" s="133">
        <v>8.0</v>
      </c>
      <c r="D38" s="157">
        <f t="shared" si="23"/>
        <v>135500</v>
      </c>
      <c r="E38" s="158">
        <f t="shared" si="24"/>
        <v>79250</v>
      </c>
      <c r="F38" s="155">
        <f t="shared" si="25"/>
        <v>0</v>
      </c>
      <c r="G38" s="134">
        <f t="shared" si="26"/>
        <v>56250</v>
      </c>
      <c r="I38" s="133" t="s">
        <v>26</v>
      </c>
      <c r="J38" s="133">
        <v>0.0</v>
      </c>
      <c r="K38" s="134">
        <f t="shared" si="27"/>
        <v>0</v>
      </c>
      <c r="L38" s="133">
        <v>2500.0</v>
      </c>
      <c r="M38" s="134">
        <f t="shared" si="28"/>
        <v>0</v>
      </c>
    </row>
    <row r="39" hidden="1">
      <c r="A39" s="133" t="s">
        <v>27</v>
      </c>
      <c r="B39" s="133">
        <v>2.0</v>
      </c>
      <c r="C39" s="133">
        <v>9.0</v>
      </c>
      <c r="D39" s="157">
        <f t="shared" si="23"/>
        <v>149625</v>
      </c>
      <c r="E39" s="158">
        <f t="shared" si="24"/>
        <v>87750</v>
      </c>
      <c r="F39" s="155">
        <f t="shared" si="25"/>
        <v>0</v>
      </c>
      <c r="G39" s="134">
        <f t="shared" si="26"/>
        <v>61875</v>
      </c>
      <c r="I39" s="133" t="s">
        <v>27</v>
      </c>
      <c r="J39" s="133">
        <v>0.0</v>
      </c>
      <c r="K39" s="134">
        <f t="shared" si="27"/>
        <v>0</v>
      </c>
      <c r="L39" s="133">
        <v>2500.0</v>
      </c>
      <c r="M39" s="134">
        <f t="shared" si="28"/>
        <v>0</v>
      </c>
    </row>
    <row r="40" hidden="1">
      <c r="A40" s="156" t="s">
        <v>28</v>
      </c>
      <c r="B40" s="156">
        <v>2.0</v>
      </c>
      <c r="C40" s="156">
        <v>10.0</v>
      </c>
      <c r="D40" s="157">
        <f t="shared" si="23"/>
        <v>163750</v>
      </c>
      <c r="E40" s="158">
        <f t="shared" si="24"/>
        <v>96250</v>
      </c>
      <c r="F40" s="159">
        <f t="shared" si="25"/>
        <v>0</v>
      </c>
      <c r="G40" s="160">
        <f t="shared" si="26"/>
        <v>67500</v>
      </c>
      <c r="I40" s="133" t="s">
        <v>28</v>
      </c>
      <c r="J40" s="133">
        <v>0.0</v>
      </c>
      <c r="K40" s="134">
        <f t="shared" si="27"/>
        <v>0</v>
      </c>
      <c r="L40" s="133">
        <v>2500.0</v>
      </c>
      <c r="M40" s="134">
        <f t="shared" si="28"/>
        <v>0</v>
      </c>
    </row>
    <row r="41" hidden="1">
      <c r="A41" s="161" t="s">
        <v>18</v>
      </c>
      <c r="B41" s="162">
        <f t="shared" ref="B41:E41" si="29">SUM(B37:B40)</f>
        <v>8</v>
      </c>
      <c r="C41" s="162">
        <f t="shared" si="29"/>
        <v>34</v>
      </c>
      <c r="D41" s="163">
        <f t="shared" si="29"/>
        <v>570250</v>
      </c>
      <c r="E41" s="164">
        <f t="shared" si="29"/>
        <v>334000</v>
      </c>
      <c r="F41" s="165">
        <f t="shared" si="25"/>
        <v>0</v>
      </c>
      <c r="G41" s="162">
        <f>SUM(G37:G40)</f>
        <v>236250</v>
      </c>
      <c r="I41" s="166"/>
      <c r="J41" s="166">
        <f t="shared" ref="J41:K41" si="30">SUM(J37:J40)</f>
        <v>0</v>
      </c>
      <c r="K41" s="166">
        <f t="shared" si="30"/>
        <v>0</v>
      </c>
      <c r="L41" s="167" t="s">
        <v>102</v>
      </c>
      <c r="M41" s="166">
        <f>SUM(M37:M40)</f>
        <v>0</v>
      </c>
    </row>
    <row r="42" hidden="1">
      <c r="A42" s="168" t="s">
        <v>38</v>
      </c>
      <c r="B42" s="168">
        <v>2.0</v>
      </c>
      <c r="C42" s="169">
        <v>8.0</v>
      </c>
      <c r="D42" s="157">
        <f t="shared" ref="D42:D45" si="31">(B42*$B$30)+(C42*$B$31)</f>
        <v>135500</v>
      </c>
      <c r="E42" s="158">
        <f t="shared" ref="E42:E45" si="32">((B42*$B$30)*$B$32)+(C42*8500)</f>
        <v>79250</v>
      </c>
      <c r="F42" s="172">
        <f t="shared" si="25"/>
        <v>0</v>
      </c>
      <c r="G42" s="173">
        <f t="shared" ref="G42:G45" si="33">D42-(E42+F42)</f>
        <v>56250</v>
      </c>
      <c r="H42" s="7"/>
      <c r="I42" s="135" t="s">
        <v>38</v>
      </c>
      <c r="J42" s="135">
        <v>0.0</v>
      </c>
      <c r="K42" s="134">
        <f t="shared" ref="K42:K45" si="34">J42*$B$33</f>
        <v>0</v>
      </c>
      <c r="L42" s="133">
        <v>2500.0</v>
      </c>
      <c r="M42" s="134">
        <f t="shared" ref="M42:M45" si="35">L42*K42</f>
        <v>0</v>
      </c>
    </row>
    <row r="43" hidden="1">
      <c r="A43" s="133" t="s">
        <v>39</v>
      </c>
      <c r="B43" s="133">
        <v>2.0</v>
      </c>
      <c r="C43" s="174">
        <v>8.0</v>
      </c>
      <c r="D43" s="157">
        <f t="shared" si="31"/>
        <v>135500</v>
      </c>
      <c r="E43" s="158">
        <f t="shared" si="32"/>
        <v>79250</v>
      </c>
      <c r="F43" s="155">
        <f t="shared" si="25"/>
        <v>0</v>
      </c>
      <c r="G43" s="134">
        <f t="shared" si="33"/>
        <v>56250</v>
      </c>
      <c r="H43" s="2"/>
      <c r="I43" s="133" t="s">
        <v>39</v>
      </c>
      <c r="J43" s="133">
        <v>0.0</v>
      </c>
      <c r="K43" s="134">
        <f t="shared" si="34"/>
        <v>0</v>
      </c>
      <c r="L43" s="133">
        <v>2500.0</v>
      </c>
      <c r="M43" s="134">
        <f t="shared" si="35"/>
        <v>0</v>
      </c>
    </row>
    <row r="44" hidden="1">
      <c r="A44" s="133" t="s">
        <v>40</v>
      </c>
      <c r="B44" s="90">
        <v>3.0</v>
      </c>
      <c r="C44" s="174">
        <v>8.0</v>
      </c>
      <c r="D44" s="157">
        <f t="shared" si="31"/>
        <v>146750</v>
      </c>
      <c r="E44" s="158">
        <f t="shared" si="32"/>
        <v>84875</v>
      </c>
      <c r="F44" s="155">
        <f t="shared" si="25"/>
        <v>0</v>
      </c>
      <c r="G44" s="134">
        <f t="shared" si="33"/>
        <v>61875</v>
      </c>
      <c r="H44" s="2"/>
      <c r="I44" s="133" t="s">
        <v>40</v>
      </c>
      <c r="J44" s="133">
        <v>0.0</v>
      </c>
      <c r="K44" s="134">
        <f t="shared" si="34"/>
        <v>0</v>
      </c>
      <c r="L44" s="133">
        <v>2500.0</v>
      </c>
      <c r="M44" s="134">
        <f t="shared" si="35"/>
        <v>0</v>
      </c>
    </row>
    <row r="45" hidden="1">
      <c r="A45" s="175" t="s">
        <v>41</v>
      </c>
      <c r="B45" s="175">
        <v>3.0</v>
      </c>
      <c r="C45" s="176">
        <v>7.0</v>
      </c>
      <c r="D45" s="157">
        <f t="shared" si="31"/>
        <v>132625</v>
      </c>
      <c r="E45" s="158">
        <f t="shared" si="32"/>
        <v>76375</v>
      </c>
      <c r="F45" s="159">
        <f t="shared" si="25"/>
        <v>0</v>
      </c>
      <c r="G45" s="160">
        <f t="shared" si="33"/>
        <v>56250</v>
      </c>
      <c r="H45" s="2"/>
      <c r="I45" s="135" t="s">
        <v>41</v>
      </c>
      <c r="J45" s="135">
        <v>0.0</v>
      </c>
      <c r="K45" s="134">
        <f t="shared" si="34"/>
        <v>0</v>
      </c>
      <c r="L45" s="133">
        <v>2500.0</v>
      </c>
      <c r="M45" s="134">
        <f t="shared" si="35"/>
        <v>0</v>
      </c>
    </row>
    <row r="46" hidden="1">
      <c r="A46" s="161" t="s">
        <v>18</v>
      </c>
      <c r="B46" s="162">
        <f t="shared" ref="B46:G46" si="36">SUM(B42:B45)</f>
        <v>10</v>
      </c>
      <c r="C46" s="177">
        <f t="shared" si="36"/>
        <v>31</v>
      </c>
      <c r="D46" s="178">
        <f t="shared" si="36"/>
        <v>550375</v>
      </c>
      <c r="E46" s="179">
        <f t="shared" si="36"/>
        <v>319750</v>
      </c>
      <c r="F46" s="180">
        <f t="shared" si="36"/>
        <v>0</v>
      </c>
      <c r="G46" s="181">
        <f t="shared" si="36"/>
        <v>230625</v>
      </c>
      <c r="H46" s="9"/>
      <c r="I46" s="166"/>
      <c r="J46" s="166">
        <f t="shared" ref="J46:K46" si="37">SUM(J42:J45)</f>
        <v>0</v>
      </c>
      <c r="K46" s="166">
        <f t="shared" si="37"/>
        <v>0</v>
      </c>
      <c r="L46" s="167" t="s">
        <v>102</v>
      </c>
      <c r="M46" s="166">
        <f>SUM(M42:M45)</f>
        <v>0</v>
      </c>
    </row>
    <row r="47" hidden="1">
      <c r="A47" s="168" t="s">
        <v>6</v>
      </c>
      <c r="B47" s="168">
        <v>3.0</v>
      </c>
      <c r="C47" s="182">
        <v>7.0</v>
      </c>
      <c r="D47" s="157">
        <f t="shared" ref="D47:D50" si="38">(B47*$D$30)+(C47*$D$31)</f>
        <v>145125</v>
      </c>
      <c r="E47" s="158">
        <f t="shared" ref="E47:E50" si="39">((B47*$D$30)*$B$32)+(C47*8500)</f>
        <v>78250</v>
      </c>
      <c r="F47" s="172">
        <f t="shared" ref="F47:F50" si="40">M47</f>
        <v>0</v>
      </c>
      <c r="G47" s="173">
        <f t="shared" ref="G47:G50" si="41">D47-(E47+F47)</f>
        <v>66875</v>
      </c>
      <c r="H47" s="9"/>
      <c r="I47" s="135" t="s">
        <v>6</v>
      </c>
      <c r="J47" s="135">
        <v>0.0</v>
      </c>
      <c r="K47" s="134">
        <f t="shared" ref="K47:K50" si="42">J47*$B$33</f>
        <v>0</v>
      </c>
      <c r="L47" s="133">
        <v>2500.0</v>
      </c>
      <c r="M47" s="134">
        <f t="shared" ref="M47:M50" si="43">L47*K47</f>
        <v>0</v>
      </c>
    </row>
    <row r="48" hidden="1">
      <c r="A48" s="133" t="s">
        <v>7</v>
      </c>
      <c r="B48" s="133">
        <v>3.0</v>
      </c>
      <c r="C48" s="174">
        <v>8.0</v>
      </c>
      <c r="D48" s="157">
        <f t="shared" si="38"/>
        <v>160500</v>
      </c>
      <c r="E48" s="158">
        <f t="shared" si="39"/>
        <v>86750</v>
      </c>
      <c r="F48" s="155">
        <f t="shared" si="40"/>
        <v>0</v>
      </c>
      <c r="G48" s="134">
        <f t="shared" si="41"/>
        <v>73750</v>
      </c>
      <c r="H48" s="9"/>
      <c r="I48" s="133" t="s">
        <v>7</v>
      </c>
      <c r="J48" s="133">
        <v>0.0</v>
      </c>
      <c r="K48" s="134">
        <f t="shared" si="42"/>
        <v>0</v>
      </c>
      <c r="L48" s="133">
        <v>2500.0</v>
      </c>
      <c r="M48" s="134">
        <f t="shared" si="43"/>
        <v>0</v>
      </c>
    </row>
    <row r="49" hidden="1">
      <c r="A49" s="133" t="s">
        <v>8</v>
      </c>
      <c r="B49" s="133">
        <v>3.0</v>
      </c>
      <c r="C49" s="174">
        <v>7.0</v>
      </c>
      <c r="D49" s="157">
        <f t="shared" si="38"/>
        <v>145125</v>
      </c>
      <c r="E49" s="158">
        <f t="shared" si="39"/>
        <v>78250</v>
      </c>
      <c r="F49" s="155">
        <f t="shared" si="40"/>
        <v>0</v>
      </c>
      <c r="G49" s="134">
        <f t="shared" si="41"/>
        <v>66875</v>
      </c>
      <c r="H49" s="9"/>
      <c r="I49" s="133" t="s">
        <v>8</v>
      </c>
      <c r="J49" s="133">
        <v>0.0</v>
      </c>
      <c r="K49" s="134">
        <f t="shared" si="42"/>
        <v>0</v>
      </c>
      <c r="L49" s="133">
        <v>2500.0</v>
      </c>
      <c r="M49" s="134">
        <f t="shared" si="43"/>
        <v>0</v>
      </c>
    </row>
    <row r="50" hidden="1">
      <c r="A50" s="156" t="s">
        <v>9</v>
      </c>
      <c r="B50" s="156">
        <v>2.0</v>
      </c>
      <c r="C50" s="183">
        <v>7.0</v>
      </c>
      <c r="D50" s="157">
        <f t="shared" si="38"/>
        <v>132625</v>
      </c>
      <c r="E50" s="158">
        <f t="shared" si="39"/>
        <v>72000</v>
      </c>
      <c r="F50" s="159">
        <f t="shared" si="40"/>
        <v>0</v>
      </c>
      <c r="G50" s="160">
        <f t="shared" si="41"/>
        <v>60625</v>
      </c>
      <c r="H50" s="9"/>
      <c r="I50" s="133" t="s">
        <v>9</v>
      </c>
      <c r="J50" s="133">
        <v>0.0</v>
      </c>
      <c r="K50" s="134">
        <f t="shared" si="42"/>
        <v>0</v>
      </c>
      <c r="L50" s="133">
        <v>2500.0</v>
      </c>
      <c r="M50" s="134">
        <f t="shared" si="43"/>
        <v>0</v>
      </c>
    </row>
    <row r="51" hidden="1">
      <c r="A51" s="161" t="s">
        <v>18</v>
      </c>
      <c r="B51" s="162">
        <f t="shared" ref="B51:G51" si="44">SUM(B47:B50)</f>
        <v>11</v>
      </c>
      <c r="C51" s="184">
        <f t="shared" si="44"/>
        <v>29</v>
      </c>
      <c r="D51" s="178">
        <f t="shared" si="44"/>
        <v>583375</v>
      </c>
      <c r="E51" s="179">
        <f t="shared" si="44"/>
        <v>315250</v>
      </c>
      <c r="F51" s="180">
        <f t="shared" si="44"/>
        <v>0</v>
      </c>
      <c r="G51" s="181">
        <f t="shared" si="44"/>
        <v>268125</v>
      </c>
      <c r="H51" s="9"/>
      <c r="I51" s="166"/>
      <c r="J51" s="166">
        <f t="shared" ref="J51:K51" si="45">SUM(J47:J50)</f>
        <v>0</v>
      </c>
      <c r="K51" s="166">
        <f t="shared" si="45"/>
        <v>0</v>
      </c>
      <c r="L51" s="185" t="s">
        <v>102</v>
      </c>
      <c r="M51" s="166">
        <f>SUM(M47:M50)</f>
        <v>0</v>
      </c>
    </row>
    <row r="54">
      <c r="A54" s="189">
        <v>2024.0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</row>
    <row r="55" hidden="1">
      <c r="A55" s="68" t="s">
        <v>3</v>
      </c>
      <c r="B55" s="188">
        <v>12500.0</v>
      </c>
      <c r="D55" s="3"/>
    </row>
    <row r="56" hidden="1">
      <c r="A56" s="90" t="s">
        <v>98</v>
      </c>
      <c r="B56" s="123">
        <v>15375.0</v>
      </c>
      <c r="D56" s="3"/>
    </row>
    <row r="57" hidden="1">
      <c r="A57" s="19" t="s">
        <v>21</v>
      </c>
      <c r="B57" s="70">
        <v>0.5</v>
      </c>
      <c r="C57" s="2"/>
      <c r="G57" s="3"/>
      <c r="H57" s="9"/>
      <c r="I57" s="9"/>
    </row>
    <row r="58" hidden="1">
      <c r="A58" s="71" t="s">
        <v>23</v>
      </c>
      <c r="B58" s="24">
        <v>1.5</v>
      </c>
      <c r="C58" s="2"/>
      <c r="G58" s="3"/>
      <c r="H58" s="9"/>
      <c r="I58" s="9"/>
    </row>
    <row r="59" hidden="1">
      <c r="C59" s="2"/>
      <c r="G59" s="3"/>
      <c r="H59" s="9"/>
      <c r="I59" s="9"/>
    </row>
    <row r="60" hidden="1">
      <c r="A60" s="129" t="s">
        <v>66</v>
      </c>
      <c r="B60" s="130"/>
      <c r="C60" s="131"/>
      <c r="G60" s="3"/>
      <c r="H60" s="9"/>
      <c r="I60" s="129" t="s">
        <v>66</v>
      </c>
      <c r="J60" s="130"/>
      <c r="K60" s="131"/>
    </row>
    <row r="61" hidden="1">
      <c r="A61" s="133" t="s">
        <v>90</v>
      </c>
      <c r="B61" s="133" t="s">
        <v>99</v>
      </c>
      <c r="C61" s="133" t="s">
        <v>100</v>
      </c>
      <c r="D61" s="152" t="s">
        <v>12</v>
      </c>
      <c r="E61" s="135" t="s">
        <v>21</v>
      </c>
      <c r="F61" s="135" t="s">
        <v>66</v>
      </c>
      <c r="G61" s="133" t="s">
        <v>22</v>
      </c>
      <c r="H61" s="9"/>
      <c r="I61" s="133" t="s">
        <v>90</v>
      </c>
      <c r="J61" s="133" t="s">
        <v>91</v>
      </c>
      <c r="K61" s="133" t="s">
        <v>92</v>
      </c>
      <c r="L61" s="133" t="s">
        <v>96</v>
      </c>
      <c r="M61" s="133" t="s">
        <v>101</v>
      </c>
    </row>
    <row r="62" hidden="1">
      <c r="A62" s="133" t="s">
        <v>25</v>
      </c>
      <c r="B62" s="133">
        <v>3.0</v>
      </c>
      <c r="C62" s="133">
        <v>5.0</v>
      </c>
      <c r="D62" s="157">
        <f t="shared" ref="D62:D65" si="46">(B62*$B$55)+(C62*$B$56)</f>
        <v>114375</v>
      </c>
      <c r="E62" s="158">
        <f t="shared" ref="E62:E65" si="47">((B62*$B$55)*$B$57)+(C62*8500)</f>
        <v>61250</v>
      </c>
      <c r="F62" s="155">
        <f t="shared" ref="F62:F70" si="48">M62</f>
        <v>0</v>
      </c>
      <c r="G62" s="134">
        <f t="shared" ref="G62:G65" si="49">D62-(E62+F62)</f>
        <v>53125</v>
      </c>
      <c r="H62" s="9"/>
      <c r="I62" s="133" t="s">
        <v>25</v>
      </c>
      <c r="J62" s="133">
        <v>0.0</v>
      </c>
      <c r="K62" s="134">
        <f t="shared" ref="K62:K65" si="50">J62*$B$33</f>
        <v>0</v>
      </c>
      <c r="L62" s="133">
        <v>2700.0</v>
      </c>
      <c r="M62" s="134">
        <f t="shared" ref="M62:M65" si="51">L62*K62</f>
        <v>0</v>
      </c>
    </row>
    <row r="63" hidden="1">
      <c r="A63" s="133" t="s">
        <v>26</v>
      </c>
      <c r="B63" s="133">
        <v>3.0</v>
      </c>
      <c r="C63" s="133">
        <v>5.0</v>
      </c>
      <c r="D63" s="157">
        <f t="shared" si="46"/>
        <v>114375</v>
      </c>
      <c r="E63" s="158">
        <f t="shared" si="47"/>
        <v>61250</v>
      </c>
      <c r="F63" s="155">
        <f t="shared" si="48"/>
        <v>0</v>
      </c>
      <c r="G63" s="134">
        <f t="shared" si="49"/>
        <v>53125</v>
      </c>
      <c r="I63" s="133" t="s">
        <v>26</v>
      </c>
      <c r="J63" s="133">
        <v>0.0</v>
      </c>
      <c r="K63" s="134">
        <f t="shared" si="50"/>
        <v>0</v>
      </c>
      <c r="L63" s="133">
        <v>2700.0</v>
      </c>
      <c r="M63" s="134">
        <f t="shared" si="51"/>
        <v>0</v>
      </c>
    </row>
    <row r="64" hidden="1">
      <c r="A64" s="133" t="s">
        <v>27</v>
      </c>
      <c r="B64" s="133">
        <v>4.0</v>
      </c>
      <c r="C64" s="133">
        <v>4.0</v>
      </c>
      <c r="D64" s="157">
        <f t="shared" si="46"/>
        <v>111500</v>
      </c>
      <c r="E64" s="158">
        <f t="shared" si="47"/>
        <v>59000</v>
      </c>
      <c r="F64" s="155">
        <f t="shared" si="48"/>
        <v>0</v>
      </c>
      <c r="G64" s="134">
        <f t="shared" si="49"/>
        <v>52500</v>
      </c>
      <c r="I64" s="133" t="s">
        <v>27</v>
      </c>
      <c r="J64" s="133">
        <v>0.0</v>
      </c>
      <c r="K64" s="134">
        <f t="shared" si="50"/>
        <v>0</v>
      </c>
      <c r="L64" s="133">
        <v>2700.0</v>
      </c>
      <c r="M64" s="134">
        <f t="shared" si="51"/>
        <v>0</v>
      </c>
    </row>
    <row r="65" hidden="1">
      <c r="A65" s="156" t="s">
        <v>28</v>
      </c>
      <c r="B65" s="156">
        <v>4.0</v>
      </c>
      <c r="C65" s="156">
        <v>4.0</v>
      </c>
      <c r="D65" s="157">
        <f t="shared" si="46"/>
        <v>111500</v>
      </c>
      <c r="E65" s="158">
        <f t="shared" si="47"/>
        <v>59000</v>
      </c>
      <c r="F65" s="159">
        <f t="shared" si="48"/>
        <v>0</v>
      </c>
      <c r="G65" s="160">
        <f t="shared" si="49"/>
        <v>52500</v>
      </c>
      <c r="I65" s="133" t="s">
        <v>28</v>
      </c>
      <c r="J65" s="133">
        <v>0.0</v>
      </c>
      <c r="K65" s="134">
        <f t="shared" si="50"/>
        <v>0</v>
      </c>
      <c r="L65" s="133">
        <v>2700.0</v>
      </c>
      <c r="M65" s="134">
        <f t="shared" si="51"/>
        <v>0</v>
      </c>
    </row>
    <row r="66" hidden="1">
      <c r="A66" s="161" t="s">
        <v>18</v>
      </c>
      <c r="B66" s="162">
        <f t="shared" ref="B66:E66" si="52">SUM(B62:B65)</f>
        <v>14</v>
      </c>
      <c r="C66" s="162">
        <f t="shared" si="52"/>
        <v>18</v>
      </c>
      <c r="D66" s="163">
        <f t="shared" si="52"/>
        <v>451750</v>
      </c>
      <c r="E66" s="164">
        <f t="shared" si="52"/>
        <v>240500</v>
      </c>
      <c r="F66" s="165">
        <f t="shared" si="48"/>
        <v>0</v>
      </c>
      <c r="G66" s="162">
        <f>SUM(G62:G65)</f>
        <v>211250</v>
      </c>
      <c r="I66" s="166"/>
      <c r="J66" s="166">
        <f t="shared" ref="J66:K66" si="53">SUM(J62:J65)</f>
        <v>0</v>
      </c>
      <c r="K66" s="166">
        <f t="shared" si="53"/>
        <v>0</v>
      </c>
      <c r="L66" s="167" t="s">
        <v>102</v>
      </c>
      <c r="M66" s="166">
        <f>SUM(M62:M65)</f>
        <v>0</v>
      </c>
    </row>
    <row r="67" hidden="1">
      <c r="A67" s="168" t="s">
        <v>38</v>
      </c>
      <c r="B67" s="168">
        <v>2.0</v>
      </c>
      <c r="C67" s="169">
        <v>4.0</v>
      </c>
      <c r="D67" s="157">
        <f t="shared" ref="D67:D70" si="54">(B67*$B$55)+(C67*$B$56)</f>
        <v>86500</v>
      </c>
      <c r="E67" s="158">
        <f t="shared" ref="E67:E70" si="55">((B67*$B$55)*$B$57)+(C67*8500)</f>
        <v>46500</v>
      </c>
      <c r="F67" s="172">
        <f t="shared" si="48"/>
        <v>0</v>
      </c>
      <c r="G67" s="173">
        <f t="shared" ref="G67:G70" si="56">D67-(E67+F67)</f>
        <v>40000</v>
      </c>
      <c r="H67" s="7"/>
      <c r="I67" s="135" t="s">
        <v>38</v>
      </c>
      <c r="J67" s="135">
        <v>0.0</v>
      </c>
      <c r="K67" s="134">
        <f t="shared" ref="K67:K70" si="57">J67*$B$33</f>
        <v>0</v>
      </c>
      <c r="L67" s="133">
        <v>2700.0</v>
      </c>
      <c r="M67" s="134">
        <f t="shared" ref="M67:M70" si="58">L67*K67</f>
        <v>0</v>
      </c>
    </row>
    <row r="68" hidden="1">
      <c r="A68" s="133" t="s">
        <v>39</v>
      </c>
      <c r="B68" s="133">
        <v>3.0</v>
      </c>
      <c r="C68" s="174">
        <v>5.0</v>
      </c>
      <c r="D68" s="157">
        <f t="shared" si="54"/>
        <v>114375</v>
      </c>
      <c r="E68" s="158">
        <f t="shared" si="55"/>
        <v>61250</v>
      </c>
      <c r="F68" s="155">
        <f t="shared" si="48"/>
        <v>0</v>
      </c>
      <c r="G68" s="134">
        <f t="shared" si="56"/>
        <v>53125</v>
      </c>
      <c r="H68" s="2"/>
      <c r="I68" s="133" t="s">
        <v>39</v>
      </c>
      <c r="J68" s="133">
        <v>0.0</v>
      </c>
      <c r="K68" s="134">
        <f t="shared" si="57"/>
        <v>0</v>
      </c>
      <c r="L68" s="133">
        <v>2700.0</v>
      </c>
      <c r="M68" s="134">
        <f t="shared" si="58"/>
        <v>0</v>
      </c>
    </row>
    <row r="69" hidden="1">
      <c r="A69" s="133" t="s">
        <v>40</v>
      </c>
      <c r="B69" s="90">
        <v>3.0</v>
      </c>
      <c r="C69" s="174">
        <v>6.0</v>
      </c>
      <c r="D69" s="157">
        <f t="shared" si="54"/>
        <v>129750</v>
      </c>
      <c r="E69" s="158">
        <f t="shared" si="55"/>
        <v>69750</v>
      </c>
      <c r="F69" s="155">
        <f t="shared" si="48"/>
        <v>0</v>
      </c>
      <c r="G69" s="134">
        <f t="shared" si="56"/>
        <v>60000</v>
      </c>
      <c r="H69" s="2"/>
      <c r="I69" s="133" t="s">
        <v>40</v>
      </c>
      <c r="J69" s="133">
        <v>0.0</v>
      </c>
      <c r="K69" s="134">
        <f t="shared" si="57"/>
        <v>0</v>
      </c>
      <c r="L69" s="133">
        <v>2700.0</v>
      </c>
      <c r="M69" s="134">
        <f t="shared" si="58"/>
        <v>0</v>
      </c>
    </row>
    <row r="70" hidden="1">
      <c r="A70" s="175" t="s">
        <v>41</v>
      </c>
      <c r="B70" s="175">
        <v>3.0</v>
      </c>
      <c r="C70" s="176">
        <v>6.0</v>
      </c>
      <c r="D70" s="157">
        <f t="shared" si="54"/>
        <v>129750</v>
      </c>
      <c r="E70" s="158">
        <f t="shared" si="55"/>
        <v>69750</v>
      </c>
      <c r="F70" s="159">
        <f t="shared" si="48"/>
        <v>0</v>
      </c>
      <c r="G70" s="160">
        <f t="shared" si="56"/>
        <v>60000</v>
      </c>
      <c r="H70" s="2"/>
      <c r="I70" s="135" t="s">
        <v>41</v>
      </c>
      <c r="J70" s="135">
        <v>0.0</v>
      </c>
      <c r="K70" s="134">
        <f t="shared" si="57"/>
        <v>0</v>
      </c>
      <c r="L70" s="133">
        <v>2700.0</v>
      </c>
      <c r="M70" s="134">
        <f t="shared" si="58"/>
        <v>0</v>
      </c>
    </row>
    <row r="71" hidden="1">
      <c r="A71" s="161" t="s">
        <v>18</v>
      </c>
      <c r="B71" s="162">
        <f t="shared" ref="B71:G71" si="59">SUM(B67:B70)</f>
        <v>11</v>
      </c>
      <c r="C71" s="177">
        <f t="shared" si="59"/>
        <v>21</v>
      </c>
      <c r="D71" s="178">
        <f t="shared" si="59"/>
        <v>460375</v>
      </c>
      <c r="E71" s="179">
        <f t="shared" si="59"/>
        <v>247250</v>
      </c>
      <c r="F71" s="180">
        <f t="shared" si="59"/>
        <v>0</v>
      </c>
      <c r="G71" s="181">
        <f t="shared" si="59"/>
        <v>213125</v>
      </c>
      <c r="H71" s="9"/>
      <c r="I71" s="166"/>
      <c r="J71" s="166">
        <f t="shared" ref="J71:K71" si="60">SUM(J67:J70)</f>
        <v>0</v>
      </c>
      <c r="K71" s="166">
        <f t="shared" si="60"/>
        <v>0</v>
      </c>
      <c r="L71" s="167" t="s">
        <v>102</v>
      </c>
      <c r="M71" s="166">
        <f>SUM(M67:M70)</f>
        <v>0</v>
      </c>
    </row>
    <row r="72" hidden="1">
      <c r="A72" s="168" t="s">
        <v>6</v>
      </c>
      <c r="B72" s="168">
        <v>8.0</v>
      </c>
      <c r="C72" s="182">
        <v>6.0</v>
      </c>
      <c r="D72" s="157">
        <f t="shared" ref="D72:D75" si="61">(B72*$B$55)+(C72*$B$56)</f>
        <v>192250</v>
      </c>
      <c r="E72" s="158">
        <f t="shared" ref="E72:E75" si="62">((B72*$B$55)*$B$57)+(C72*8500)</f>
        <v>101000</v>
      </c>
      <c r="F72" s="172">
        <f t="shared" ref="F72:F75" si="63">M72</f>
        <v>0</v>
      </c>
      <c r="G72" s="173">
        <f t="shared" ref="G72:G75" si="64">D72-(E72+F72)</f>
        <v>91250</v>
      </c>
      <c r="H72" s="9"/>
      <c r="I72" s="135" t="s">
        <v>6</v>
      </c>
      <c r="J72" s="135">
        <v>0.0</v>
      </c>
      <c r="K72" s="134">
        <f t="shared" ref="K72:K75" si="65">J72*$B$33</f>
        <v>0</v>
      </c>
      <c r="L72" s="133">
        <v>2700.0</v>
      </c>
      <c r="M72" s="134">
        <f t="shared" ref="M72:M75" si="66">L72*K72</f>
        <v>0</v>
      </c>
    </row>
    <row r="73" hidden="1">
      <c r="A73" s="133" t="s">
        <v>7</v>
      </c>
      <c r="B73" s="133">
        <v>6.0</v>
      </c>
      <c r="C73" s="174">
        <v>10.0</v>
      </c>
      <c r="D73" s="157">
        <f t="shared" si="61"/>
        <v>228750</v>
      </c>
      <c r="E73" s="158">
        <f t="shared" si="62"/>
        <v>122500</v>
      </c>
      <c r="F73" s="155">
        <f t="shared" si="63"/>
        <v>0</v>
      </c>
      <c r="G73" s="134">
        <f t="shared" si="64"/>
        <v>106250</v>
      </c>
      <c r="H73" s="9"/>
      <c r="I73" s="133" t="s">
        <v>7</v>
      </c>
      <c r="J73" s="133">
        <v>0.0</v>
      </c>
      <c r="K73" s="134">
        <f t="shared" si="65"/>
        <v>0</v>
      </c>
      <c r="L73" s="133">
        <v>2700.0</v>
      </c>
      <c r="M73" s="134">
        <f t="shared" si="66"/>
        <v>0</v>
      </c>
    </row>
    <row r="74" hidden="1">
      <c r="A74" s="133" t="s">
        <v>8</v>
      </c>
      <c r="B74" s="133">
        <v>6.0</v>
      </c>
      <c r="C74" s="174">
        <v>9.0</v>
      </c>
      <c r="D74" s="157">
        <f t="shared" si="61"/>
        <v>213375</v>
      </c>
      <c r="E74" s="158">
        <f t="shared" si="62"/>
        <v>114000</v>
      </c>
      <c r="F74" s="155">
        <f t="shared" si="63"/>
        <v>0</v>
      </c>
      <c r="G74" s="134">
        <f t="shared" si="64"/>
        <v>99375</v>
      </c>
      <c r="H74" s="9"/>
      <c r="I74" s="133" t="s">
        <v>8</v>
      </c>
      <c r="J74" s="133">
        <v>0.0</v>
      </c>
      <c r="K74" s="134">
        <f t="shared" si="65"/>
        <v>0</v>
      </c>
      <c r="L74" s="133">
        <v>2700.0</v>
      </c>
      <c r="M74" s="134">
        <f t="shared" si="66"/>
        <v>0</v>
      </c>
    </row>
    <row r="75" hidden="1">
      <c r="A75" s="156" t="s">
        <v>9</v>
      </c>
      <c r="B75" s="156">
        <v>5.0</v>
      </c>
      <c r="C75" s="183">
        <v>8.0</v>
      </c>
      <c r="D75" s="157">
        <f t="shared" si="61"/>
        <v>185500</v>
      </c>
      <c r="E75" s="158">
        <f t="shared" si="62"/>
        <v>99250</v>
      </c>
      <c r="F75" s="159">
        <f t="shared" si="63"/>
        <v>0</v>
      </c>
      <c r="G75" s="160">
        <f t="shared" si="64"/>
        <v>86250</v>
      </c>
      <c r="H75" s="9"/>
      <c r="I75" s="133" t="s">
        <v>9</v>
      </c>
      <c r="J75" s="133">
        <v>0.0</v>
      </c>
      <c r="K75" s="134">
        <f t="shared" si="65"/>
        <v>0</v>
      </c>
      <c r="L75" s="133">
        <v>2700.0</v>
      </c>
      <c r="M75" s="134">
        <f t="shared" si="66"/>
        <v>0</v>
      </c>
    </row>
    <row r="76" hidden="1">
      <c r="A76" s="161" t="s">
        <v>18</v>
      </c>
      <c r="B76" s="162">
        <f t="shared" ref="B76:G76" si="67">SUM(B72:B75)</f>
        <v>25</v>
      </c>
      <c r="C76" s="184">
        <f t="shared" si="67"/>
        <v>33</v>
      </c>
      <c r="D76" s="178">
        <f t="shared" si="67"/>
        <v>819875</v>
      </c>
      <c r="E76" s="179">
        <f t="shared" si="67"/>
        <v>436750</v>
      </c>
      <c r="F76" s="180">
        <f t="shared" si="67"/>
        <v>0</v>
      </c>
      <c r="G76" s="181">
        <f t="shared" si="67"/>
        <v>383125</v>
      </c>
      <c r="H76" s="9"/>
      <c r="I76" s="166"/>
      <c r="J76" s="166">
        <f t="shared" ref="J76:K76" si="68">SUM(J72:J75)</f>
        <v>0</v>
      </c>
      <c r="K76" s="166">
        <f t="shared" si="68"/>
        <v>0</v>
      </c>
      <c r="L76" s="185" t="s">
        <v>102</v>
      </c>
      <c r="M76" s="166">
        <f>SUM(M72:M75)</f>
        <v>0</v>
      </c>
    </row>
    <row r="79">
      <c r="A79" s="86">
        <v>2025.0</v>
      </c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</row>
    <row r="80">
      <c r="A80" s="68" t="s">
        <v>3</v>
      </c>
      <c r="B80" s="188">
        <v>12500.0</v>
      </c>
      <c r="D80" s="3"/>
    </row>
    <row r="81">
      <c r="A81" s="90" t="s">
        <v>98</v>
      </c>
      <c r="B81" s="123">
        <v>15375.0</v>
      </c>
      <c r="D81" s="3"/>
    </row>
    <row r="82">
      <c r="A82" s="19" t="s">
        <v>21</v>
      </c>
      <c r="B82" s="70">
        <v>0.5</v>
      </c>
      <c r="C82" s="2"/>
      <c r="G82" s="3"/>
      <c r="H82" s="9"/>
      <c r="I82" s="9"/>
    </row>
    <row r="83">
      <c r="A83" s="71" t="s">
        <v>23</v>
      </c>
      <c r="B83" s="24">
        <v>1.5</v>
      </c>
      <c r="C83" s="2"/>
      <c r="G83" s="3"/>
      <c r="H83" s="9"/>
      <c r="I83" s="9"/>
    </row>
    <row r="84">
      <c r="C84" s="2"/>
      <c r="G84" s="3"/>
      <c r="H84" s="9"/>
      <c r="I84" s="9"/>
    </row>
    <row r="85">
      <c r="A85" s="129" t="s">
        <v>66</v>
      </c>
      <c r="B85" s="130"/>
      <c r="C85" s="131"/>
      <c r="G85" s="3"/>
      <c r="H85" s="9"/>
      <c r="I85" s="129" t="s">
        <v>66</v>
      </c>
      <c r="J85" s="130"/>
      <c r="K85" s="131"/>
    </row>
    <row r="86">
      <c r="A86" s="133" t="s">
        <v>90</v>
      </c>
      <c r="B86" s="133" t="s">
        <v>99</v>
      </c>
      <c r="C86" s="133" t="s">
        <v>100</v>
      </c>
      <c r="D86" s="152" t="s">
        <v>12</v>
      </c>
      <c r="E86" s="135" t="s">
        <v>21</v>
      </c>
      <c r="F86" s="135" t="s">
        <v>66</v>
      </c>
      <c r="G86" s="133" t="s">
        <v>22</v>
      </c>
      <c r="H86" s="9"/>
      <c r="I86" s="133" t="s">
        <v>90</v>
      </c>
      <c r="J86" s="133" t="s">
        <v>91</v>
      </c>
      <c r="K86" s="133" t="s">
        <v>92</v>
      </c>
      <c r="L86" s="133" t="s">
        <v>96</v>
      </c>
      <c r="M86" s="133" t="s">
        <v>101</v>
      </c>
    </row>
    <row r="87">
      <c r="A87" s="133" t="s">
        <v>25</v>
      </c>
      <c r="B87" s="133">
        <v>5.0</v>
      </c>
      <c r="C87" s="133">
        <v>7.0</v>
      </c>
      <c r="D87" s="157">
        <f>(B87*$B$80)+(C87*$B$81)</f>
        <v>170125</v>
      </c>
      <c r="E87" s="158">
        <f>((B87*$B$80)*$B$82)+(C87*8500)</f>
        <v>90750</v>
      </c>
      <c r="F87" s="155">
        <f t="shared" ref="F87:F95" si="69">M87</f>
        <v>0</v>
      </c>
      <c r="G87" s="134">
        <f t="shared" ref="G87:G90" si="70">D87-(E87+F87)</f>
        <v>79375</v>
      </c>
      <c r="H87" s="9"/>
      <c r="I87" s="133" t="s">
        <v>25</v>
      </c>
      <c r="J87" s="133">
        <v>0.0</v>
      </c>
      <c r="K87" s="134">
        <f t="shared" ref="K87:K90" si="71">J87*$B$33</f>
        <v>0</v>
      </c>
      <c r="L87" s="133">
        <v>2700.0</v>
      </c>
      <c r="M87" s="134">
        <f t="shared" ref="M87:M90" si="72">L87*K87</f>
        <v>0</v>
      </c>
    </row>
    <row r="88">
      <c r="A88" s="133" t="s">
        <v>26</v>
      </c>
      <c r="B88" s="133">
        <v>5.0</v>
      </c>
      <c r="C88" s="133">
        <v>7.0</v>
      </c>
      <c r="D88" s="157">
        <f t="shared" ref="D88:D90" si="73">(B88*$B$55)+(C88*$B$56)</f>
        <v>170125</v>
      </c>
      <c r="E88" s="158">
        <f t="shared" ref="E88:E90" si="74">((B88*$B$55)*$B$57)+(C88*8500)</f>
        <v>90750</v>
      </c>
      <c r="F88" s="155">
        <f t="shared" si="69"/>
        <v>0</v>
      </c>
      <c r="G88" s="134">
        <f t="shared" si="70"/>
        <v>79375</v>
      </c>
      <c r="I88" s="133" t="s">
        <v>26</v>
      </c>
      <c r="J88" s="133">
        <v>0.0</v>
      </c>
      <c r="K88" s="134">
        <f t="shared" si="71"/>
        <v>0</v>
      </c>
      <c r="L88" s="133">
        <v>2700.0</v>
      </c>
      <c r="M88" s="134">
        <f t="shared" si="72"/>
        <v>0</v>
      </c>
    </row>
    <row r="89">
      <c r="A89" s="133" t="s">
        <v>27</v>
      </c>
      <c r="B89" s="133">
        <v>5.0</v>
      </c>
      <c r="C89" s="133">
        <v>7.0</v>
      </c>
      <c r="D89" s="157">
        <f t="shared" si="73"/>
        <v>170125</v>
      </c>
      <c r="E89" s="158">
        <f t="shared" si="74"/>
        <v>90750</v>
      </c>
      <c r="F89" s="155">
        <f t="shared" si="69"/>
        <v>0</v>
      </c>
      <c r="G89" s="134">
        <f t="shared" si="70"/>
        <v>79375</v>
      </c>
      <c r="I89" s="133" t="s">
        <v>27</v>
      </c>
      <c r="J89" s="133">
        <v>0.0</v>
      </c>
      <c r="K89" s="134">
        <f t="shared" si="71"/>
        <v>0</v>
      </c>
      <c r="L89" s="133">
        <v>2700.0</v>
      </c>
      <c r="M89" s="134">
        <f t="shared" si="72"/>
        <v>0</v>
      </c>
    </row>
    <row r="90">
      <c r="A90" s="156" t="s">
        <v>28</v>
      </c>
      <c r="B90" s="156">
        <v>4.0</v>
      </c>
      <c r="C90" s="156">
        <v>8.0</v>
      </c>
      <c r="D90" s="157">
        <f t="shared" si="73"/>
        <v>173000</v>
      </c>
      <c r="E90" s="158">
        <f t="shared" si="74"/>
        <v>93000</v>
      </c>
      <c r="F90" s="159">
        <f t="shared" si="69"/>
        <v>0</v>
      </c>
      <c r="G90" s="160">
        <f t="shared" si="70"/>
        <v>80000</v>
      </c>
      <c r="I90" s="133" t="s">
        <v>28</v>
      </c>
      <c r="J90" s="133">
        <v>0.0</v>
      </c>
      <c r="K90" s="134">
        <f t="shared" si="71"/>
        <v>0</v>
      </c>
      <c r="L90" s="133">
        <v>2700.0</v>
      </c>
      <c r="M90" s="134">
        <f t="shared" si="72"/>
        <v>0</v>
      </c>
    </row>
    <row r="91">
      <c r="A91" s="161" t="s">
        <v>18</v>
      </c>
      <c r="B91" s="162">
        <f t="shared" ref="B91:E91" si="75">SUM(B87:B90)</f>
        <v>19</v>
      </c>
      <c r="C91" s="162">
        <f t="shared" si="75"/>
        <v>29</v>
      </c>
      <c r="D91" s="163">
        <f t="shared" si="75"/>
        <v>683375</v>
      </c>
      <c r="E91" s="164">
        <f t="shared" si="75"/>
        <v>365250</v>
      </c>
      <c r="F91" s="165">
        <f t="shared" si="69"/>
        <v>0</v>
      </c>
      <c r="G91" s="162">
        <f>SUM(G87:G90)</f>
        <v>318125</v>
      </c>
      <c r="I91" s="166"/>
      <c r="J91" s="166">
        <f t="shared" ref="J91:K91" si="76">SUM(J87:J90)</f>
        <v>0</v>
      </c>
      <c r="K91" s="166">
        <f t="shared" si="76"/>
        <v>0</v>
      </c>
      <c r="L91" s="167" t="s">
        <v>102</v>
      </c>
      <c r="M91" s="166">
        <f>SUM(M87:M90)</f>
        <v>0</v>
      </c>
    </row>
    <row r="92">
      <c r="A92" s="168" t="s">
        <v>38</v>
      </c>
      <c r="B92" s="168">
        <v>5.0</v>
      </c>
      <c r="C92" s="169">
        <v>11.0</v>
      </c>
      <c r="D92" s="157">
        <f t="shared" ref="D92:D95" si="77">(B92*$B$55)+(C92*$B$56)</f>
        <v>231625</v>
      </c>
      <c r="E92" s="158">
        <f t="shared" ref="E92:E95" si="78">((B92*$B$55)*$B$57)+(C92*8500)</f>
        <v>124750</v>
      </c>
      <c r="F92" s="172">
        <f t="shared" si="69"/>
        <v>0</v>
      </c>
      <c r="G92" s="173">
        <f t="shared" ref="G92:G95" si="79">D92-(E92+F92)</f>
        <v>106875</v>
      </c>
      <c r="H92" s="7"/>
      <c r="I92" s="135" t="s">
        <v>38</v>
      </c>
      <c r="J92" s="135">
        <v>0.0</v>
      </c>
      <c r="K92" s="134">
        <f t="shared" ref="K92:K95" si="80">J92*$B$33</f>
        <v>0</v>
      </c>
      <c r="L92" s="133">
        <v>2700.0</v>
      </c>
      <c r="M92" s="134">
        <f t="shared" ref="M92:M95" si="81">L92*K92</f>
        <v>0</v>
      </c>
    </row>
    <row r="93">
      <c r="A93" s="133" t="s">
        <v>39</v>
      </c>
      <c r="B93" s="133">
        <v>5.0</v>
      </c>
      <c r="C93" s="174">
        <v>9.0</v>
      </c>
      <c r="D93" s="157">
        <f t="shared" si="77"/>
        <v>200875</v>
      </c>
      <c r="E93" s="158">
        <f t="shared" si="78"/>
        <v>107750</v>
      </c>
      <c r="F93" s="155">
        <f t="shared" si="69"/>
        <v>0</v>
      </c>
      <c r="G93" s="134">
        <f t="shared" si="79"/>
        <v>93125</v>
      </c>
      <c r="H93" s="2"/>
      <c r="I93" s="133" t="s">
        <v>39</v>
      </c>
      <c r="J93" s="133">
        <v>0.0</v>
      </c>
      <c r="K93" s="134">
        <f t="shared" si="80"/>
        <v>0</v>
      </c>
      <c r="L93" s="133">
        <v>2700.0</v>
      </c>
      <c r="M93" s="134">
        <f t="shared" si="81"/>
        <v>0</v>
      </c>
    </row>
    <row r="94">
      <c r="A94" s="133" t="s">
        <v>40</v>
      </c>
      <c r="B94" s="90">
        <v>6.0</v>
      </c>
      <c r="C94" s="174">
        <v>10.0</v>
      </c>
      <c r="D94" s="157">
        <f t="shared" si="77"/>
        <v>228750</v>
      </c>
      <c r="E94" s="158">
        <f t="shared" si="78"/>
        <v>122500</v>
      </c>
      <c r="F94" s="155">
        <f t="shared" si="69"/>
        <v>0</v>
      </c>
      <c r="G94" s="134">
        <f t="shared" si="79"/>
        <v>106250</v>
      </c>
      <c r="H94" s="2"/>
      <c r="I94" s="133" t="s">
        <v>40</v>
      </c>
      <c r="J94" s="133">
        <v>0.0</v>
      </c>
      <c r="K94" s="134">
        <f t="shared" si="80"/>
        <v>0</v>
      </c>
      <c r="L94" s="133">
        <v>2700.0</v>
      </c>
      <c r="M94" s="134">
        <f t="shared" si="81"/>
        <v>0</v>
      </c>
    </row>
    <row r="95">
      <c r="A95" s="175" t="s">
        <v>41</v>
      </c>
      <c r="B95" s="175">
        <v>0.0</v>
      </c>
      <c r="C95" s="176">
        <v>0.0</v>
      </c>
      <c r="D95" s="157">
        <f t="shared" si="77"/>
        <v>0</v>
      </c>
      <c r="E95" s="158">
        <f t="shared" si="78"/>
        <v>0</v>
      </c>
      <c r="F95" s="159">
        <f t="shared" si="69"/>
        <v>0</v>
      </c>
      <c r="G95" s="160">
        <f t="shared" si="79"/>
        <v>0</v>
      </c>
      <c r="H95" s="2"/>
      <c r="I95" s="135" t="s">
        <v>41</v>
      </c>
      <c r="J95" s="135">
        <v>0.0</v>
      </c>
      <c r="K95" s="134">
        <f t="shared" si="80"/>
        <v>0</v>
      </c>
      <c r="L95" s="133">
        <v>2700.0</v>
      </c>
      <c r="M95" s="134">
        <f t="shared" si="81"/>
        <v>0</v>
      </c>
    </row>
    <row r="96">
      <c r="A96" s="161" t="s">
        <v>18</v>
      </c>
      <c r="B96" s="162">
        <f t="shared" ref="B96:G96" si="82">SUM(B92:B95)</f>
        <v>16</v>
      </c>
      <c r="C96" s="177">
        <f t="shared" si="82"/>
        <v>30</v>
      </c>
      <c r="D96" s="178">
        <f t="shared" si="82"/>
        <v>661250</v>
      </c>
      <c r="E96" s="179">
        <f t="shared" si="82"/>
        <v>355000</v>
      </c>
      <c r="F96" s="180">
        <f t="shared" si="82"/>
        <v>0</v>
      </c>
      <c r="G96" s="181">
        <f t="shared" si="82"/>
        <v>306250</v>
      </c>
      <c r="H96" s="9"/>
      <c r="I96" s="166"/>
      <c r="J96" s="166">
        <f t="shared" ref="J96:K96" si="83">SUM(J92:J95)</f>
        <v>0</v>
      </c>
      <c r="K96" s="166">
        <f t="shared" si="83"/>
        <v>0</v>
      </c>
      <c r="L96" s="167" t="s">
        <v>102</v>
      </c>
      <c r="M96" s="166">
        <f>SUM(M92:M95)</f>
        <v>0</v>
      </c>
    </row>
    <row r="97">
      <c r="A97" s="168" t="s">
        <v>6</v>
      </c>
      <c r="B97" s="168">
        <v>0.0</v>
      </c>
      <c r="C97" s="182">
        <v>0.0</v>
      </c>
      <c r="D97" s="157">
        <f t="shared" ref="D97:D100" si="84">(B97*$B$55)+(C97*$B$56)</f>
        <v>0</v>
      </c>
      <c r="E97" s="158">
        <f t="shared" ref="E97:E100" si="85">((B97*$B$55)*$B$57)+(C97*8500)</f>
        <v>0</v>
      </c>
      <c r="F97" s="172">
        <f t="shared" ref="F97:F100" si="86">M97</f>
        <v>0</v>
      </c>
      <c r="G97" s="173">
        <f t="shared" ref="G97:G100" si="87">D97-(E97+F97)</f>
        <v>0</v>
      </c>
      <c r="H97" s="9"/>
      <c r="I97" s="135" t="s">
        <v>6</v>
      </c>
      <c r="J97" s="135">
        <v>0.0</v>
      </c>
      <c r="K97" s="134">
        <f t="shared" ref="K97:K100" si="88">J97*$B$33</f>
        <v>0</v>
      </c>
      <c r="L97" s="133">
        <v>2700.0</v>
      </c>
      <c r="M97" s="134">
        <f t="shared" ref="M97:M100" si="89">L97*K97</f>
        <v>0</v>
      </c>
    </row>
    <row r="98">
      <c r="A98" s="133" t="s">
        <v>7</v>
      </c>
      <c r="B98" s="133">
        <v>0.0</v>
      </c>
      <c r="C98" s="174">
        <v>0.0</v>
      </c>
      <c r="D98" s="157">
        <f t="shared" si="84"/>
        <v>0</v>
      </c>
      <c r="E98" s="158">
        <f t="shared" si="85"/>
        <v>0</v>
      </c>
      <c r="F98" s="155">
        <f t="shared" si="86"/>
        <v>0</v>
      </c>
      <c r="G98" s="134">
        <f t="shared" si="87"/>
        <v>0</v>
      </c>
      <c r="H98" s="9"/>
      <c r="I98" s="133" t="s">
        <v>7</v>
      </c>
      <c r="J98" s="133">
        <v>0.0</v>
      </c>
      <c r="K98" s="134">
        <f t="shared" si="88"/>
        <v>0</v>
      </c>
      <c r="L98" s="133">
        <v>2700.0</v>
      </c>
      <c r="M98" s="134">
        <f t="shared" si="89"/>
        <v>0</v>
      </c>
    </row>
    <row r="99">
      <c r="A99" s="133" t="s">
        <v>8</v>
      </c>
      <c r="B99" s="133">
        <v>0.0</v>
      </c>
      <c r="C99" s="174">
        <v>0.0</v>
      </c>
      <c r="D99" s="157">
        <f t="shared" si="84"/>
        <v>0</v>
      </c>
      <c r="E99" s="158">
        <f t="shared" si="85"/>
        <v>0</v>
      </c>
      <c r="F99" s="155">
        <f t="shared" si="86"/>
        <v>0</v>
      </c>
      <c r="G99" s="134">
        <f t="shared" si="87"/>
        <v>0</v>
      </c>
      <c r="H99" s="9"/>
      <c r="I99" s="133" t="s">
        <v>8</v>
      </c>
      <c r="J99" s="133">
        <v>0.0</v>
      </c>
      <c r="K99" s="134">
        <f t="shared" si="88"/>
        <v>0</v>
      </c>
      <c r="L99" s="133">
        <v>2700.0</v>
      </c>
      <c r="M99" s="134">
        <f t="shared" si="89"/>
        <v>0</v>
      </c>
    </row>
    <row r="100">
      <c r="A100" s="156" t="s">
        <v>9</v>
      </c>
      <c r="B100" s="156">
        <v>0.0</v>
      </c>
      <c r="C100" s="183">
        <v>0.0</v>
      </c>
      <c r="D100" s="157">
        <f t="shared" si="84"/>
        <v>0</v>
      </c>
      <c r="E100" s="158">
        <f t="shared" si="85"/>
        <v>0</v>
      </c>
      <c r="F100" s="159">
        <f t="shared" si="86"/>
        <v>0</v>
      </c>
      <c r="G100" s="160">
        <f t="shared" si="87"/>
        <v>0</v>
      </c>
      <c r="H100" s="9"/>
      <c r="I100" s="133" t="s">
        <v>9</v>
      </c>
      <c r="J100" s="133">
        <v>0.0</v>
      </c>
      <c r="K100" s="134">
        <f t="shared" si="88"/>
        <v>0</v>
      </c>
      <c r="L100" s="133">
        <v>2700.0</v>
      </c>
      <c r="M100" s="134">
        <f t="shared" si="89"/>
        <v>0</v>
      </c>
    </row>
    <row r="101">
      <c r="A101" s="161" t="s">
        <v>18</v>
      </c>
      <c r="B101" s="162">
        <f t="shared" ref="B101:G101" si="90">SUM(B97:B100)</f>
        <v>0</v>
      </c>
      <c r="C101" s="184">
        <f t="shared" si="90"/>
        <v>0</v>
      </c>
      <c r="D101" s="178">
        <f t="shared" si="90"/>
        <v>0</v>
      </c>
      <c r="E101" s="179">
        <f t="shared" si="90"/>
        <v>0</v>
      </c>
      <c r="F101" s="180">
        <f t="shared" si="90"/>
        <v>0</v>
      </c>
      <c r="G101" s="181">
        <f t="shared" si="90"/>
        <v>0</v>
      </c>
      <c r="H101" s="9"/>
      <c r="I101" s="166"/>
      <c r="J101" s="166">
        <f t="shared" ref="J101:K101" si="91">SUM(J97:J100)</f>
        <v>0</v>
      </c>
      <c r="K101" s="166">
        <f t="shared" si="91"/>
        <v>0</v>
      </c>
      <c r="L101" s="185" t="s">
        <v>102</v>
      </c>
      <c r="M101" s="166">
        <f>SUM(M97:M100)</f>
        <v>0</v>
      </c>
    </row>
  </sheetData>
  <mergeCells count="9">
    <mergeCell ref="A85:C85"/>
    <mergeCell ref="I85:K85"/>
    <mergeCell ref="A1:C1"/>
    <mergeCell ref="A10:C10"/>
    <mergeCell ref="I10:K10"/>
    <mergeCell ref="A35:C35"/>
    <mergeCell ref="I35:K35"/>
    <mergeCell ref="A60:C60"/>
    <mergeCell ref="I60:K60"/>
  </mergeCells>
  <conditionalFormatting sqref="G12:G15 G37:G40 G62:G65 G87:G90">
    <cfRule type="cellIs" dxfId="4" priority="1" operator="lessThan">
      <formula>0</formula>
    </cfRule>
  </conditionalFormatting>
  <conditionalFormatting sqref="G17:G20 G42:G45 G67:G70 G92:G95">
    <cfRule type="cellIs" dxfId="4" priority="2" operator="lessThan">
      <formula>0</formula>
    </cfRule>
  </conditionalFormatting>
  <conditionalFormatting sqref="G22:G25 G47:G50 G72:G75 G97:G100">
    <cfRule type="cellIs" dxfId="4" priority="3" operator="lessThan">
      <formula>0</formula>
    </cfRule>
  </conditionalFormatting>
  <conditionalFormatting sqref="G16 G41 G66 G91">
    <cfRule type="cellIs" dxfId="0" priority="4" operator="lessThan">
      <formula>0</formula>
    </cfRule>
  </conditionalFormatting>
  <conditionalFormatting sqref="G21 G46 G71 G96">
    <cfRule type="cellIs" dxfId="0" priority="5" operator="lessThan">
      <formula>0</formula>
    </cfRule>
  </conditionalFormatting>
  <conditionalFormatting sqref="G26 G51 G76 G101">
    <cfRule type="cellIs" dxfId="0" priority="6" operator="lessThan">
      <formula>0</formula>
    </cfRule>
  </conditionalFormatting>
  <conditionalFormatting sqref="G12:G15 G37:G40 G62:G65 G87:G90">
    <cfRule type="cellIs" dxfId="5" priority="7" operator="greaterThanOrEqual">
      <formula>0</formula>
    </cfRule>
  </conditionalFormatting>
  <conditionalFormatting sqref="G17:G20 G42:G45 G67:G70 G92:G95">
    <cfRule type="cellIs" dxfId="5" priority="8" operator="greaterThanOrEqual">
      <formula>0</formula>
    </cfRule>
  </conditionalFormatting>
  <conditionalFormatting sqref="G22:G25 G47:G50 G72:G75 G97:G100">
    <cfRule type="cellIs" dxfId="5" priority="9" operator="greaterThanOrEqual">
      <formula>0</formula>
    </cfRule>
  </conditionalFormatting>
  <conditionalFormatting sqref="G21 G46 G71 G96">
    <cfRule type="cellIs" dxfId="1" priority="10" operator="greaterThanOrEqual">
      <formula>0</formula>
    </cfRule>
  </conditionalFormatting>
  <conditionalFormatting sqref="G26 G51 G76 G101">
    <cfRule type="cellIs" dxfId="1" priority="11" operator="greaterThanOrEqual">
      <formula>0</formula>
    </cfRule>
  </conditionalFormatting>
  <conditionalFormatting sqref="G16 G41 G66 G91">
    <cfRule type="cellIs" dxfId="1" priority="12" operator="greaterThanOrEqual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3" max="3" width="18.86"/>
    <col customWidth="1" min="6" max="6" width="18.29"/>
  </cols>
  <sheetData>
    <row r="1">
      <c r="A1" s="122" t="s">
        <v>104</v>
      </c>
    </row>
    <row r="3">
      <c r="A3" s="191" t="s">
        <v>3</v>
      </c>
      <c r="B3" s="192">
        <v>6000.0</v>
      </c>
    </row>
    <row r="4">
      <c r="A4" s="193" t="s">
        <v>105</v>
      </c>
      <c r="B4" s="194">
        <v>7500.0</v>
      </c>
      <c r="O4" s="90"/>
    </row>
    <row r="5">
      <c r="A5" s="193" t="s">
        <v>106</v>
      </c>
      <c r="B5" s="194">
        <v>8500.0</v>
      </c>
    </row>
    <row r="6">
      <c r="A6" s="90"/>
      <c r="B6" s="90"/>
    </row>
    <row r="7">
      <c r="A7" s="195">
        <v>2022.0</v>
      </c>
      <c r="B7" s="130"/>
      <c r="C7" s="131"/>
      <c r="E7" s="196">
        <v>2023.0</v>
      </c>
      <c r="F7" s="130"/>
      <c r="G7" s="131"/>
      <c r="I7" s="197">
        <v>2024.0</v>
      </c>
      <c r="J7" s="130"/>
      <c r="K7" s="131"/>
      <c r="M7" s="198">
        <v>2025.0</v>
      </c>
      <c r="N7" s="130"/>
      <c r="O7" s="130"/>
      <c r="P7" s="131"/>
    </row>
    <row r="8">
      <c r="A8" s="133" t="s">
        <v>90</v>
      </c>
      <c r="B8" s="133" t="s">
        <v>99</v>
      </c>
      <c r="C8" s="135" t="s">
        <v>21</v>
      </c>
      <c r="E8" s="133" t="s">
        <v>90</v>
      </c>
      <c r="F8" s="133" t="s">
        <v>99</v>
      </c>
      <c r="G8" s="135" t="s">
        <v>21</v>
      </c>
      <c r="I8" s="133" t="s">
        <v>90</v>
      </c>
      <c r="J8" s="133" t="s">
        <v>99</v>
      </c>
      <c r="K8" s="135" t="s">
        <v>21</v>
      </c>
      <c r="M8" s="133" t="s">
        <v>90</v>
      </c>
      <c r="N8" s="133" t="s">
        <v>99</v>
      </c>
      <c r="O8" s="133" t="s">
        <v>107</v>
      </c>
      <c r="P8" s="135" t="s">
        <v>21</v>
      </c>
    </row>
    <row r="9">
      <c r="A9" s="133" t="s">
        <v>25</v>
      </c>
      <c r="B9" s="133">
        <v>0.0</v>
      </c>
      <c r="C9" s="199">
        <f t="shared" ref="C9:C12" si="1">$B$3*B9</f>
        <v>0</v>
      </c>
      <c r="E9" s="133" t="s">
        <v>25</v>
      </c>
      <c r="F9" s="133">
        <v>15.0</v>
      </c>
      <c r="G9" s="199">
        <f t="shared" ref="G9:G12" si="2">$B$3*F9</f>
        <v>90000</v>
      </c>
      <c r="H9" s="9"/>
      <c r="I9" s="133" t="s">
        <v>25</v>
      </c>
      <c r="J9" s="133">
        <v>26.0</v>
      </c>
      <c r="K9" s="199">
        <f t="shared" ref="K9:K12" si="3">$B$4*J9</f>
        <v>195000</v>
      </c>
      <c r="M9" s="133" t="s">
        <v>25</v>
      </c>
      <c r="N9" s="133">
        <v>29.0</v>
      </c>
      <c r="O9" s="133">
        <v>6.0</v>
      </c>
      <c r="P9" s="199">
        <f t="shared" ref="P9:P12" si="4">$B$4*(N9+O9)</f>
        <v>262500</v>
      </c>
    </row>
    <row r="10">
      <c r="A10" s="133" t="s">
        <v>26</v>
      </c>
      <c r="B10" s="133">
        <v>0.0</v>
      </c>
      <c r="C10" s="199">
        <f t="shared" si="1"/>
        <v>0</v>
      </c>
      <c r="E10" s="133" t="s">
        <v>26</v>
      </c>
      <c r="F10" s="133">
        <v>19.0</v>
      </c>
      <c r="G10" s="199">
        <f t="shared" si="2"/>
        <v>114000</v>
      </c>
      <c r="H10" s="9"/>
      <c r="I10" s="133" t="s">
        <v>26</v>
      </c>
      <c r="J10" s="133">
        <v>26.0</v>
      </c>
      <c r="K10" s="199">
        <f t="shared" si="3"/>
        <v>195000</v>
      </c>
      <c r="M10" s="133" t="s">
        <v>26</v>
      </c>
      <c r="N10" s="133">
        <v>30.0</v>
      </c>
      <c r="O10" s="133">
        <v>6.0</v>
      </c>
      <c r="P10" s="199">
        <f t="shared" si="4"/>
        <v>270000</v>
      </c>
    </row>
    <row r="11">
      <c r="A11" s="133" t="s">
        <v>27</v>
      </c>
      <c r="B11" s="133">
        <v>0.0</v>
      </c>
      <c r="C11" s="199">
        <f t="shared" si="1"/>
        <v>0</v>
      </c>
      <c r="E11" s="133" t="s">
        <v>27</v>
      </c>
      <c r="F11" s="133">
        <v>21.0</v>
      </c>
      <c r="G11" s="199">
        <f t="shared" si="2"/>
        <v>126000</v>
      </c>
      <c r="H11" s="9"/>
      <c r="I11" s="133" t="s">
        <v>27</v>
      </c>
      <c r="J11" s="133">
        <v>26.0</v>
      </c>
      <c r="K11" s="199">
        <f t="shared" si="3"/>
        <v>195000</v>
      </c>
      <c r="M11" s="133" t="s">
        <v>27</v>
      </c>
      <c r="N11" s="133">
        <v>29.0</v>
      </c>
      <c r="O11" s="133">
        <v>7.0</v>
      </c>
      <c r="P11" s="199">
        <f t="shared" si="4"/>
        <v>270000</v>
      </c>
    </row>
    <row r="12">
      <c r="A12" s="156" t="s">
        <v>28</v>
      </c>
      <c r="B12" s="156">
        <v>0.0</v>
      </c>
      <c r="C12" s="199">
        <f t="shared" si="1"/>
        <v>0</v>
      </c>
      <c r="E12" s="156" t="s">
        <v>28</v>
      </c>
      <c r="F12" s="156">
        <v>21.0</v>
      </c>
      <c r="G12" s="199">
        <f t="shared" si="2"/>
        <v>126000</v>
      </c>
      <c r="H12" s="9"/>
      <c r="I12" s="156" t="s">
        <v>28</v>
      </c>
      <c r="J12" s="156">
        <v>25.0</v>
      </c>
      <c r="K12" s="199">
        <f t="shared" si="3"/>
        <v>187500</v>
      </c>
      <c r="M12" s="156" t="s">
        <v>28</v>
      </c>
      <c r="N12" s="156">
        <v>29.0</v>
      </c>
      <c r="O12" s="156">
        <v>7.0</v>
      </c>
      <c r="P12" s="199">
        <f t="shared" si="4"/>
        <v>270000</v>
      </c>
    </row>
    <row r="13">
      <c r="A13" s="161" t="s">
        <v>18</v>
      </c>
      <c r="B13" s="162">
        <f t="shared" ref="B13:C13" si="5">SUM(B9:B12)</f>
        <v>0</v>
      </c>
      <c r="C13" s="164">
        <f t="shared" si="5"/>
        <v>0</v>
      </c>
      <c r="E13" s="161" t="s">
        <v>18</v>
      </c>
      <c r="F13" s="162">
        <f t="shared" ref="F13:G13" si="6">SUM(F9:F12)</f>
        <v>76</v>
      </c>
      <c r="G13" s="164">
        <f t="shared" si="6"/>
        <v>456000</v>
      </c>
      <c r="H13" s="9"/>
      <c r="I13" s="161" t="s">
        <v>18</v>
      </c>
      <c r="J13" s="162">
        <f t="shared" ref="J13:K13" si="7">SUM(J9:J12)</f>
        <v>103</v>
      </c>
      <c r="K13" s="164">
        <f t="shared" si="7"/>
        <v>772500</v>
      </c>
      <c r="L13" s="90"/>
      <c r="M13" s="161" t="s">
        <v>18</v>
      </c>
      <c r="N13" s="162">
        <f>SUM(N9:N12)</f>
        <v>117</v>
      </c>
      <c r="O13" s="162"/>
      <c r="P13" s="164">
        <f>SUM(P9:P12)</f>
        <v>1072500</v>
      </c>
    </row>
    <row r="14">
      <c r="A14" s="168" t="s">
        <v>38</v>
      </c>
      <c r="B14" s="168">
        <v>0.0</v>
      </c>
      <c r="C14" s="199">
        <f t="shared" ref="C14:C17" si="8">$B$3*B14</f>
        <v>0</v>
      </c>
      <c r="D14" s="3"/>
      <c r="E14" s="168" t="s">
        <v>38</v>
      </c>
      <c r="F14" s="168">
        <v>21.0</v>
      </c>
      <c r="G14" s="199">
        <f t="shared" ref="G14:G17" si="9">$B$4*F14</f>
        <v>157500</v>
      </c>
      <c r="H14" s="9"/>
      <c r="I14" s="168" t="s">
        <v>38</v>
      </c>
      <c r="J14" s="168">
        <v>24.0</v>
      </c>
      <c r="K14" s="199">
        <f t="shared" ref="K14:K17" si="10">$B$4*J14</f>
        <v>180000</v>
      </c>
      <c r="L14" s="90"/>
      <c r="M14" s="168" t="s">
        <v>38</v>
      </c>
      <c r="N14" s="168">
        <v>29.0</v>
      </c>
      <c r="O14" s="168">
        <v>6.0</v>
      </c>
      <c r="P14" s="199">
        <f t="shared" ref="P14:P17" si="11">$B$5*(N14+$N$4)</f>
        <v>246500</v>
      </c>
    </row>
    <row r="15">
      <c r="A15" s="133" t="s">
        <v>39</v>
      </c>
      <c r="B15" s="133">
        <v>0.0</v>
      </c>
      <c r="C15" s="199">
        <f t="shared" si="8"/>
        <v>0</v>
      </c>
      <c r="E15" s="133" t="s">
        <v>39</v>
      </c>
      <c r="F15" s="133">
        <v>21.0</v>
      </c>
      <c r="G15" s="199">
        <f t="shared" si="9"/>
        <v>157500</v>
      </c>
      <c r="I15" s="133" t="s">
        <v>39</v>
      </c>
      <c r="J15" s="133">
        <v>23.0</v>
      </c>
      <c r="K15" s="199">
        <f t="shared" si="10"/>
        <v>172500</v>
      </c>
      <c r="L15" s="90"/>
      <c r="M15" s="133" t="s">
        <v>39</v>
      </c>
      <c r="N15" s="133">
        <v>30.0</v>
      </c>
      <c r="O15" s="133">
        <v>6.0</v>
      </c>
      <c r="P15" s="199">
        <f t="shared" si="11"/>
        <v>255000</v>
      </c>
    </row>
    <row r="16">
      <c r="A16" s="133" t="s">
        <v>40</v>
      </c>
      <c r="B16" s="133">
        <v>0.0</v>
      </c>
      <c r="C16" s="199">
        <f t="shared" si="8"/>
        <v>0</v>
      </c>
      <c r="E16" s="133" t="s">
        <v>40</v>
      </c>
      <c r="F16" s="133">
        <v>21.0</v>
      </c>
      <c r="G16" s="199">
        <f t="shared" si="9"/>
        <v>157500</v>
      </c>
      <c r="I16" s="133" t="s">
        <v>40</v>
      </c>
      <c r="J16" s="133">
        <v>24.0</v>
      </c>
      <c r="K16" s="199">
        <f t="shared" si="10"/>
        <v>180000</v>
      </c>
      <c r="L16" s="90"/>
      <c r="M16" s="133" t="s">
        <v>40</v>
      </c>
      <c r="N16" s="133">
        <v>29.0</v>
      </c>
      <c r="O16" s="133">
        <v>6.0</v>
      </c>
      <c r="P16" s="199">
        <f t="shared" si="11"/>
        <v>246500</v>
      </c>
    </row>
    <row r="17">
      <c r="A17" s="175" t="s">
        <v>41</v>
      </c>
      <c r="B17" s="175">
        <v>0.0</v>
      </c>
      <c r="C17" s="199">
        <f t="shared" si="8"/>
        <v>0</v>
      </c>
      <c r="E17" s="175" t="s">
        <v>41</v>
      </c>
      <c r="F17" s="175">
        <v>18.0</v>
      </c>
      <c r="G17" s="199">
        <f t="shared" si="9"/>
        <v>135000</v>
      </c>
      <c r="I17" s="175" t="s">
        <v>41</v>
      </c>
      <c r="J17" s="175">
        <v>24.0</v>
      </c>
      <c r="K17" s="199">
        <f t="shared" si="10"/>
        <v>180000</v>
      </c>
      <c r="L17" s="90"/>
      <c r="M17" s="175" t="s">
        <v>41</v>
      </c>
      <c r="N17" s="175">
        <v>0.0</v>
      </c>
      <c r="O17" s="175"/>
      <c r="P17" s="199">
        <f t="shared" si="11"/>
        <v>0</v>
      </c>
    </row>
    <row r="18">
      <c r="A18" s="161" t="s">
        <v>18</v>
      </c>
      <c r="B18" s="162">
        <f t="shared" ref="B18:C18" si="12">SUM(B14:B17)</f>
        <v>0</v>
      </c>
      <c r="C18" s="179">
        <f t="shared" si="12"/>
        <v>0</v>
      </c>
      <c r="E18" s="161" t="s">
        <v>18</v>
      </c>
      <c r="F18" s="162">
        <f t="shared" ref="F18:G18" si="13">SUM(F14:F17)</f>
        <v>81</v>
      </c>
      <c r="G18" s="179">
        <f t="shared" si="13"/>
        <v>607500</v>
      </c>
      <c r="I18" s="161" t="s">
        <v>18</v>
      </c>
      <c r="J18" s="162">
        <f t="shared" ref="J18:K18" si="14">SUM(J14:J17)</f>
        <v>95</v>
      </c>
      <c r="K18" s="179">
        <f t="shared" si="14"/>
        <v>712500</v>
      </c>
      <c r="L18" s="200"/>
      <c r="M18" s="161" t="s">
        <v>18</v>
      </c>
      <c r="N18" s="162">
        <f>SUM(N14:N17)</f>
        <v>88</v>
      </c>
      <c r="O18" s="162"/>
      <c r="P18" s="179">
        <f>SUM(P14:P17)</f>
        <v>748000</v>
      </c>
    </row>
    <row r="19">
      <c r="A19" s="168" t="s">
        <v>6</v>
      </c>
      <c r="B19" s="168">
        <v>2.0</v>
      </c>
      <c r="C19" s="199">
        <f t="shared" ref="C19:C22" si="15">$B$3*B19</f>
        <v>12000</v>
      </c>
      <c r="E19" s="168" t="s">
        <v>6</v>
      </c>
      <c r="F19" s="168">
        <v>18.0</v>
      </c>
      <c r="G19" s="199">
        <f t="shared" ref="G19:G22" si="16">$B$4*F19</f>
        <v>135000</v>
      </c>
      <c r="H19" s="7"/>
      <c r="I19" s="168" t="s">
        <v>6</v>
      </c>
      <c r="J19" s="168">
        <v>26.0</v>
      </c>
      <c r="K19" s="199">
        <f t="shared" ref="K19:K22" si="17">$B$4*J19</f>
        <v>195000</v>
      </c>
      <c r="L19" s="90"/>
      <c r="M19" s="168" t="s">
        <v>6</v>
      </c>
      <c r="N19" s="168">
        <v>0.0</v>
      </c>
      <c r="O19" s="168"/>
      <c r="P19" s="199">
        <f t="shared" ref="P19:P22" si="18">$B$5*(N19+$N$4)</f>
        <v>0</v>
      </c>
    </row>
    <row r="20">
      <c r="A20" s="133" t="s">
        <v>7</v>
      </c>
      <c r="B20" s="133">
        <v>15.0</v>
      </c>
      <c r="C20" s="199">
        <f t="shared" si="15"/>
        <v>90000</v>
      </c>
      <c r="E20" s="133" t="s">
        <v>7</v>
      </c>
      <c r="F20" s="133">
        <v>21.0</v>
      </c>
      <c r="G20" s="199">
        <f t="shared" si="16"/>
        <v>157500</v>
      </c>
      <c r="H20" s="2"/>
      <c r="I20" s="133" t="s">
        <v>7</v>
      </c>
      <c r="J20" s="133">
        <v>28.0</v>
      </c>
      <c r="K20" s="199">
        <f t="shared" si="17"/>
        <v>210000</v>
      </c>
      <c r="L20" s="90"/>
      <c r="M20" s="133" t="s">
        <v>7</v>
      </c>
      <c r="N20" s="133">
        <v>0.0</v>
      </c>
      <c r="O20" s="133"/>
      <c r="P20" s="199">
        <f t="shared" si="18"/>
        <v>0</v>
      </c>
    </row>
    <row r="21">
      <c r="A21" s="133" t="s">
        <v>8</v>
      </c>
      <c r="B21" s="133">
        <v>16.0</v>
      </c>
      <c r="C21" s="199">
        <f t="shared" si="15"/>
        <v>96000</v>
      </c>
      <c r="E21" s="133" t="s">
        <v>8</v>
      </c>
      <c r="F21" s="133">
        <v>21.0</v>
      </c>
      <c r="G21" s="199">
        <f t="shared" si="16"/>
        <v>157500</v>
      </c>
      <c r="H21" s="2"/>
      <c r="I21" s="133" t="s">
        <v>8</v>
      </c>
      <c r="J21" s="133">
        <v>28.0</v>
      </c>
      <c r="K21" s="199">
        <f t="shared" si="17"/>
        <v>210000</v>
      </c>
      <c r="L21" s="90"/>
      <c r="M21" s="133" t="s">
        <v>8</v>
      </c>
      <c r="N21" s="133">
        <v>0.0</v>
      </c>
      <c r="O21" s="133"/>
      <c r="P21" s="199">
        <f t="shared" si="18"/>
        <v>0</v>
      </c>
    </row>
    <row r="22">
      <c r="A22" s="156" t="s">
        <v>9</v>
      </c>
      <c r="B22" s="156">
        <v>14.0</v>
      </c>
      <c r="C22" s="199">
        <f t="shared" si="15"/>
        <v>84000</v>
      </c>
      <c r="E22" s="156" t="s">
        <v>9</v>
      </c>
      <c r="F22" s="156">
        <v>23.0</v>
      </c>
      <c r="G22" s="199">
        <f t="shared" si="16"/>
        <v>172500</v>
      </c>
      <c r="H22" s="2"/>
      <c r="I22" s="156" t="s">
        <v>9</v>
      </c>
      <c r="J22" s="156">
        <v>28.0</v>
      </c>
      <c r="K22" s="199">
        <f t="shared" si="17"/>
        <v>210000</v>
      </c>
      <c r="L22" s="90"/>
      <c r="M22" s="156" t="s">
        <v>9</v>
      </c>
      <c r="N22" s="156">
        <v>0.0</v>
      </c>
      <c r="O22" s="156"/>
      <c r="P22" s="199">
        <f t="shared" si="18"/>
        <v>0</v>
      </c>
    </row>
    <row r="23">
      <c r="A23" s="161" t="s">
        <v>18</v>
      </c>
      <c r="B23" s="162">
        <f t="shared" ref="B23:C23" si="19">SUM(B19:B22)</f>
        <v>47</v>
      </c>
      <c r="C23" s="179">
        <f t="shared" si="19"/>
        <v>282000</v>
      </c>
      <c r="E23" s="161" t="s">
        <v>18</v>
      </c>
      <c r="F23" s="162">
        <f t="shared" ref="F23:G23" si="20">SUM(F19:F22)</f>
        <v>83</v>
      </c>
      <c r="G23" s="179">
        <f t="shared" si="20"/>
        <v>622500</v>
      </c>
      <c r="H23" s="9"/>
      <c r="I23" s="161" t="s">
        <v>18</v>
      </c>
      <c r="J23" s="162">
        <f t="shared" ref="J23:K23" si="21">SUM(J19:J22)</f>
        <v>110</v>
      </c>
      <c r="K23" s="179">
        <f t="shared" si="21"/>
        <v>825000</v>
      </c>
      <c r="L23" s="200"/>
      <c r="M23" s="161" t="s">
        <v>18</v>
      </c>
      <c r="N23" s="162">
        <f>SUM(N19:N22)</f>
        <v>0</v>
      </c>
      <c r="O23" s="162"/>
      <c r="P23" s="179">
        <f>SUM(P19:P22)</f>
        <v>0</v>
      </c>
    </row>
    <row r="24">
      <c r="H24" s="9"/>
      <c r="I24" s="3"/>
      <c r="J24" s="3"/>
      <c r="L24" s="90"/>
    </row>
    <row r="25">
      <c r="H25" s="9"/>
      <c r="I25" s="90"/>
      <c r="J25" s="90"/>
      <c r="L25" s="90"/>
    </row>
    <row r="26">
      <c r="A26" s="201" t="s">
        <v>108</v>
      </c>
      <c r="H26" s="9"/>
      <c r="I26" s="90"/>
      <c r="J26" s="90"/>
      <c r="L26" s="90"/>
    </row>
    <row r="27">
      <c r="H27" s="9"/>
      <c r="I27" s="90"/>
      <c r="J27" s="90"/>
      <c r="L27" s="90"/>
    </row>
    <row r="28">
      <c r="A28" s="193" t="s">
        <v>3</v>
      </c>
      <c r="B28" s="194">
        <v>30000.0</v>
      </c>
      <c r="D28" s="202"/>
      <c r="E28" s="3"/>
      <c r="H28" s="9"/>
      <c r="L28" s="9"/>
    </row>
    <row r="29">
      <c r="D29" s="7"/>
      <c r="E29" s="7"/>
      <c r="F29" s="7"/>
      <c r="G29" s="7"/>
      <c r="H29" s="7"/>
      <c r="I29" s="7"/>
      <c r="J29" s="2"/>
      <c r="K29" s="2"/>
      <c r="L29" s="2"/>
    </row>
    <row r="30">
      <c r="A30" s="197">
        <v>2024.0</v>
      </c>
      <c r="B30" s="130"/>
      <c r="C30" s="131"/>
      <c r="D30" s="3"/>
      <c r="E30" s="3"/>
      <c r="F30" s="3"/>
      <c r="G30" s="2"/>
      <c r="H30" s="2"/>
      <c r="I30" s="2"/>
      <c r="J30" s="2"/>
      <c r="K30" s="2"/>
      <c r="L30" s="2"/>
    </row>
    <row r="31">
      <c r="A31" s="133" t="s">
        <v>90</v>
      </c>
      <c r="B31" s="133" t="s">
        <v>99</v>
      </c>
      <c r="C31" s="135" t="s">
        <v>21</v>
      </c>
      <c r="D31" s="3"/>
      <c r="E31" s="3"/>
      <c r="F31" s="3"/>
      <c r="G31" s="2"/>
      <c r="H31" s="2"/>
      <c r="I31" s="2"/>
      <c r="J31" s="2"/>
      <c r="K31" s="3"/>
      <c r="L31" s="2"/>
    </row>
    <row r="32">
      <c r="A32" s="142" t="s">
        <v>25</v>
      </c>
      <c r="B32" s="142">
        <v>0.0</v>
      </c>
      <c r="C32" s="142">
        <f t="shared" ref="C32:C35" si="22">$B$4*B32</f>
        <v>0</v>
      </c>
      <c r="D32" s="7"/>
      <c r="E32" s="2"/>
      <c r="F32" s="2"/>
      <c r="G32" s="2"/>
      <c r="H32" s="2"/>
      <c r="I32" s="2"/>
      <c r="J32" s="3"/>
      <c r="K32" s="3"/>
      <c r="L32" s="2"/>
    </row>
    <row r="33">
      <c r="A33" s="142" t="s">
        <v>26</v>
      </c>
      <c r="B33" s="142">
        <v>0.0</v>
      </c>
      <c r="C33" s="142">
        <f t="shared" si="22"/>
        <v>0</v>
      </c>
    </row>
    <row r="34">
      <c r="A34" s="142" t="s">
        <v>27</v>
      </c>
      <c r="B34" s="142">
        <v>0.0</v>
      </c>
      <c r="C34" s="142">
        <f t="shared" si="22"/>
        <v>0</v>
      </c>
    </row>
    <row r="35">
      <c r="A35" s="203" t="s">
        <v>28</v>
      </c>
      <c r="B35" s="203">
        <v>0.0</v>
      </c>
      <c r="C35" s="142">
        <f t="shared" si="22"/>
        <v>0</v>
      </c>
    </row>
    <row r="36">
      <c r="A36" s="204" t="s">
        <v>18</v>
      </c>
      <c r="B36" s="205">
        <f t="shared" ref="B36:C36" si="23">SUM(B32:B35)</f>
        <v>0</v>
      </c>
      <c r="C36" s="205">
        <f t="shared" si="23"/>
        <v>0</v>
      </c>
      <c r="D36" s="7"/>
      <c r="E36" s="7"/>
      <c r="F36" s="7"/>
      <c r="G36" s="7"/>
      <c r="H36" s="7"/>
      <c r="I36" s="7"/>
      <c r="J36" s="7"/>
      <c r="K36" s="7"/>
      <c r="L36" s="7"/>
    </row>
    <row r="37">
      <c r="A37" s="206" t="s">
        <v>38</v>
      </c>
      <c r="B37" s="206">
        <v>0.0</v>
      </c>
      <c r="C37" s="142">
        <f t="shared" ref="C37:C39" si="24">$B$4*B37</f>
        <v>0</v>
      </c>
      <c r="D37" s="3"/>
      <c r="E37" s="3"/>
      <c r="F37" s="9"/>
      <c r="G37" s="3"/>
      <c r="H37" s="9"/>
      <c r="I37" s="9"/>
      <c r="J37" s="9"/>
      <c r="K37" s="9"/>
      <c r="L37" s="9"/>
    </row>
    <row r="38">
      <c r="A38" s="142" t="s">
        <v>39</v>
      </c>
      <c r="B38" s="142">
        <v>0.0</v>
      </c>
      <c r="C38" s="142">
        <f t="shared" si="24"/>
        <v>0</v>
      </c>
      <c r="D38" s="3"/>
      <c r="E38" s="3"/>
      <c r="F38" s="9"/>
      <c r="G38" s="3"/>
      <c r="H38" s="9"/>
      <c r="I38" s="9"/>
      <c r="J38" s="9"/>
      <c r="K38" s="9"/>
      <c r="L38" s="9"/>
    </row>
    <row r="39">
      <c r="A39" s="142" t="s">
        <v>40</v>
      </c>
      <c r="B39" s="142">
        <v>0.0</v>
      </c>
      <c r="C39" s="142">
        <f t="shared" si="24"/>
        <v>0</v>
      </c>
      <c r="D39" s="3"/>
      <c r="E39" s="3"/>
      <c r="F39" s="9"/>
      <c r="G39" s="3"/>
      <c r="H39" s="9"/>
      <c r="I39" s="9"/>
      <c r="J39" s="9"/>
      <c r="K39" s="9"/>
      <c r="L39" s="9"/>
    </row>
    <row r="40">
      <c r="A40" s="175" t="s">
        <v>41</v>
      </c>
      <c r="B40" s="175">
        <v>1.0</v>
      </c>
      <c r="C40" s="207">
        <f>$B$28*B40</f>
        <v>30000</v>
      </c>
      <c r="D40" s="3"/>
      <c r="E40" s="3"/>
      <c r="F40" s="9"/>
      <c r="G40" s="3"/>
      <c r="H40" s="9"/>
      <c r="I40" s="9"/>
      <c r="J40" s="9"/>
      <c r="K40" s="9"/>
      <c r="L40" s="9"/>
    </row>
    <row r="41">
      <c r="A41" s="161" t="s">
        <v>18</v>
      </c>
      <c r="B41" s="162">
        <f t="shared" ref="B41:C41" si="25">SUM(B37:B40)</f>
        <v>1</v>
      </c>
      <c r="C41" s="208">
        <f t="shared" si="25"/>
        <v>30000</v>
      </c>
      <c r="D41" s="3"/>
      <c r="E41" s="3"/>
      <c r="F41" s="9"/>
      <c r="G41" s="3"/>
      <c r="H41" s="9"/>
      <c r="I41" s="9"/>
      <c r="J41" s="9"/>
      <c r="K41" s="9"/>
      <c r="L41" s="9"/>
    </row>
    <row r="42">
      <c r="A42" s="168" t="s">
        <v>6</v>
      </c>
      <c r="B42" s="168">
        <v>6.0</v>
      </c>
      <c r="C42" s="207">
        <f t="shared" ref="C42:C45" si="26">$B$28*B42</f>
        <v>180000</v>
      </c>
      <c r="D42" s="3"/>
      <c r="E42" s="3"/>
      <c r="F42" s="9"/>
      <c r="G42" s="3"/>
      <c r="H42" s="9"/>
      <c r="I42" s="9"/>
      <c r="J42" s="9"/>
      <c r="K42" s="9"/>
      <c r="L42" s="9"/>
    </row>
    <row r="43">
      <c r="A43" s="133" t="s">
        <v>7</v>
      </c>
      <c r="B43" s="133">
        <v>4.0</v>
      </c>
      <c r="C43" s="207">
        <f t="shared" si="26"/>
        <v>120000</v>
      </c>
      <c r="D43" s="7"/>
      <c r="E43" s="7"/>
      <c r="F43" s="7"/>
      <c r="G43" s="7"/>
      <c r="H43" s="7"/>
      <c r="I43" s="7"/>
      <c r="J43" s="2"/>
      <c r="K43" s="2"/>
      <c r="L43" s="2"/>
    </row>
    <row r="44">
      <c r="A44" s="133" t="s">
        <v>8</v>
      </c>
      <c r="B44" s="133">
        <v>0.0</v>
      </c>
      <c r="C44" s="207">
        <f t="shared" si="26"/>
        <v>0</v>
      </c>
      <c r="D44" s="3"/>
      <c r="E44" s="3"/>
      <c r="F44" s="3"/>
      <c r="G44" s="2"/>
      <c r="H44" s="2"/>
      <c r="I44" s="2"/>
      <c r="J44" s="2"/>
      <c r="K44" s="2"/>
      <c r="L44" s="2"/>
    </row>
    <row r="45">
      <c r="A45" s="156" t="s">
        <v>9</v>
      </c>
      <c r="B45" s="156">
        <v>0.0</v>
      </c>
      <c r="C45" s="207">
        <f t="shared" si="26"/>
        <v>0</v>
      </c>
      <c r="D45" s="3"/>
      <c r="E45" s="3"/>
      <c r="F45" s="3"/>
      <c r="G45" s="2"/>
      <c r="H45" s="2"/>
      <c r="I45" s="2"/>
      <c r="J45" s="2"/>
      <c r="K45" s="3"/>
      <c r="L45" s="2"/>
    </row>
    <row r="46">
      <c r="A46" s="161" t="s">
        <v>18</v>
      </c>
      <c r="B46" s="162">
        <f t="shared" ref="B46:C46" si="27">SUM(B42:B45)</f>
        <v>10</v>
      </c>
      <c r="C46" s="208">
        <f t="shared" si="27"/>
        <v>300000</v>
      </c>
      <c r="D46" s="7"/>
      <c r="E46" s="2"/>
      <c r="F46" s="2"/>
      <c r="G46" s="2"/>
      <c r="H46" s="2"/>
      <c r="I46" s="2"/>
      <c r="J46" s="3"/>
      <c r="K46" s="3"/>
      <c r="L46" s="2"/>
    </row>
  </sheetData>
  <mergeCells count="7">
    <mergeCell ref="A1:C1"/>
    <mergeCell ref="A7:C7"/>
    <mergeCell ref="E7:G7"/>
    <mergeCell ref="I7:K7"/>
    <mergeCell ref="M7:P7"/>
    <mergeCell ref="A26:C26"/>
    <mergeCell ref="A30:C30"/>
  </mergeCells>
  <conditionalFormatting sqref="E24:E27">
    <cfRule type="cellIs" dxfId="4" priority="1" operator="lessThan">
      <formula>0</formula>
    </cfRule>
  </conditionalFormatting>
  <conditionalFormatting sqref="E28">
    <cfRule type="cellIs" dxfId="0" priority="2" operator="lessThan">
      <formula>0</formula>
    </cfRule>
  </conditionalFormatting>
  <conditionalFormatting sqref="E24:E27">
    <cfRule type="cellIs" dxfId="5" priority="3" operator="greaterThanOrEqual">
      <formula>0</formula>
    </cfRule>
  </conditionalFormatting>
  <conditionalFormatting sqref="E28">
    <cfRule type="cellIs" dxfId="1" priority="4" operator="greaterThanOrEqual">
      <formula>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19" max="19" width="16.57"/>
    <col customWidth="1" min="20" max="20" width="10.29"/>
  </cols>
  <sheetData>
    <row r="1">
      <c r="A1" s="209">
        <v>2022.0</v>
      </c>
    </row>
    <row r="3">
      <c r="A3" s="210" t="s">
        <v>75</v>
      </c>
      <c r="D3" s="210" t="s">
        <v>109</v>
      </c>
      <c r="G3" s="210" t="s">
        <v>83</v>
      </c>
      <c r="J3" s="210" t="s">
        <v>110</v>
      </c>
      <c r="M3" s="210" t="s">
        <v>111</v>
      </c>
      <c r="P3" s="210" t="s">
        <v>97</v>
      </c>
      <c r="S3" s="210" t="s">
        <v>104</v>
      </c>
    </row>
    <row r="4">
      <c r="A4" s="211" t="s">
        <v>12</v>
      </c>
      <c r="B4" s="6"/>
      <c r="D4" s="211" t="s">
        <v>12</v>
      </c>
      <c r="E4" s="6"/>
      <c r="G4" s="211" t="s">
        <v>12</v>
      </c>
      <c r="H4" s="6"/>
      <c r="J4" s="211" t="s">
        <v>12</v>
      </c>
      <c r="K4" s="6"/>
      <c r="M4" s="211" t="s">
        <v>12</v>
      </c>
      <c r="N4" s="6"/>
      <c r="P4" s="211" t="s">
        <v>12</v>
      </c>
      <c r="Q4" s="6"/>
      <c r="S4" s="212" t="s">
        <v>21</v>
      </c>
      <c r="T4" s="87"/>
    </row>
    <row r="5">
      <c r="A5" s="90" t="s">
        <v>76</v>
      </c>
      <c r="B5" s="57">
        <f>KrakkaNew!B14</f>
        <v>337500</v>
      </c>
      <c r="D5" s="90" t="s">
        <v>76</v>
      </c>
      <c r="E5" s="57">
        <f>'U16'!B14</f>
        <v>472500</v>
      </c>
      <c r="G5" s="90" t="s">
        <v>76</v>
      </c>
      <c r="H5" s="57">
        <f>'U21'!B14</f>
        <v>247500</v>
      </c>
      <c r="J5" s="90" t="s">
        <v>76</v>
      </c>
      <c r="K5" s="57">
        <f>'U16 Afreks'!B14</f>
        <v>405000</v>
      </c>
      <c r="M5" s="90" t="s">
        <v>76</v>
      </c>
      <c r="N5" s="57">
        <f>'U21 Afreks'!B16</f>
        <v>405000</v>
      </c>
      <c r="P5" s="90" t="s">
        <v>76</v>
      </c>
      <c r="Q5" s="57" t="str">
        <f>'Fullorðins'!D16</f>
        <v>#REF!</v>
      </c>
      <c r="S5" s="90" t="s">
        <v>76</v>
      </c>
      <c r="T5" s="90">
        <v>0.0</v>
      </c>
    </row>
    <row r="6">
      <c r="A6" s="90" t="s">
        <v>78</v>
      </c>
      <c r="B6" s="57">
        <f>KrakkaNew!B28</f>
        <v>270000</v>
      </c>
      <c r="D6" s="90" t="s">
        <v>78</v>
      </c>
      <c r="E6" s="57">
        <f>'U16'!B28</f>
        <v>0</v>
      </c>
      <c r="G6" s="90" t="s">
        <v>78</v>
      </c>
      <c r="H6" s="57">
        <f>'U21'!B28</f>
        <v>180000</v>
      </c>
      <c r="J6" s="90" t="s">
        <v>78</v>
      </c>
      <c r="K6" s="57">
        <f>'U16 Afreks'!B28</f>
        <v>90000</v>
      </c>
      <c r="M6" s="90" t="s">
        <v>78</v>
      </c>
      <c r="N6" s="57">
        <f>'U21 Afreks'!B32</f>
        <v>34000</v>
      </c>
      <c r="P6" s="90" t="s">
        <v>78</v>
      </c>
      <c r="Q6" s="57">
        <f>'Fullorðins'!D21</f>
        <v>211875</v>
      </c>
      <c r="S6" s="90" t="s">
        <v>78</v>
      </c>
      <c r="T6" s="90">
        <v>0.0</v>
      </c>
    </row>
    <row r="7">
      <c r="A7" s="90" t="s">
        <v>70</v>
      </c>
      <c r="B7" s="57">
        <f>KrakkaNew!B42</f>
        <v>517500</v>
      </c>
      <c r="D7" s="90" t="s">
        <v>70</v>
      </c>
      <c r="E7" s="57">
        <f>'U16'!B42</f>
        <v>877500</v>
      </c>
      <c r="G7" s="90" t="s">
        <v>70</v>
      </c>
      <c r="H7" s="57">
        <f>'U21'!B44</f>
        <v>225000</v>
      </c>
      <c r="J7" s="90" t="s">
        <v>70</v>
      </c>
      <c r="K7" s="57">
        <f>'U16 Afreks'!B42</f>
        <v>0</v>
      </c>
      <c r="M7" s="90" t="s">
        <v>70</v>
      </c>
      <c r="N7" s="57">
        <f>'U21 Afreks'!B48</f>
        <v>0</v>
      </c>
      <c r="P7" s="90" t="s">
        <v>70</v>
      </c>
      <c r="Q7" s="57">
        <f>'Fullorðins'!D26</f>
        <v>389750</v>
      </c>
      <c r="S7" s="124" t="s">
        <v>70</v>
      </c>
      <c r="T7" s="213">
        <f>'Mánaðarkort'!C23</f>
        <v>282000</v>
      </c>
    </row>
    <row r="8">
      <c r="A8" s="214" t="s">
        <v>18</v>
      </c>
      <c r="B8" s="215">
        <f>SUM(B5:B7)</f>
        <v>1125000</v>
      </c>
      <c r="D8" s="214" t="s">
        <v>18</v>
      </c>
      <c r="E8" s="215">
        <f>SUM(E5:E7)</f>
        <v>1350000</v>
      </c>
      <c r="G8" s="214" t="s">
        <v>18</v>
      </c>
      <c r="H8" s="215">
        <f>SUM(H5:H7)</f>
        <v>652500</v>
      </c>
      <c r="J8" s="214" t="s">
        <v>18</v>
      </c>
      <c r="K8" s="215">
        <f>SUM(K5:K7)</f>
        <v>495000</v>
      </c>
      <c r="M8" s="214" t="s">
        <v>18</v>
      </c>
      <c r="N8" s="215">
        <f>SUM(N5:N7)</f>
        <v>439000</v>
      </c>
      <c r="P8" s="214" t="s">
        <v>18</v>
      </c>
      <c r="Q8" s="215" t="str">
        <f>SUM(Q5:Q7)</f>
        <v>#REF!</v>
      </c>
      <c r="S8" s="81" t="s">
        <v>18</v>
      </c>
      <c r="T8" s="57">
        <f>SUM(T5:T7)</f>
        <v>282000</v>
      </c>
    </row>
    <row r="10">
      <c r="A10" s="216" t="s">
        <v>21</v>
      </c>
      <c r="B10" s="217"/>
      <c r="D10" s="216" t="s">
        <v>21</v>
      </c>
      <c r="E10" s="217"/>
      <c r="G10" s="216" t="s">
        <v>21</v>
      </c>
      <c r="H10" s="217"/>
      <c r="J10" s="216" t="s">
        <v>21</v>
      </c>
      <c r="K10" s="217"/>
      <c r="M10" s="216" t="s">
        <v>21</v>
      </c>
      <c r="N10" s="217"/>
      <c r="P10" s="216" t="s">
        <v>21</v>
      </c>
      <c r="Q10" s="217"/>
    </row>
    <row r="11">
      <c r="A11" s="90" t="s">
        <v>76</v>
      </c>
      <c r="B11" s="57">
        <f>KrakkaNew!B15</f>
        <v>168750</v>
      </c>
      <c r="D11" s="90" t="s">
        <v>76</v>
      </c>
      <c r="E11" s="57">
        <f>'U16'!B15</f>
        <v>236250</v>
      </c>
      <c r="G11" s="90" t="s">
        <v>76</v>
      </c>
      <c r="H11" s="57">
        <f>'U21'!B15</f>
        <v>123750</v>
      </c>
      <c r="J11" s="90" t="s">
        <v>76</v>
      </c>
      <c r="K11" s="57">
        <f>'U16 Afreks'!B15</f>
        <v>202500</v>
      </c>
      <c r="M11" s="90" t="s">
        <v>76</v>
      </c>
      <c r="N11" s="57">
        <f>'U21 Afreks'!B17</f>
        <v>202500</v>
      </c>
      <c r="P11" s="90" t="s">
        <v>76</v>
      </c>
      <c r="Q11" s="57" t="str">
        <f>'Fullorðins'!E16</f>
        <v>#REF!</v>
      </c>
    </row>
    <row r="12">
      <c r="A12" s="90" t="s">
        <v>78</v>
      </c>
      <c r="B12" s="57">
        <f>KrakkaNew!B29</f>
        <v>135000</v>
      </c>
      <c r="D12" s="90" t="s">
        <v>78</v>
      </c>
      <c r="E12" s="57">
        <f>'U16'!B29</f>
        <v>0</v>
      </c>
      <c r="G12" s="90" t="s">
        <v>78</v>
      </c>
      <c r="H12" s="57">
        <f>'U21'!B29</f>
        <v>90000</v>
      </c>
      <c r="J12" s="90" t="s">
        <v>78</v>
      </c>
      <c r="K12" s="57">
        <f>'U16 Afreks'!B29</f>
        <v>45000</v>
      </c>
      <c r="M12" s="90" t="s">
        <v>78</v>
      </c>
      <c r="N12" s="57">
        <f>'U21 Afreks'!B33</f>
        <v>34000</v>
      </c>
      <c r="P12" s="90" t="s">
        <v>78</v>
      </c>
      <c r="Q12" s="57">
        <f>'Fullorðins'!E21</f>
        <v>127500</v>
      </c>
    </row>
    <row r="13">
      <c r="A13" s="90" t="s">
        <v>70</v>
      </c>
      <c r="B13" s="57">
        <f>KrakkaNew!B43</f>
        <v>258750</v>
      </c>
      <c r="D13" s="90" t="s">
        <v>70</v>
      </c>
      <c r="E13" s="57">
        <f>'U16'!B43</f>
        <v>427500</v>
      </c>
      <c r="G13" s="90" t="s">
        <v>70</v>
      </c>
      <c r="H13" s="57">
        <f>'U21'!B45</f>
        <v>101500</v>
      </c>
      <c r="J13" s="90" t="s">
        <v>70</v>
      </c>
      <c r="K13" s="57">
        <f>'U16 Afreks'!B43</f>
        <v>0</v>
      </c>
      <c r="M13" s="90" t="s">
        <v>70</v>
      </c>
      <c r="N13" s="57">
        <f>'U21 Afreks'!B49</f>
        <v>0</v>
      </c>
      <c r="P13" s="90" t="s">
        <v>70</v>
      </c>
      <c r="Q13" s="57">
        <f>'Fullorðins'!E26</f>
        <v>232250</v>
      </c>
    </row>
    <row r="14">
      <c r="A14" s="214" t="s">
        <v>18</v>
      </c>
      <c r="B14" s="215">
        <f>SUM(B11:B13)</f>
        <v>562500</v>
      </c>
      <c r="D14" s="214" t="s">
        <v>18</v>
      </c>
      <c r="E14" s="215">
        <f>SUM(E11:E13)</f>
        <v>663750</v>
      </c>
      <c r="G14" s="214" t="s">
        <v>18</v>
      </c>
      <c r="H14" s="215">
        <f>SUM(H11:H13)</f>
        <v>315250</v>
      </c>
      <c r="J14" s="214" t="s">
        <v>18</v>
      </c>
      <c r="K14" s="215">
        <f>SUM(K11:K13)</f>
        <v>247500</v>
      </c>
      <c r="M14" s="214" t="s">
        <v>18</v>
      </c>
      <c r="N14" s="215">
        <f>SUM(N11:N13)</f>
        <v>236500</v>
      </c>
      <c r="P14" s="214" t="s">
        <v>18</v>
      </c>
      <c r="Q14" s="215" t="str">
        <f>SUM(Q11:Q13)</f>
        <v>#REF!</v>
      </c>
    </row>
    <row r="16">
      <c r="A16" s="218" t="s">
        <v>66</v>
      </c>
      <c r="B16" s="219"/>
      <c r="D16" s="218" t="s">
        <v>66</v>
      </c>
      <c r="E16" s="219"/>
      <c r="G16" s="218" t="s">
        <v>66</v>
      </c>
      <c r="H16" s="219"/>
      <c r="J16" s="218" t="s">
        <v>66</v>
      </c>
      <c r="K16" s="219"/>
      <c r="M16" s="218" t="s">
        <v>66</v>
      </c>
      <c r="N16" s="219"/>
      <c r="P16" s="218" t="s">
        <v>66</v>
      </c>
      <c r="Q16" s="219"/>
    </row>
    <row r="17">
      <c r="A17" s="90" t="s">
        <v>76</v>
      </c>
      <c r="B17" s="57">
        <f>KrakkaNew!B16</f>
        <v>157651.2</v>
      </c>
      <c r="D17" s="90" t="s">
        <v>76</v>
      </c>
      <c r="E17" s="220">
        <f>'U16'!B16</f>
        <v>157651.2</v>
      </c>
      <c r="G17" s="90" t="s">
        <v>76</v>
      </c>
      <c r="H17" s="57">
        <f>'U21'!B16</f>
        <v>157651.2</v>
      </c>
      <c r="J17" s="90" t="s">
        <v>76</v>
      </c>
      <c r="K17" s="220">
        <f>'U16 Afreks'!B16</f>
        <v>204019.2</v>
      </c>
      <c r="M17" s="90" t="s">
        <v>76</v>
      </c>
      <c r="N17" s="57">
        <f>'U21 Afreks'!B18</f>
        <v>273700</v>
      </c>
      <c r="P17" s="90" t="s">
        <v>76</v>
      </c>
      <c r="Q17" s="57">
        <f>'Fullorðins'!F16</f>
        <v>0</v>
      </c>
    </row>
    <row r="18">
      <c r="A18" s="90" t="s">
        <v>78</v>
      </c>
      <c r="B18" s="57">
        <f>KrakkaNew!B30</f>
        <v>148377.6</v>
      </c>
      <c r="D18" s="90" t="s">
        <v>78</v>
      </c>
      <c r="E18" s="57">
        <f>'U16'!B30</f>
        <v>0</v>
      </c>
      <c r="G18" s="90" t="s">
        <v>78</v>
      </c>
      <c r="H18" s="220">
        <f>'U21'!B30</f>
        <v>148377.6</v>
      </c>
      <c r="J18" s="90" t="s">
        <v>78</v>
      </c>
      <c r="K18" s="220">
        <f>'U16 Afreks'!B30</f>
        <v>55641.6</v>
      </c>
      <c r="M18" s="90" t="s">
        <v>78</v>
      </c>
      <c r="N18" s="57">
        <f>'U21 Afreks'!B34</f>
        <v>112700</v>
      </c>
      <c r="P18" s="90" t="s">
        <v>78</v>
      </c>
      <c r="Q18" s="57">
        <f>'Fullorðins'!F21</f>
        <v>0</v>
      </c>
    </row>
    <row r="19">
      <c r="A19" s="90" t="s">
        <v>70</v>
      </c>
      <c r="B19" s="220">
        <f>KrakkaNew!B44</f>
        <v>213486</v>
      </c>
      <c r="D19" s="90" t="s">
        <v>70</v>
      </c>
      <c r="E19" s="57">
        <f>'U16'!B44</f>
        <v>159390</v>
      </c>
      <c r="G19" s="90" t="s">
        <v>70</v>
      </c>
      <c r="H19" s="57">
        <f>'U21'!B46</f>
        <v>212520</v>
      </c>
      <c r="J19" s="90" t="s">
        <v>70</v>
      </c>
      <c r="K19" s="57">
        <f>'U16 Afreks'!B44</f>
        <v>0</v>
      </c>
      <c r="M19" s="90" t="s">
        <v>70</v>
      </c>
      <c r="N19" s="57">
        <f>'U21 Afreks'!B50</f>
        <v>0</v>
      </c>
      <c r="P19" s="90" t="s">
        <v>70</v>
      </c>
      <c r="Q19" s="57">
        <f>'Fullorðins'!F26</f>
        <v>0</v>
      </c>
    </row>
    <row r="20">
      <c r="A20" s="214" t="s">
        <v>18</v>
      </c>
      <c r="B20" s="215">
        <f>SUM(B17:B19)</f>
        <v>519514.8</v>
      </c>
      <c r="D20" s="214" t="s">
        <v>18</v>
      </c>
      <c r="E20" s="221">
        <f>SUM(E17:E19)</f>
        <v>317041.2</v>
      </c>
      <c r="G20" s="214" t="s">
        <v>18</v>
      </c>
      <c r="H20" s="215">
        <f>SUM(H17:H19)</f>
        <v>518548.8</v>
      </c>
      <c r="J20" s="214" t="s">
        <v>18</v>
      </c>
      <c r="K20" s="221">
        <f>SUM(K17:K19)</f>
        <v>259660.8</v>
      </c>
      <c r="M20" s="214" t="s">
        <v>18</v>
      </c>
      <c r="N20" s="215">
        <f>SUM(N17:N19)</f>
        <v>386400</v>
      </c>
      <c r="P20" s="214" t="s">
        <v>18</v>
      </c>
      <c r="Q20" s="215">
        <f>SUM(Q17:Q19)</f>
        <v>0</v>
      </c>
    </row>
    <row r="22">
      <c r="A22" s="222" t="s">
        <v>112</v>
      </c>
      <c r="B22" s="223"/>
      <c r="D22" s="222" t="s">
        <v>112</v>
      </c>
      <c r="E22" s="223"/>
      <c r="G22" s="222" t="s">
        <v>112</v>
      </c>
      <c r="H22" s="223"/>
      <c r="J22" s="222" t="s">
        <v>112</v>
      </c>
      <c r="K22" s="223"/>
      <c r="M22" s="222" t="s">
        <v>112</v>
      </c>
      <c r="N22" s="223"/>
      <c r="P22" s="222" t="s">
        <v>112</v>
      </c>
      <c r="Q22" s="223"/>
      <c r="S22" s="222" t="s">
        <v>113</v>
      </c>
      <c r="T22" s="223"/>
    </row>
    <row r="23">
      <c r="A23" s="90" t="s">
        <v>76</v>
      </c>
      <c r="B23" s="57">
        <f>KrakkaNew!B17</f>
        <v>11098.8</v>
      </c>
      <c r="D23" s="90" t="s">
        <v>76</v>
      </c>
      <c r="E23" s="220">
        <f>'U16'!B17</f>
        <v>78598.8</v>
      </c>
      <c r="G23" s="90" t="s">
        <v>76</v>
      </c>
      <c r="H23" s="220">
        <f>'U21'!B17</f>
        <v>-33901.2</v>
      </c>
      <c r="J23" s="90" t="s">
        <v>76</v>
      </c>
      <c r="K23" s="220">
        <f>'U16 Afreks'!B17</f>
        <v>-1519.2</v>
      </c>
      <c r="M23" s="90" t="s">
        <v>76</v>
      </c>
      <c r="N23" s="57">
        <f>'U21 Afreks'!B19</f>
        <v>-71200</v>
      </c>
      <c r="P23" s="90" t="s">
        <v>76</v>
      </c>
      <c r="Q23" s="57" t="str">
        <f>'Fullorðins'!G16</f>
        <v>#REF!</v>
      </c>
      <c r="S23" s="90" t="s">
        <v>114</v>
      </c>
      <c r="T23" s="57" t="str">
        <f t="shared" ref="T23:T25" si="1">B23+E23+K23+H23+N23+Q23</f>
        <v>#REF!</v>
      </c>
    </row>
    <row r="24">
      <c r="A24" s="90" t="s">
        <v>78</v>
      </c>
      <c r="B24" s="57">
        <f>KrakkaNew!B31</f>
        <v>-13377.6</v>
      </c>
      <c r="D24" s="90" t="s">
        <v>78</v>
      </c>
      <c r="E24" s="57">
        <f>'U16'!B31</f>
        <v>0</v>
      </c>
      <c r="G24" s="90" t="s">
        <v>78</v>
      </c>
      <c r="H24" s="220">
        <f>'U21'!B31</f>
        <v>-58377.6</v>
      </c>
      <c r="J24" s="90" t="s">
        <v>78</v>
      </c>
      <c r="K24" s="220">
        <f>'U16 Afreks'!B31</f>
        <v>-10641.6</v>
      </c>
      <c r="M24" s="90" t="s">
        <v>78</v>
      </c>
      <c r="N24" s="57">
        <f>'U21 Afreks'!B35</f>
        <v>-112700</v>
      </c>
      <c r="P24" s="90" t="s">
        <v>78</v>
      </c>
      <c r="Q24" s="57">
        <f>'Fullorðins'!G21</f>
        <v>84375</v>
      </c>
      <c r="S24" s="90" t="s">
        <v>115</v>
      </c>
      <c r="T24" s="220">
        <f t="shared" si="1"/>
        <v>-110721.8</v>
      </c>
    </row>
    <row r="25">
      <c r="A25" s="90" t="s">
        <v>70</v>
      </c>
      <c r="B25" s="220">
        <f>KrakkaNew!B45</f>
        <v>45264</v>
      </c>
      <c r="D25" s="90" t="s">
        <v>70</v>
      </c>
      <c r="E25" s="57">
        <f>'U16'!B45</f>
        <v>290610</v>
      </c>
      <c r="G25" s="90" t="s">
        <v>70</v>
      </c>
      <c r="H25" s="57">
        <f>'U21'!B47</f>
        <v>-89020</v>
      </c>
      <c r="J25" s="90" t="s">
        <v>70</v>
      </c>
      <c r="K25" s="57">
        <f>'U16 Afreks'!B45</f>
        <v>0</v>
      </c>
      <c r="M25" s="90" t="s">
        <v>70</v>
      </c>
      <c r="N25" s="57">
        <f>'U21 Afreks'!B51</f>
        <v>0</v>
      </c>
      <c r="P25" s="90" t="s">
        <v>70</v>
      </c>
      <c r="Q25" s="57">
        <f>'Fullorðins'!G26</f>
        <v>157500</v>
      </c>
      <c r="S25" s="124" t="s">
        <v>116</v>
      </c>
      <c r="T25" s="224">
        <f t="shared" si="1"/>
        <v>404354</v>
      </c>
    </row>
    <row r="26">
      <c r="A26" s="214" t="s">
        <v>18</v>
      </c>
      <c r="B26" s="215">
        <f>SUM(B23:B25)</f>
        <v>42985.2</v>
      </c>
      <c r="D26" s="214" t="s">
        <v>18</v>
      </c>
      <c r="E26" s="221">
        <f>SUM(E23:E25)</f>
        <v>369208.8</v>
      </c>
      <c r="G26" s="214" t="s">
        <v>18</v>
      </c>
      <c r="H26" s="221">
        <f>SUM(H23:H25)</f>
        <v>-181298.8</v>
      </c>
      <c r="J26" s="214" t="s">
        <v>18</v>
      </c>
      <c r="K26" s="221">
        <f>SUM(K23:K25)</f>
        <v>-12160.8</v>
      </c>
      <c r="M26" s="214" t="s">
        <v>18</v>
      </c>
      <c r="N26" s="215">
        <f>SUM(N23:N25)</f>
        <v>-183900</v>
      </c>
      <c r="P26" s="214" t="s">
        <v>18</v>
      </c>
      <c r="Q26" s="215" t="str">
        <f>SUM(Q23:Q25)</f>
        <v>#REF!</v>
      </c>
      <c r="S26" s="81" t="s">
        <v>18</v>
      </c>
      <c r="T26" s="225" t="str">
        <f>SUM(T23:T25)</f>
        <v>#REF!</v>
      </c>
    </row>
    <row r="29">
      <c r="D29" s="81" t="s">
        <v>18</v>
      </c>
      <c r="E29" s="81" t="s">
        <v>117</v>
      </c>
    </row>
    <row r="30">
      <c r="C30" s="226" t="s">
        <v>12</v>
      </c>
      <c r="D30" s="227" t="str">
        <f>B8+E8+H8+N8+K8+Q8</f>
        <v>#REF!</v>
      </c>
      <c r="E30" s="227" t="str">
        <f t="shared" ref="E30:E33" si="2">D30/12</f>
        <v>#REF!</v>
      </c>
      <c r="H30" s="133" t="s">
        <v>21</v>
      </c>
      <c r="I30" s="133" t="s">
        <v>18</v>
      </c>
      <c r="J30" s="133" t="s">
        <v>118</v>
      </c>
    </row>
    <row r="31">
      <c r="C31" s="228" t="s">
        <v>21</v>
      </c>
      <c r="D31" s="227" t="str">
        <f>B14+E14+H14+N14+K14+Q14</f>
        <v>#REF!</v>
      </c>
      <c r="E31" s="227" t="str">
        <f t="shared" si="2"/>
        <v>#REF!</v>
      </c>
      <c r="H31" s="133" t="s">
        <v>76</v>
      </c>
      <c r="I31" s="134" t="str">
        <f t="shared" ref="I31:I32" si="3">B11+E11+K11+H11+N11+Q11+T5</f>
        <v>#REF!</v>
      </c>
      <c r="J31" s="229" t="str">
        <f t="shared" ref="J31:J33" si="4">I31/4</f>
        <v>#REF!</v>
      </c>
    </row>
    <row r="32">
      <c r="C32" s="230" t="s">
        <v>66</v>
      </c>
      <c r="D32" s="227">
        <f>B20+E20+H20+N20+K20+Q20</f>
        <v>2001165.6</v>
      </c>
      <c r="E32" s="227">
        <f t="shared" si="2"/>
        <v>166763.8</v>
      </c>
      <c r="H32" s="133" t="s">
        <v>78</v>
      </c>
      <c r="I32" s="134">
        <f t="shared" si="3"/>
        <v>431500</v>
      </c>
      <c r="J32" s="134">
        <f t="shared" si="4"/>
        <v>107875</v>
      </c>
    </row>
    <row r="33">
      <c r="C33" s="207" t="s">
        <v>22</v>
      </c>
      <c r="D33" s="227" t="str">
        <f>B26+E26+H26+N26+K26+Q26</f>
        <v>#REF!</v>
      </c>
      <c r="E33" s="227" t="str">
        <f t="shared" si="2"/>
        <v>#REF!</v>
      </c>
      <c r="H33" s="133" t="s">
        <v>70</v>
      </c>
      <c r="I33" s="134">
        <f>B13+E13+K13+H13+N13+Q13</f>
        <v>1020000</v>
      </c>
      <c r="J33" s="229">
        <f t="shared" si="4"/>
        <v>255000</v>
      </c>
    </row>
    <row r="35">
      <c r="C35" s="193" t="s">
        <v>119</v>
      </c>
      <c r="D35" s="131"/>
      <c r="F35" s="193" t="s">
        <v>120</v>
      </c>
      <c r="G35" s="131"/>
      <c r="I35" s="193" t="s">
        <v>121</v>
      </c>
      <c r="J35" s="131"/>
      <c r="K35" s="133" t="s">
        <v>104</v>
      </c>
      <c r="L35" s="133" t="s">
        <v>122</v>
      </c>
      <c r="M35" s="133" t="s">
        <v>123</v>
      </c>
    </row>
    <row r="36">
      <c r="C36" s="133" t="s">
        <v>25</v>
      </c>
      <c r="D36" s="133">
        <v>208125.0</v>
      </c>
      <c r="F36" s="133" t="s">
        <v>38</v>
      </c>
      <c r="G36" s="133">
        <v>68250.0</v>
      </c>
      <c r="I36" s="133" t="s">
        <v>6</v>
      </c>
      <c r="J36" s="231">
        <v>200000.0</v>
      </c>
      <c r="K36" s="231">
        <f>'Mánaðarkort'!C19</f>
        <v>12000</v>
      </c>
      <c r="L36" s="231">
        <v>0.0</v>
      </c>
      <c r="M36" s="232">
        <f t="shared" ref="M36:M39" si="5">SUM(J36:L36)</f>
        <v>212000</v>
      </c>
    </row>
    <row r="37">
      <c r="C37" s="133" t="s">
        <v>26</v>
      </c>
      <c r="D37" s="133">
        <v>219375.0</v>
      </c>
      <c r="F37" s="133" t="s">
        <v>39</v>
      </c>
      <c r="G37" s="133">
        <v>76750.0</v>
      </c>
      <c r="I37" s="133" t="s">
        <v>7</v>
      </c>
      <c r="J37" s="231">
        <v>221750.0</v>
      </c>
      <c r="K37" s="231">
        <f>'Mánaðarkort'!C20</f>
        <v>90000</v>
      </c>
      <c r="L37" s="231">
        <v>2500000.0</v>
      </c>
      <c r="M37" s="232">
        <f t="shared" si="5"/>
        <v>2811750</v>
      </c>
    </row>
    <row r="38">
      <c r="C38" s="133" t="s">
        <v>27</v>
      </c>
      <c r="D38" s="133">
        <v>233438.0</v>
      </c>
      <c r="F38" s="133" t="s">
        <v>40</v>
      </c>
      <c r="G38" s="133">
        <v>97250.0</v>
      </c>
      <c r="I38" s="133" t="s">
        <v>8</v>
      </c>
      <c r="J38" s="231">
        <v>242250.0</v>
      </c>
      <c r="K38" s="232">
        <f>'Mánaðarkort'!C21</f>
        <v>96000</v>
      </c>
      <c r="L38" s="231">
        <v>0.0</v>
      </c>
      <c r="M38" s="232">
        <f t="shared" si="5"/>
        <v>338250</v>
      </c>
    </row>
    <row r="39">
      <c r="C39" s="133" t="s">
        <v>28</v>
      </c>
      <c r="D39" s="133">
        <v>241219.0</v>
      </c>
      <c r="F39" s="133" t="s">
        <v>41</v>
      </c>
      <c r="G39" s="133">
        <v>107875.0</v>
      </c>
      <c r="I39" s="133" t="s">
        <v>9</v>
      </c>
      <c r="J39" s="231">
        <v>255000.0</v>
      </c>
      <c r="K39" s="232">
        <f>'Mánaðarkort'!C22</f>
        <v>84000</v>
      </c>
      <c r="L39" s="231">
        <v>0.0</v>
      </c>
      <c r="M39" s="232">
        <f t="shared" si="5"/>
        <v>339000</v>
      </c>
    </row>
    <row r="44">
      <c r="I44" s="233">
        <v>6200000.0</v>
      </c>
    </row>
    <row r="45">
      <c r="I45" s="90" t="s">
        <v>124</v>
      </c>
      <c r="J45" s="233">
        <v>665250.0</v>
      </c>
    </row>
    <row r="46">
      <c r="I46" s="90" t="s">
        <v>125</v>
      </c>
      <c r="J46" s="233">
        <v>1610000.0</v>
      </c>
    </row>
    <row r="47">
      <c r="I47" s="90" t="s">
        <v>14</v>
      </c>
      <c r="J47" s="233">
        <v>50000.0</v>
      </c>
    </row>
    <row r="48">
      <c r="I48" s="90" t="s">
        <v>66</v>
      </c>
      <c r="J48" s="234">
        <v>444360.0</v>
      </c>
    </row>
    <row r="49">
      <c r="I49" s="90" t="s">
        <v>126</v>
      </c>
      <c r="J49" s="235">
        <f>SUM(J45:J48)</f>
        <v>2769610</v>
      </c>
    </row>
    <row r="50">
      <c r="I50" s="235">
        <f>I44-J49</f>
        <v>3430390</v>
      </c>
      <c r="J50" s="235"/>
    </row>
    <row r="51">
      <c r="I51" s="235">
        <f>I50-L37</f>
        <v>930390</v>
      </c>
    </row>
  </sheetData>
  <mergeCells count="11">
    <mergeCell ref="D3:E3"/>
    <mergeCell ref="C35:D35"/>
    <mergeCell ref="F35:G35"/>
    <mergeCell ref="I35:J35"/>
    <mergeCell ref="A1:C1"/>
    <mergeCell ref="A3:B3"/>
    <mergeCell ref="G3:H3"/>
    <mergeCell ref="J3:K3"/>
    <mergeCell ref="M3:N3"/>
    <mergeCell ref="P3:Q3"/>
    <mergeCell ref="S3:T3"/>
  </mergeCells>
  <conditionalFormatting sqref="B23:B26 E23:E26 H23:H26 K23:K26 N23:N26 Q26">
    <cfRule type="cellIs" dxfId="0" priority="1" operator="lessThanOrEqual">
      <formula>0</formula>
    </cfRule>
  </conditionalFormatting>
  <conditionalFormatting sqref="B23:B26 E23:E26 H23:H26 K23:K26 N23:N26 Q26">
    <cfRule type="cellIs" dxfId="1" priority="2" operator="greaterThan">
      <formula>1</formula>
    </cfRule>
  </conditionalFormatting>
  <conditionalFormatting sqref="H23:H25">
    <cfRule type="cellIs" dxfId="0" priority="3" operator="lessThanOrEqual">
      <formula>0</formula>
    </cfRule>
  </conditionalFormatting>
  <conditionalFormatting sqref="H23:H25">
    <cfRule type="cellIs" dxfId="1" priority="4" operator="greaterThan">
      <formula>1</formula>
    </cfRule>
  </conditionalFormatting>
  <conditionalFormatting sqref="Q23:Q25">
    <cfRule type="cellIs" dxfId="1" priority="5" operator="greaterThanOrEqual">
      <formula>0</formula>
    </cfRule>
  </conditionalFormatting>
  <conditionalFormatting sqref="Q23:Q25">
    <cfRule type="cellIs" dxfId="0" priority="6" operator="lessThan">
      <formula>0</formula>
    </cfRule>
  </conditionalFormatting>
  <conditionalFormatting sqref="T23:T26">
    <cfRule type="cellIs" dxfId="1" priority="7" operator="greaterThanOrEqual">
      <formula>0</formula>
    </cfRule>
  </conditionalFormatting>
  <conditionalFormatting sqref="T23:T26">
    <cfRule type="cellIs" dxfId="6" priority="8" operator="between">
      <formula>-1</formula>
      <formula>-100000</formula>
    </cfRule>
  </conditionalFormatting>
  <conditionalFormatting sqref="T23:T26">
    <cfRule type="cellIs" dxfId="0" priority="9" operator="lessThan">
      <formula>-100001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19" max="19" width="16.57"/>
    <col customWidth="1" min="20" max="20" width="10.29"/>
  </cols>
  <sheetData>
    <row r="1">
      <c r="A1" s="209">
        <v>2023.0</v>
      </c>
      <c r="D1" s="90" t="s">
        <v>127</v>
      </c>
    </row>
    <row r="3">
      <c r="A3" s="210" t="s">
        <v>75</v>
      </c>
      <c r="D3" s="210" t="s">
        <v>109</v>
      </c>
      <c r="G3" s="210" t="s">
        <v>83</v>
      </c>
      <c r="J3" s="210" t="s">
        <v>97</v>
      </c>
      <c r="M3" s="210" t="s">
        <v>104</v>
      </c>
    </row>
    <row r="4">
      <c r="A4" s="211" t="s">
        <v>12</v>
      </c>
      <c r="B4" s="6"/>
      <c r="D4" s="211" t="s">
        <v>12</v>
      </c>
      <c r="E4" s="6"/>
      <c r="G4" s="211" t="s">
        <v>12</v>
      </c>
      <c r="H4" s="6"/>
      <c r="J4" s="211" t="s">
        <v>12</v>
      </c>
      <c r="K4" s="6"/>
      <c r="M4" s="212" t="s">
        <v>21</v>
      </c>
      <c r="N4" s="87"/>
    </row>
    <row r="5">
      <c r="A5" s="90" t="s">
        <v>76</v>
      </c>
      <c r="B5" s="57">
        <f>KrakkaNew!B60</f>
        <v>337500</v>
      </c>
      <c r="D5" s="90" t="s">
        <v>76</v>
      </c>
      <c r="E5" s="57">
        <f>'U16'!B58</f>
        <v>585000</v>
      </c>
      <c r="G5" s="90" t="s">
        <v>76</v>
      </c>
      <c r="H5" s="57">
        <f>'U21'!B62</f>
        <v>652500</v>
      </c>
      <c r="J5" s="90" t="s">
        <v>76</v>
      </c>
      <c r="K5" s="57">
        <f>'Fullorðins'!D41</f>
        <v>570250</v>
      </c>
      <c r="M5" s="90" t="s">
        <v>76</v>
      </c>
      <c r="N5" s="57">
        <f>'Mánaðarkort'!G13</f>
        <v>456000</v>
      </c>
    </row>
    <row r="6">
      <c r="A6" s="90" t="s">
        <v>78</v>
      </c>
      <c r="B6" s="57">
        <f>KrakkaNew!B75</f>
        <v>135000</v>
      </c>
      <c r="D6" s="90" t="s">
        <v>78</v>
      </c>
      <c r="E6" s="57">
        <f>'U16'!B72</f>
        <v>135000</v>
      </c>
      <c r="G6" s="90" t="s">
        <v>78</v>
      </c>
      <c r="H6" s="57">
        <f>'U21'!B78</f>
        <v>270000</v>
      </c>
      <c r="J6" s="90" t="s">
        <v>78</v>
      </c>
      <c r="K6" s="57">
        <f>'Fullorðins'!D46</f>
        <v>550375</v>
      </c>
      <c r="M6" s="90" t="s">
        <v>78</v>
      </c>
      <c r="N6" s="57">
        <f>'Mánaðarkort'!G18</f>
        <v>607500</v>
      </c>
    </row>
    <row r="7">
      <c r="A7" s="90" t="s">
        <v>70</v>
      </c>
      <c r="B7" s="235">
        <f>KrakkaNew!B90</f>
        <v>900000</v>
      </c>
      <c r="D7" s="90" t="s">
        <v>70</v>
      </c>
      <c r="E7" s="235">
        <f>'U16'!B86</f>
        <v>800000</v>
      </c>
      <c r="G7" s="90" t="s">
        <v>70</v>
      </c>
      <c r="H7" s="235">
        <f>'U21'!B94</f>
        <v>250000</v>
      </c>
      <c r="J7" s="90" t="s">
        <v>70</v>
      </c>
      <c r="K7" s="57">
        <f>'Fullorðins'!D51</f>
        <v>583375</v>
      </c>
      <c r="M7" s="124" t="s">
        <v>70</v>
      </c>
      <c r="N7" s="57">
        <f>'Mánaðarkort'!G23</f>
        <v>622500</v>
      </c>
    </row>
    <row r="8">
      <c r="A8" s="214" t="s">
        <v>18</v>
      </c>
      <c r="B8" s="215">
        <f>SUM(B5:B7)</f>
        <v>1372500</v>
      </c>
      <c r="D8" s="214" t="s">
        <v>18</v>
      </c>
      <c r="E8" s="215">
        <f>SUM(E5:E7)</f>
        <v>1520000</v>
      </c>
      <c r="G8" s="214" t="s">
        <v>18</v>
      </c>
      <c r="H8" s="215">
        <f>SUM(H5:H7)</f>
        <v>1172500</v>
      </c>
      <c r="J8" s="214" t="s">
        <v>18</v>
      </c>
      <c r="K8" s="215">
        <f>SUM(K5:K7)</f>
        <v>1704000</v>
      </c>
      <c r="M8" s="81" t="s">
        <v>18</v>
      </c>
      <c r="N8" s="236">
        <f>SUM(N5:N7)</f>
        <v>1686000</v>
      </c>
    </row>
    <row r="10">
      <c r="A10" s="216" t="s">
        <v>21</v>
      </c>
      <c r="B10" s="217"/>
      <c r="D10" s="216" t="s">
        <v>21</v>
      </c>
      <c r="E10" s="217"/>
      <c r="G10" s="216" t="s">
        <v>21</v>
      </c>
      <c r="H10" s="217"/>
      <c r="J10" s="216" t="s">
        <v>21</v>
      </c>
      <c r="K10" s="217"/>
    </row>
    <row r="11">
      <c r="A11" s="90" t="s">
        <v>76</v>
      </c>
      <c r="B11" s="57">
        <f>KrakkaNew!B61</f>
        <v>168750</v>
      </c>
      <c r="D11" s="90" t="s">
        <v>76</v>
      </c>
      <c r="E11" s="57">
        <f>'U16'!B59</f>
        <v>292500</v>
      </c>
      <c r="G11" s="90" t="s">
        <v>76</v>
      </c>
      <c r="H11" s="57">
        <f>'U21'!B63</f>
        <v>271250</v>
      </c>
      <c r="J11" s="90" t="s">
        <v>76</v>
      </c>
      <c r="K11" s="57">
        <f>'Fullorðins'!E41</f>
        <v>334000</v>
      </c>
    </row>
    <row r="12">
      <c r="A12" s="90" t="s">
        <v>78</v>
      </c>
      <c r="B12" s="57">
        <f>KrakkaNew!B76</f>
        <v>67500</v>
      </c>
      <c r="D12" s="90" t="s">
        <v>78</v>
      </c>
      <c r="E12" s="57">
        <f>'U16'!B73</f>
        <v>67500</v>
      </c>
      <c r="G12" s="90" t="s">
        <v>78</v>
      </c>
      <c r="H12" s="57">
        <f>'U21'!B79</f>
        <v>113000</v>
      </c>
      <c r="J12" s="90" t="s">
        <v>78</v>
      </c>
      <c r="K12" s="57">
        <f>'Fullorðins'!E46</f>
        <v>319750</v>
      </c>
    </row>
    <row r="13">
      <c r="A13" s="90" t="s">
        <v>70</v>
      </c>
      <c r="B13" s="235">
        <f>KrakkaNew!B91</f>
        <v>450000</v>
      </c>
      <c r="D13" s="90" t="s">
        <v>70</v>
      </c>
      <c r="E13" s="235">
        <f>'U16'!B87</f>
        <v>400000</v>
      </c>
      <c r="G13" s="90" t="s">
        <v>70</v>
      </c>
      <c r="H13" s="235">
        <f>'U21'!B95</f>
        <v>71000</v>
      </c>
      <c r="J13" s="90" t="s">
        <v>70</v>
      </c>
      <c r="K13" s="57">
        <f>'Fullorðins'!E51</f>
        <v>315250</v>
      </c>
    </row>
    <row r="14">
      <c r="A14" s="214" t="s">
        <v>18</v>
      </c>
      <c r="B14" s="215">
        <f>SUM(B11:B13)</f>
        <v>686250</v>
      </c>
      <c r="D14" s="214" t="s">
        <v>18</v>
      </c>
      <c r="E14" s="215">
        <f>SUM(E11:E13)</f>
        <v>760000</v>
      </c>
      <c r="G14" s="214" t="s">
        <v>18</v>
      </c>
      <c r="H14" s="215">
        <f>SUM(H11:H13)</f>
        <v>455250</v>
      </c>
      <c r="J14" s="214" t="s">
        <v>18</v>
      </c>
      <c r="K14" s="215">
        <f>SUM(K11:K13)</f>
        <v>969000</v>
      </c>
    </row>
    <row r="16">
      <c r="A16" s="218" t="s">
        <v>66</v>
      </c>
      <c r="B16" s="219"/>
      <c r="D16" s="218" t="s">
        <v>66</v>
      </c>
      <c r="E16" s="219"/>
      <c r="G16" s="218" t="s">
        <v>66</v>
      </c>
      <c r="H16" s="219"/>
      <c r="J16" s="218" t="s">
        <v>66</v>
      </c>
      <c r="K16" s="219"/>
    </row>
    <row r="17">
      <c r="A17" s="90" t="s">
        <v>76</v>
      </c>
      <c r="B17" s="220">
        <f>KrakkaNew!B62</f>
        <v>169050</v>
      </c>
      <c r="D17" s="90" t="s">
        <v>76</v>
      </c>
      <c r="E17" s="57">
        <f>'U16'!B60</f>
        <v>182574</v>
      </c>
      <c r="G17" s="90" t="s">
        <v>76</v>
      </c>
      <c r="H17" s="57">
        <f>'U21'!B64</f>
        <v>243432</v>
      </c>
      <c r="J17" s="90" t="s">
        <v>76</v>
      </c>
      <c r="K17" s="57">
        <f>'Fullorðins'!F41</f>
        <v>0</v>
      </c>
    </row>
    <row r="18">
      <c r="A18" s="90" t="s">
        <v>78</v>
      </c>
      <c r="B18" s="220">
        <f>KrakkaNew!B77</f>
        <v>173880</v>
      </c>
      <c r="D18" s="90" t="s">
        <v>78</v>
      </c>
      <c r="E18" s="57">
        <f>'U16'!B74</f>
        <v>187790.4</v>
      </c>
      <c r="G18" s="90" t="s">
        <v>78</v>
      </c>
      <c r="H18" s="57">
        <f>'U21'!B80</f>
        <v>243432</v>
      </c>
      <c r="J18" s="90" t="s">
        <v>78</v>
      </c>
      <c r="K18" s="57">
        <f>'Fullorðins'!F46</f>
        <v>0</v>
      </c>
    </row>
    <row r="19">
      <c r="A19" s="90" t="s">
        <v>70</v>
      </c>
      <c r="B19" s="220">
        <f>KrakkaNew!B92</f>
        <v>350078.4</v>
      </c>
      <c r="D19" s="90" t="s">
        <v>70</v>
      </c>
      <c r="E19" s="235">
        <f>'U16'!B88</f>
        <v>166924.8</v>
      </c>
      <c r="G19" s="90" t="s">
        <v>70</v>
      </c>
      <c r="H19" s="235">
        <f>'U21'!B96</f>
        <v>295016.4</v>
      </c>
      <c r="J19" s="90" t="s">
        <v>70</v>
      </c>
      <c r="K19" s="57">
        <f>'Fullorðins'!F51</f>
        <v>0</v>
      </c>
    </row>
    <row r="20">
      <c r="A20" s="214" t="s">
        <v>18</v>
      </c>
      <c r="B20" s="221">
        <f>SUM(B17:B19)</f>
        <v>693008.4</v>
      </c>
      <c r="D20" s="214" t="s">
        <v>18</v>
      </c>
      <c r="E20" s="215">
        <f>SUM(E17:E19)</f>
        <v>537289.2</v>
      </c>
      <c r="G20" s="214" t="s">
        <v>18</v>
      </c>
      <c r="H20" s="215">
        <f>SUM(H17:H19)</f>
        <v>781880.4</v>
      </c>
      <c r="J20" s="214" t="s">
        <v>18</v>
      </c>
      <c r="K20" s="215">
        <f>SUM(K17:K19)</f>
        <v>0</v>
      </c>
    </row>
    <row r="22">
      <c r="A22" s="222" t="s">
        <v>112</v>
      </c>
      <c r="B22" s="223"/>
      <c r="D22" s="222" t="s">
        <v>112</v>
      </c>
      <c r="E22" s="223"/>
      <c r="G22" s="222" t="s">
        <v>112</v>
      </c>
      <c r="H22" s="223"/>
      <c r="J22" s="222" t="s">
        <v>112</v>
      </c>
      <c r="K22" s="223"/>
      <c r="M22" s="222" t="s">
        <v>113</v>
      </c>
      <c r="N22" s="223"/>
    </row>
    <row r="23">
      <c r="A23" s="90" t="s">
        <v>76</v>
      </c>
      <c r="B23" s="220">
        <f>KrakkaNew!B63</f>
        <v>-300</v>
      </c>
      <c r="D23" s="90" t="s">
        <v>76</v>
      </c>
      <c r="E23" s="57">
        <f>'U16'!B61</f>
        <v>109926</v>
      </c>
      <c r="G23" s="90" t="s">
        <v>76</v>
      </c>
      <c r="H23" s="220">
        <f>'U21'!B65</f>
        <v>137818</v>
      </c>
      <c r="J23" s="90" t="s">
        <v>76</v>
      </c>
      <c r="K23" s="57">
        <f>'Fullorðins'!G41</f>
        <v>236250</v>
      </c>
      <c r="M23" s="90" t="s">
        <v>114</v>
      </c>
      <c r="N23" s="233">
        <f t="shared" ref="N23:N25" si="1">B23+E23+H23+K23</f>
        <v>483694</v>
      </c>
    </row>
    <row r="24">
      <c r="A24" s="90" t="s">
        <v>78</v>
      </c>
      <c r="B24" s="220">
        <f>KrakkaNew!B78</f>
        <v>-106380</v>
      </c>
      <c r="D24" s="90" t="s">
        <v>78</v>
      </c>
      <c r="E24" s="57">
        <f>'U16'!B75</f>
        <v>-120290.4</v>
      </c>
      <c r="G24" s="90" t="s">
        <v>78</v>
      </c>
      <c r="H24" s="57">
        <f>'U21'!B81</f>
        <v>-86432</v>
      </c>
      <c r="J24" s="90" t="s">
        <v>78</v>
      </c>
      <c r="K24" s="57">
        <f>'Fullorðins'!G46</f>
        <v>230625</v>
      </c>
      <c r="M24" s="90" t="s">
        <v>115</v>
      </c>
      <c r="N24" s="233">
        <f t="shared" si="1"/>
        <v>-82477.4</v>
      </c>
    </row>
    <row r="25">
      <c r="A25" s="90" t="s">
        <v>70</v>
      </c>
      <c r="B25" s="220">
        <f>KrakkaNew!B93</f>
        <v>99921.6</v>
      </c>
      <c r="D25" s="90" t="s">
        <v>70</v>
      </c>
      <c r="E25" s="235">
        <f>'U16'!B89</f>
        <v>233075.2</v>
      </c>
      <c r="G25" s="90" t="s">
        <v>70</v>
      </c>
      <c r="H25" s="235">
        <f>'U21'!B97</f>
        <v>-116016.4</v>
      </c>
      <c r="J25" s="90" t="s">
        <v>70</v>
      </c>
      <c r="K25" s="57">
        <f>'Fullorðins'!G51</f>
        <v>268125</v>
      </c>
      <c r="M25" s="124" t="s">
        <v>116</v>
      </c>
      <c r="N25" s="234">
        <f t="shared" si="1"/>
        <v>485105.4</v>
      </c>
    </row>
    <row r="26">
      <c r="A26" s="214" t="s">
        <v>18</v>
      </c>
      <c r="B26" s="221">
        <f>SUM(B23:B25)</f>
        <v>-6758.4</v>
      </c>
      <c r="D26" s="214" t="s">
        <v>18</v>
      </c>
      <c r="E26" s="215">
        <f>SUM(E23:E25)</f>
        <v>222710.8</v>
      </c>
      <c r="G26" s="214" t="s">
        <v>18</v>
      </c>
      <c r="H26" s="221">
        <f>SUM(H23:H25)</f>
        <v>-64630.4</v>
      </c>
      <c r="J26" s="214" t="s">
        <v>18</v>
      </c>
      <c r="K26" s="215">
        <f>SUM(K23:K25)</f>
        <v>735000</v>
      </c>
      <c r="M26" s="81" t="s">
        <v>18</v>
      </c>
      <c r="N26" s="237">
        <f>SUM(N23:N25)</f>
        <v>886322</v>
      </c>
    </row>
    <row r="29">
      <c r="B29" s="81" t="s">
        <v>18</v>
      </c>
      <c r="C29" s="81" t="s">
        <v>117</v>
      </c>
    </row>
    <row r="30">
      <c r="A30" s="226" t="s">
        <v>12</v>
      </c>
      <c r="B30" s="227">
        <f>B8+E8+H8+K8</f>
        <v>5769000</v>
      </c>
      <c r="C30" s="227">
        <f t="shared" ref="C30:C33" si="2">B30/12</f>
        <v>480750</v>
      </c>
      <c r="E30" s="133" t="s">
        <v>21</v>
      </c>
      <c r="F30" s="133" t="s">
        <v>18</v>
      </c>
      <c r="G30" s="133" t="s">
        <v>118</v>
      </c>
      <c r="I30" s="238" t="s">
        <v>119</v>
      </c>
      <c r="J30" s="131"/>
      <c r="K30" s="133" t="s">
        <v>104</v>
      </c>
      <c r="L30" s="133" t="s">
        <v>123</v>
      </c>
    </row>
    <row r="31">
      <c r="A31" s="228" t="s">
        <v>21</v>
      </c>
      <c r="B31" s="227">
        <f>B14+E14+H14+K14</f>
        <v>2870500</v>
      </c>
      <c r="C31" s="227">
        <f t="shared" si="2"/>
        <v>239208.3333</v>
      </c>
      <c r="E31" s="133" t="s">
        <v>76</v>
      </c>
      <c r="F31" s="232">
        <f t="shared" ref="F31:F33" si="3">B11+E11+H11+K11</f>
        <v>1066500</v>
      </c>
      <c r="G31" s="232">
        <f t="shared" ref="G31:G33" si="4">F31/4</f>
        <v>266625</v>
      </c>
      <c r="I31" s="133" t="s">
        <v>25</v>
      </c>
      <c r="J31" s="231">
        <v>147250.0</v>
      </c>
      <c r="K31" s="231">
        <f>'Mánaðarkort'!G9</f>
        <v>90000</v>
      </c>
      <c r="L31" s="232">
        <f t="shared" ref="L31:L34" si="5">SUM(J31:K31)</f>
        <v>237250</v>
      </c>
    </row>
    <row r="32">
      <c r="A32" s="230" t="s">
        <v>66</v>
      </c>
      <c r="B32" s="227">
        <f>B20+E20+H20+K20</f>
        <v>2012178</v>
      </c>
      <c r="C32" s="227">
        <f t="shared" si="2"/>
        <v>167681.5</v>
      </c>
      <c r="E32" s="133" t="s">
        <v>78</v>
      </c>
      <c r="F32" s="232">
        <f t="shared" si="3"/>
        <v>567750</v>
      </c>
      <c r="G32" s="232">
        <f t="shared" si="4"/>
        <v>141937.5</v>
      </c>
      <c r="I32" s="133" t="s">
        <v>26</v>
      </c>
      <c r="J32" s="231">
        <v>200938.0</v>
      </c>
      <c r="K32" s="231">
        <f>'Mánaðarkort'!G10</f>
        <v>114000</v>
      </c>
      <c r="L32" s="232">
        <f t="shared" si="5"/>
        <v>314938</v>
      </c>
    </row>
    <row r="33">
      <c r="A33" s="207" t="s">
        <v>22</v>
      </c>
      <c r="B33" s="227">
        <f>B26+E26+H26+K26</f>
        <v>886322</v>
      </c>
      <c r="C33" s="227">
        <f t="shared" si="2"/>
        <v>73860.16667</v>
      </c>
      <c r="E33" s="133" t="s">
        <v>70</v>
      </c>
      <c r="F33" s="232">
        <f t="shared" si="3"/>
        <v>1236250</v>
      </c>
      <c r="G33" s="232">
        <f t="shared" si="4"/>
        <v>309062.5</v>
      </c>
      <c r="I33" s="133" t="s">
        <v>27</v>
      </c>
      <c r="J33" s="231">
        <v>242563.0</v>
      </c>
      <c r="K33" s="231">
        <f>'Mánaðarkort'!G11</f>
        <v>126000</v>
      </c>
      <c r="L33" s="232">
        <f t="shared" si="5"/>
        <v>368563</v>
      </c>
    </row>
    <row r="34">
      <c r="I34" s="133" t="s">
        <v>28</v>
      </c>
      <c r="J34" s="231">
        <v>266625.0</v>
      </c>
      <c r="K34" s="231">
        <f>'Mánaðarkort'!G12</f>
        <v>126000</v>
      </c>
      <c r="L34" s="232">
        <f t="shared" si="5"/>
        <v>392625</v>
      </c>
    </row>
    <row r="35">
      <c r="C35" s="239"/>
      <c r="D35" s="239"/>
      <c r="K35" s="239"/>
      <c r="L35" s="239"/>
      <c r="M35" s="239"/>
    </row>
    <row r="36">
      <c r="C36" s="239"/>
      <c r="D36" s="239"/>
      <c r="I36" s="240" t="s">
        <v>120</v>
      </c>
      <c r="J36" s="131"/>
      <c r="K36" s="133" t="s">
        <v>104</v>
      </c>
      <c r="L36" s="133" t="s">
        <v>123</v>
      </c>
      <c r="M36" s="235"/>
    </row>
    <row r="37">
      <c r="C37" s="239"/>
      <c r="D37" s="239"/>
      <c r="I37" s="133" t="s">
        <v>38</v>
      </c>
      <c r="J37" s="231">
        <v>65000.0</v>
      </c>
      <c r="K37" s="231">
        <f>'Mánaðarkort'!G14</f>
        <v>157500</v>
      </c>
      <c r="L37" s="232">
        <f t="shared" ref="L37:L40" si="6">SUM(J37:K37)</f>
        <v>222500</v>
      </c>
      <c r="M37" s="235"/>
    </row>
    <row r="38">
      <c r="C38" s="239"/>
      <c r="D38" s="239"/>
      <c r="I38" s="133" t="s">
        <v>39</v>
      </c>
      <c r="J38" s="231">
        <v>90375.0</v>
      </c>
      <c r="K38" s="231">
        <f>'Mánaðarkort'!G15</f>
        <v>157500</v>
      </c>
      <c r="L38" s="232">
        <f t="shared" si="6"/>
        <v>247875</v>
      </c>
      <c r="M38" s="235"/>
    </row>
    <row r="39">
      <c r="C39" s="239"/>
      <c r="D39" s="239"/>
      <c r="I39" s="133" t="s">
        <v>40</v>
      </c>
      <c r="J39" s="231">
        <v>122844.0</v>
      </c>
      <c r="K39" s="231">
        <f>'Mánaðarkort'!G16</f>
        <v>157500</v>
      </c>
      <c r="L39" s="232">
        <f t="shared" si="6"/>
        <v>280344</v>
      </c>
      <c r="M39" s="235"/>
    </row>
    <row r="40">
      <c r="I40" s="133" t="s">
        <v>41</v>
      </c>
      <c r="J40" s="231">
        <v>141938.0</v>
      </c>
      <c r="K40" s="231">
        <f>'Mánaðarkort'!G17</f>
        <v>135000</v>
      </c>
      <c r="L40" s="232">
        <f t="shared" si="6"/>
        <v>276938</v>
      </c>
    </row>
    <row r="42">
      <c r="I42" s="241" t="s">
        <v>121</v>
      </c>
      <c r="J42" s="131"/>
      <c r="K42" s="133" t="s">
        <v>104</v>
      </c>
      <c r="L42" s="133" t="s">
        <v>123</v>
      </c>
    </row>
    <row r="43">
      <c r="I43" s="133" t="s">
        <v>6</v>
      </c>
      <c r="J43" s="231">
        <v>249813.0</v>
      </c>
      <c r="K43" s="231">
        <f>'Mánaðarkort'!G19</f>
        <v>135000</v>
      </c>
      <c r="L43" s="232">
        <f t="shared" ref="L43:L46" si="7">SUM(J43:K43)</f>
        <v>384813</v>
      </c>
    </row>
    <row r="44">
      <c r="I44" s="133" t="s">
        <v>7</v>
      </c>
      <c r="J44" s="231">
        <v>271500.0</v>
      </c>
      <c r="K44" s="231">
        <f>'Mánaðarkort'!G20</f>
        <v>157500</v>
      </c>
      <c r="L44" s="232">
        <f t="shared" si="7"/>
        <v>429000</v>
      </c>
    </row>
    <row r="45">
      <c r="I45" s="133" t="s">
        <v>8</v>
      </c>
      <c r="J45" s="231">
        <v>291000.0</v>
      </c>
      <c r="K45" s="231">
        <f>'Mánaðarkort'!G21</f>
        <v>157500</v>
      </c>
      <c r="L45" s="232">
        <f t="shared" si="7"/>
        <v>448500</v>
      </c>
    </row>
    <row r="46">
      <c r="I46" s="133" t="s">
        <v>9</v>
      </c>
      <c r="J46" s="231">
        <v>310000.0</v>
      </c>
      <c r="K46" s="231">
        <f>'Mánaðarkort'!G22</f>
        <v>172500</v>
      </c>
      <c r="L46" s="232">
        <f t="shared" si="7"/>
        <v>482500</v>
      </c>
    </row>
    <row r="47">
      <c r="J47" s="235"/>
    </row>
    <row r="48">
      <c r="J48" s="235"/>
    </row>
    <row r="49">
      <c r="J49" s="235"/>
    </row>
    <row r="50">
      <c r="J50" s="235"/>
    </row>
  </sheetData>
  <mergeCells count="9">
    <mergeCell ref="I36:J36"/>
    <mergeCell ref="I42:J42"/>
    <mergeCell ref="A1:C1"/>
    <mergeCell ref="A3:B3"/>
    <mergeCell ref="D3:E3"/>
    <mergeCell ref="G3:H3"/>
    <mergeCell ref="J3:K3"/>
    <mergeCell ref="M3:N3"/>
    <mergeCell ref="I30:J30"/>
  </mergeCells>
  <conditionalFormatting sqref="B23:B26 E23:E26 H23:H26 K26">
    <cfRule type="cellIs" dxfId="1" priority="1" operator="greaterThanOrEqual">
      <formula>0</formula>
    </cfRule>
  </conditionalFormatting>
  <conditionalFormatting sqref="B23:B26 E23:E26 H23:H26 K26">
    <cfRule type="cellIs" dxfId="0" priority="2" operator="lessThan">
      <formula>0</formula>
    </cfRule>
  </conditionalFormatting>
  <conditionalFormatting sqref="H23:H25">
    <cfRule type="cellIs" dxfId="0" priority="3" operator="lessThanOrEqual">
      <formula>0</formula>
    </cfRule>
  </conditionalFormatting>
  <conditionalFormatting sqref="H23:H25">
    <cfRule type="cellIs" dxfId="1" priority="4" operator="greaterThan">
      <formula>1</formula>
    </cfRule>
  </conditionalFormatting>
  <conditionalFormatting sqref="K23:K25">
    <cfRule type="cellIs" dxfId="1" priority="5" operator="greaterThanOrEqual">
      <formula>0</formula>
    </cfRule>
  </conditionalFormatting>
  <conditionalFormatting sqref="K23:K25">
    <cfRule type="cellIs" dxfId="0" priority="6" operator="lessThan">
      <formula>0</formula>
    </cfRule>
  </conditionalFormatting>
  <conditionalFormatting sqref="N23:N26">
    <cfRule type="cellIs" dxfId="1" priority="7" operator="greaterThanOrEqual">
      <formula>0</formula>
    </cfRule>
  </conditionalFormatting>
  <conditionalFormatting sqref="N23:N26">
    <cfRule type="cellIs" dxfId="6" priority="8" operator="between">
      <formula>-1</formula>
      <formula>-100000</formula>
    </cfRule>
  </conditionalFormatting>
  <conditionalFormatting sqref="N23:N26">
    <cfRule type="cellIs" dxfId="0" priority="9" operator="lessThan">
      <formula>-100001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12" max="12" width="15.29"/>
    <col customWidth="1" min="19" max="19" width="16.57"/>
    <col customWidth="1" min="20" max="20" width="10.29"/>
  </cols>
  <sheetData>
    <row r="1">
      <c r="A1" s="209">
        <v>2024.0</v>
      </c>
      <c r="D1" s="90" t="s">
        <v>127</v>
      </c>
    </row>
    <row r="3">
      <c r="A3" s="210" t="s">
        <v>75</v>
      </c>
      <c r="D3" s="210" t="s">
        <v>109</v>
      </c>
      <c r="G3" s="210" t="s">
        <v>83</v>
      </c>
      <c r="J3" s="210" t="s">
        <v>97</v>
      </c>
      <c r="M3" s="210" t="s">
        <v>104</v>
      </c>
    </row>
    <row r="4">
      <c r="A4" s="211" t="s">
        <v>12</v>
      </c>
      <c r="B4" s="6"/>
      <c r="D4" s="211" t="s">
        <v>12</v>
      </c>
      <c r="E4" s="6"/>
      <c r="G4" s="211" t="s">
        <v>12</v>
      </c>
      <c r="H4" s="6"/>
      <c r="J4" s="211" t="s">
        <v>12</v>
      </c>
      <c r="K4" s="6"/>
      <c r="M4" s="212" t="s">
        <v>21</v>
      </c>
      <c r="N4" s="87"/>
    </row>
    <row r="5">
      <c r="A5" s="90" t="s">
        <v>76</v>
      </c>
      <c r="B5" s="57">
        <f>KrakkaNew!B107</f>
        <v>350000</v>
      </c>
      <c r="D5" s="90" t="s">
        <v>76</v>
      </c>
      <c r="E5" s="220">
        <f>'U16'!B103</f>
        <v>700000</v>
      </c>
      <c r="G5" s="90" t="s">
        <v>76</v>
      </c>
      <c r="H5" s="220">
        <f>'U21'!B112</f>
        <v>250000</v>
      </c>
      <c r="J5" s="90" t="s">
        <v>76</v>
      </c>
      <c r="K5" s="57">
        <f>'Fullorðins'!D66</f>
        <v>451750</v>
      </c>
      <c r="M5" s="90" t="s">
        <v>76</v>
      </c>
      <c r="N5" s="57">
        <f>'Mánaðarkort'!K13</f>
        <v>772500</v>
      </c>
    </row>
    <row r="6">
      <c r="A6" s="90" t="s">
        <v>78</v>
      </c>
      <c r="B6" s="57">
        <f>KrakkaNew!B122</f>
        <v>150000</v>
      </c>
      <c r="D6" s="90" t="s">
        <v>78</v>
      </c>
      <c r="E6" s="57">
        <f>KrakkaNew!B122</f>
        <v>150000</v>
      </c>
      <c r="G6" s="90" t="s">
        <v>78</v>
      </c>
      <c r="H6" s="57">
        <f>'U21'!B128</f>
        <v>300000</v>
      </c>
      <c r="J6" s="90" t="s">
        <v>78</v>
      </c>
      <c r="K6" s="57">
        <f>'Fullorðins'!D71</f>
        <v>460375</v>
      </c>
      <c r="M6" s="90" t="s">
        <v>78</v>
      </c>
      <c r="N6" s="57">
        <f>'Mánaðarkort'!K18</f>
        <v>712500</v>
      </c>
    </row>
    <row r="7">
      <c r="A7" s="90" t="s">
        <v>70</v>
      </c>
      <c r="B7" s="235">
        <f>KrakkaNew!B137</f>
        <v>775000</v>
      </c>
      <c r="D7" s="90" t="s">
        <v>70</v>
      </c>
      <c r="E7" s="235">
        <f>KrakkaNew!B137</f>
        <v>775000</v>
      </c>
      <c r="G7" s="90" t="s">
        <v>70</v>
      </c>
      <c r="H7" s="235">
        <f>'U21'!B144</f>
        <v>500000</v>
      </c>
      <c r="J7" s="90" t="s">
        <v>70</v>
      </c>
      <c r="K7" s="57">
        <f>'Fullorðins'!D76</f>
        <v>819875</v>
      </c>
      <c r="M7" s="124" t="s">
        <v>70</v>
      </c>
      <c r="N7" s="57">
        <f>'Mánaðarkort'!K23</f>
        <v>825000</v>
      </c>
    </row>
    <row r="8">
      <c r="A8" s="214" t="s">
        <v>18</v>
      </c>
      <c r="B8" s="215">
        <f>SUM(B5:B7)</f>
        <v>1275000</v>
      </c>
      <c r="D8" s="214" t="s">
        <v>18</v>
      </c>
      <c r="E8" s="221">
        <f>SUM(E5:E7)</f>
        <v>1625000</v>
      </c>
      <c r="G8" s="214" t="s">
        <v>18</v>
      </c>
      <c r="H8" s="221">
        <f>SUM(H5:H7)</f>
        <v>1050000</v>
      </c>
      <c r="J8" s="214" t="s">
        <v>18</v>
      </c>
      <c r="K8" s="215">
        <f>SUM(K5:K7)</f>
        <v>1732000</v>
      </c>
      <c r="M8" s="81" t="s">
        <v>18</v>
      </c>
      <c r="N8" s="236">
        <f>SUM(N5:N7)</f>
        <v>2310000</v>
      </c>
    </row>
    <row r="10">
      <c r="A10" s="216" t="s">
        <v>21</v>
      </c>
      <c r="B10" s="217"/>
      <c r="D10" s="216" t="s">
        <v>21</v>
      </c>
      <c r="E10" s="217"/>
      <c r="G10" s="216" t="s">
        <v>21</v>
      </c>
      <c r="H10" s="217"/>
      <c r="J10" s="216" t="s">
        <v>21</v>
      </c>
      <c r="K10" s="217"/>
    </row>
    <row r="11">
      <c r="A11" s="90" t="s">
        <v>76</v>
      </c>
      <c r="B11" s="57">
        <f>KrakkaNew!B108</f>
        <v>175000</v>
      </c>
      <c r="D11" s="90" t="s">
        <v>76</v>
      </c>
      <c r="E11" s="220">
        <f>'U16'!B104</f>
        <v>350000</v>
      </c>
      <c r="G11" s="90" t="s">
        <v>76</v>
      </c>
      <c r="H11" s="220">
        <f>'U21'!B113</f>
        <v>111500</v>
      </c>
      <c r="J11" s="90" t="s">
        <v>76</v>
      </c>
      <c r="K11" s="57">
        <f>'Fullorðins'!E66</f>
        <v>240500</v>
      </c>
    </row>
    <row r="12">
      <c r="A12" s="90" t="s">
        <v>78</v>
      </c>
      <c r="B12" s="57">
        <f>KrakkaNew!B123</f>
        <v>75000</v>
      </c>
      <c r="D12" s="90" t="s">
        <v>78</v>
      </c>
      <c r="E12" s="57">
        <f>'U16'!B118</f>
        <v>125000</v>
      </c>
      <c r="G12" s="90" t="s">
        <v>78</v>
      </c>
      <c r="H12" s="57">
        <f>'U21'!B129</f>
        <v>82500</v>
      </c>
      <c r="J12" s="90" t="s">
        <v>78</v>
      </c>
      <c r="K12" s="57">
        <f>'Fullorðins'!E71</f>
        <v>247250</v>
      </c>
    </row>
    <row r="13">
      <c r="A13" s="90" t="s">
        <v>70</v>
      </c>
      <c r="B13" s="235">
        <f>KrakkaNew!B138</f>
        <v>387500</v>
      </c>
      <c r="D13" s="90" t="s">
        <v>70</v>
      </c>
      <c r="E13" s="235">
        <f>'U16'!B132</f>
        <v>425000</v>
      </c>
      <c r="G13" s="90" t="s">
        <v>70</v>
      </c>
      <c r="H13" s="235">
        <f>'U21'!B145</f>
        <v>209500</v>
      </c>
      <c r="J13" s="90" t="s">
        <v>70</v>
      </c>
      <c r="K13" s="57">
        <f>'Fullorðins'!E76</f>
        <v>436750</v>
      </c>
    </row>
    <row r="14">
      <c r="A14" s="214" t="s">
        <v>18</v>
      </c>
      <c r="B14" s="215">
        <f>SUM(B11:B13)</f>
        <v>637500</v>
      </c>
      <c r="D14" s="214" t="s">
        <v>18</v>
      </c>
      <c r="E14" s="221">
        <f>SUM(E11:E13)</f>
        <v>900000</v>
      </c>
      <c r="G14" s="214" t="s">
        <v>18</v>
      </c>
      <c r="H14" s="221">
        <f>SUM(H11:H13)</f>
        <v>403500</v>
      </c>
      <c r="J14" s="214" t="s">
        <v>18</v>
      </c>
      <c r="K14" s="215">
        <f>SUM(K11:K13)</f>
        <v>924500</v>
      </c>
    </row>
    <row r="16">
      <c r="A16" s="218" t="s">
        <v>66</v>
      </c>
      <c r="B16" s="219"/>
      <c r="D16" s="218" t="s">
        <v>66</v>
      </c>
      <c r="E16" s="219"/>
      <c r="G16" s="218" t="s">
        <v>66</v>
      </c>
      <c r="H16" s="219"/>
      <c r="J16" s="218" t="s">
        <v>66</v>
      </c>
      <c r="K16" s="219"/>
    </row>
    <row r="17">
      <c r="A17" s="90" t="s">
        <v>76</v>
      </c>
      <c r="B17" s="220">
        <f>KrakkaNew!B109</f>
        <v>280816.2</v>
      </c>
      <c r="D17" s="90" t="s">
        <v>76</v>
      </c>
      <c r="E17" s="220">
        <f>'U16'!B105</f>
        <v>213486</v>
      </c>
      <c r="G17" s="90" t="s">
        <v>76</v>
      </c>
      <c r="H17" s="220">
        <f>'U21'!B114</f>
        <v>284648</v>
      </c>
      <c r="J17" s="90" t="s">
        <v>76</v>
      </c>
      <c r="K17" s="57">
        <f>'Fullorðins'!F66</f>
        <v>0</v>
      </c>
    </row>
    <row r="18">
      <c r="A18" s="90" t="s">
        <v>78</v>
      </c>
      <c r="B18" s="220">
        <f>KrakkaNew!B124</f>
        <v>192717</v>
      </c>
      <c r="D18" s="90" t="s">
        <v>78</v>
      </c>
      <c r="E18" s="57">
        <f>'U16'!B119</f>
        <v>219765</v>
      </c>
      <c r="G18" s="90" t="s">
        <v>78</v>
      </c>
      <c r="H18" s="57">
        <f>'U21'!B130</f>
        <v>293020</v>
      </c>
      <c r="J18" s="90" t="s">
        <v>78</v>
      </c>
      <c r="K18" s="57">
        <f>'Fullorðins'!F71</f>
        <v>0</v>
      </c>
    </row>
    <row r="19">
      <c r="A19" s="90" t="s">
        <v>70</v>
      </c>
      <c r="B19" s="220">
        <f>KrakkaNew!B139</f>
        <v>359352</v>
      </c>
      <c r="D19" s="90" t="s">
        <v>70</v>
      </c>
      <c r="E19" s="235">
        <f>'U16'!B133</f>
        <v>194649</v>
      </c>
      <c r="G19" s="90" t="s">
        <v>70</v>
      </c>
      <c r="H19" s="235">
        <f>'U21'!B146</f>
        <v>259532</v>
      </c>
      <c r="J19" s="90" t="s">
        <v>70</v>
      </c>
      <c r="K19" s="57">
        <f>'Fullorðins'!F76</f>
        <v>0</v>
      </c>
    </row>
    <row r="20">
      <c r="A20" s="214" t="s">
        <v>18</v>
      </c>
      <c r="B20" s="221">
        <f>SUM(B17:B19)</f>
        <v>832885.2</v>
      </c>
      <c r="D20" s="214" t="s">
        <v>18</v>
      </c>
      <c r="E20" s="221">
        <f>SUM(E17:E19)</f>
        <v>627900</v>
      </c>
      <c r="G20" s="214" t="s">
        <v>18</v>
      </c>
      <c r="H20" s="221">
        <f>SUM(H17:H19)</f>
        <v>837200</v>
      </c>
      <c r="J20" s="214" t="s">
        <v>18</v>
      </c>
      <c r="K20" s="215">
        <f>SUM(K17:K19)</f>
        <v>0</v>
      </c>
    </row>
    <row r="22">
      <c r="A22" s="222" t="s">
        <v>112</v>
      </c>
      <c r="B22" s="223"/>
      <c r="D22" s="222" t="s">
        <v>112</v>
      </c>
      <c r="E22" s="223"/>
      <c r="G22" s="222" t="s">
        <v>112</v>
      </c>
      <c r="H22" s="223"/>
      <c r="J22" s="222" t="s">
        <v>112</v>
      </c>
      <c r="K22" s="223"/>
      <c r="M22" s="222" t="s">
        <v>113</v>
      </c>
      <c r="N22" s="223"/>
    </row>
    <row r="23">
      <c r="A23" s="90" t="s">
        <v>76</v>
      </c>
      <c r="B23" s="220">
        <f>KrakkaNew!B110</f>
        <v>-105816.2</v>
      </c>
      <c r="D23" s="90" t="s">
        <v>76</v>
      </c>
      <c r="E23" s="220">
        <f>'U16'!B106</f>
        <v>136514</v>
      </c>
      <c r="G23" s="90" t="s">
        <v>76</v>
      </c>
      <c r="H23" s="220">
        <f>'U21'!B115</f>
        <v>-146148</v>
      </c>
      <c r="J23" s="90" t="s">
        <v>76</v>
      </c>
      <c r="K23" s="57">
        <f>'Fullorðins'!G66</f>
        <v>211250</v>
      </c>
      <c r="M23" s="90" t="s">
        <v>114</v>
      </c>
      <c r="N23" s="233">
        <f t="shared" ref="N23:N25" si="1">B23+E23+H23+K23</f>
        <v>95799.8</v>
      </c>
    </row>
    <row r="24">
      <c r="A24" s="90" t="s">
        <v>78</v>
      </c>
      <c r="B24" s="220">
        <f>KrakkaNew!B125</f>
        <v>-117717</v>
      </c>
      <c r="D24" s="90" t="s">
        <v>78</v>
      </c>
      <c r="E24" s="57">
        <f>'U16'!B120</f>
        <v>-94765</v>
      </c>
      <c r="G24" s="90" t="s">
        <v>78</v>
      </c>
      <c r="H24" s="57">
        <f>'U21'!B131</f>
        <v>-75520</v>
      </c>
      <c r="J24" s="90" t="s">
        <v>78</v>
      </c>
      <c r="K24" s="57">
        <f>'Fullorðins'!G71</f>
        <v>213125</v>
      </c>
      <c r="M24" s="90" t="s">
        <v>115</v>
      </c>
      <c r="N24" s="233">
        <f t="shared" si="1"/>
        <v>-74877</v>
      </c>
    </row>
    <row r="25">
      <c r="A25" s="90" t="s">
        <v>70</v>
      </c>
      <c r="B25" s="220">
        <f>KrakkaNew!B140</f>
        <v>28148</v>
      </c>
      <c r="D25" s="90" t="s">
        <v>70</v>
      </c>
      <c r="E25" s="235">
        <f>'U16'!B134</f>
        <v>305351</v>
      </c>
      <c r="G25" s="90" t="s">
        <v>70</v>
      </c>
      <c r="H25" s="235">
        <f>'U21'!B147</f>
        <v>30968</v>
      </c>
      <c r="J25" s="90" t="s">
        <v>70</v>
      </c>
      <c r="K25" s="57">
        <f>'Fullorðins'!G76</f>
        <v>383125</v>
      </c>
      <c r="M25" s="124" t="s">
        <v>116</v>
      </c>
      <c r="N25" s="234">
        <f t="shared" si="1"/>
        <v>747592</v>
      </c>
    </row>
    <row r="26">
      <c r="A26" s="214" t="s">
        <v>18</v>
      </c>
      <c r="B26" s="221">
        <f>SUM(B23:B25)</f>
        <v>-195385.2</v>
      </c>
      <c r="D26" s="214" t="s">
        <v>18</v>
      </c>
      <c r="E26" s="221">
        <f>SUM(E23:E25)</f>
        <v>347100</v>
      </c>
      <c r="G26" s="214" t="s">
        <v>18</v>
      </c>
      <c r="H26" s="221">
        <f>SUM(H23:H25)</f>
        <v>-190700</v>
      </c>
      <c r="J26" s="214" t="s">
        <v>18</v>
      </c>
      <c r="K26" s="215">
        <f>SUM(K23:K25)</f>
        <v>807500</v>
      </c>
      <c r="M26" s="81" t="s">
        <v>18</v>
      </c>
      <c r="N26" s="237">
        <f>SUM(N23:N25)</f>
        <v>768514.8</v>
      </c>
    </row>
    <row r="29">
      <c r="B29" s="81" t="s">
        <v>18</v>
      </c>
      <c r="C29" s="81" t="s">
        <v>117</v>
      </c>
    </row>
    <row r="30">
      <c r="A30" s="226" t="s">
        <v>12</v>
      </c>
      <c r="B30" s="227">
        <f>B8+E8+H8+K8</f>
        <v>5682000</v>
      </c>
      <c r="C30" s="227">
        <f t="shared" ref="C30:C33" si="2">B30/12</f>
        <v>473500</v>
      </c>
      <c r="E30" s="228" t="s">
        <v>21</v>
      </c>
      <c r="F30" s="228" t="s">
        <v>18</v>
      </c>
      <c r="G30" s="228" t="s">
        <v>118</v>
      </c>
      <c r="I30" s="238" t="s">
        <v>119</v>
      </c>
      <c r="J30" s="131"/>
      <c r="K30" s="133" t="s">
        <v>104</v>
      </c>
      <c r="L30" s="133" t="s">
        <v>123</v>
      </c>
    </row>
    <row r="31">
      <c r="A31" s="228" t="s">
        <v>21</v>
      </c>
      <c r="B31" s="227">
        <f>B14+E14+H14+K14</f>
        <v>2865500</v>
      </c>
      <c r="C31" s="227">
        <f t="shared" si="2"/>
        <v>238791.6667</v>
      </c>
      <c r="E31" s="133" t="s">
        <v>76</v>
      </c>
      <c r="F31" s="232">
        <f t="shared" ref="F31:F33" si="3">B11+E11+H11+K11</f>
        <v>877000</v>
      </c>
      <c r="G31" s="232">
        <f t="shared" ref="G31:G33" si="4">F31/4</f>
        <v>219250</v>
      </c>
      <c r="I31" s="133" t="s">
        <v>25</v>
      </c>
      <c r="J31" s="231">
        <v>162000.0</v>
      </c>
      <c r="K31" s="242">
        <f>'Mánaðarkort'!K9</f>
        <v>195000</v>
      </c>
      <c r="L31" s="232">
        <f t="shared" ref="L31:L34" si="5">SUM(J31:K31)</f>
        <v>357000</v>
      </c>
    </row>
    <row r="32">
      <c r="A32" s="230" t="s">
        <v>66</v>
      </c>
      <c r="B32" s="227">
        <f>B20+E20+H20+K20</f>
        <v>2297985.2</v>
      </c>
      <c r="C32" s="227">
        <f t="shared" si="2"/>
        <v>191498.7667</v>
      </c>
      <c r="E32" s="133" t="s">
        <v>78</v>
      </c>
      <c r="F32" s="232">
        <f t="shared" si="3"/>
        <v>529750</v>
      </c>
      <c r="G32" s="232">
        <f t="shared" si="4"/>
        <v>132437.5</v>
      </c>
      <c r="I32" s="133" t="s">
        <v>26</v>
      </c>
      <c r="J32" s="231">
        <v>189750.0</v>
      </c>
      <c r="K32" s="242">
        <f>'Mánaðarkort'!K10</f>
        <v>195000</v>
      </c>
      <c r="L32" s="232">
        <f t="shared" si="5"/>
        <v>384750</v>
      </c>
    </row>
    <row r="33">
      <c r="A33" s="207" t="s">
        <v>22</v>
      </c>
      <c r="B33" s="227">
        <f>B26+E26+H26+K26</f>
        <v>768514.8</v>
      </c>
      <c r="C33" s="227">
        <f t="shared" si="2"/>
        <v>64042.9</v>
      </c>
      <c r="E33" s="133" t="s">
        <v>70</v>
      </c>
      <c r="F33" s="232">
        <f t="shared" si="3"/>
        <v>1458750</v>
      </c>
      <c r="G33" s="232">
        <f t="shared" si="4"/>
        <v>364687.5</v>
      </c>
      <c r="I33" s="133" t="s">
        <v>27</v>
      </c>
      <c r="J33" s="231">
        <v>204500.0</v>
      </c>
      <c r="K33" s="242">
        <f>'Mánaðarkort'!K11</f>
        <v>195000</v>
      </c>
      <c r="L33" s="232">
        <f t="shared" si="5"/>
        <v>399500</v>
      </c>
    </row>
    <row r="34">
      <c r="F34" s="235">
        <f>SUM(F31:F33)</f>
        <v>2865500</v>
      </c>
      <c r="I34" s="133" t="s">
        <v>28</v>
      </c>
      <c r="J34" s="231">
        <v>219250.0</v>
      </c>
      <c r="K34" s="242">
        <f>'Mánaðarkort'!K12</f>
        <v>187500</v>
      </c>
      <c r="L34" s="232">
        <f t="shared" si="5"/>
        <v>406750</v>
      </c>
    </row>
    <row r="35">
      <c r="C35" s="239"/>
      <c r="D35" s="239"/>
      <c r="F35" s="220">
        <f>F34/12</f>
        <v>238791.6667</v>
      </c>
      <c r="K35" s="239"/>
      <c r="L35" s="239"/>
      <c r="M35" s="239"/>
    </row>
    <row r="36">
      <c r="C36" s="239"/>
      <c r="D36" s="239"/>
      <c r="I36" s="240" t="s">
        <v>120</v>
      </c>
      <c r="J36" s="131"/>
      <c r="K36" s="133" t="s">
        <v>104</v>
      </c>
      <c r="L36" s="133" t="s">
        <v>108</v>
      </c>
      <c r="M36" s="133" t="s">
        <v>123</v>
      </c>
    </row>
    <row r="37">
      <c r="C37" s="235"/>
      <c r="D37" s="239"/>
      <c r="I37" s="133" t="s">
        <v>38</v>
      </c>
      <c r="J37" s="231">
        <v>158000.0</v>
      </c>
      <c r="K37" s="242">
        <f>'Mánaðarkort'!K14</f>
        <v>180000</v>
      </c>
      <c r="L37" s="133">
        <v>0.0</v>
      </c>
      <c r="M37" s="232">
        <f t="shared" ref="M37:M39" si="6">SUM(J37:K37)</f>
        <v>338000</v>
      </c>
    </row>
    <row r="38">
      <c r="C38" s="235"/>
      <c r="D38" s="239"/>
      <c r="I38" s="133" t="s">
        <v>39</v>
      </c>
      <c r="J38" s="231">
        <v>97563.0</v>
      </c>
      <c r="K38" s="242">
        <f>'Mánaðarkort'!K15</f>
        <v>172500</v>
      </c>
      <c r="L38" s="133">
        <v>0.0</v>
      </c>
      <c r="M38" s="232">
        <f t="shared" si="6"/>
        <v>270063</v>
      </c>
    </row>
    <row r="39">
      <c r="C39" s="235"/>
      <c r="D39" s="239"/>
      <c r="I39" s="133" t="s">
        <v>40</v>
      </c>
      <c r="J39" s="231">
        <v>115000.0</v>
      </c>
      <c r="K39" s="242">
        <f>'Mánaðarkort'!K16</f>
        <v>180000</v>
      </c>
      <c r="L39" s="133">
        <v>0.0</v>
      </c>
      <c r="M39" s="232">
        <f t="shared" si="6"/>
        <v>295000</v>
      </c>
    </row>
    <row r="40">
      <c r="C40" s="235"/>
      <c r="I40" s="133" t="s">
        <v>41</v>
      </c>
      <c r="J40" s="231">
        <v>133000.0</v>
      </c>
      <c r="K40" s="242">
        <f>'Mánaðarkort'!K17</f>
        <v>180000</v>
      </c>
      <c r="L40" s="134">
        <f>'Mánaðarkort'!C40</f>
        <v>30000</v>
      </c>
      <c r="M40" s="232">
        <f>SUM(J40:L40)</f>
        <v>343000</v>
      </c>
    </row>
    <row r="41">
      <c r="C41" s="233"/>
    </row>
    <row r="42">
      <c r="C42" s="233"/>
      <c r="I42" s="241" t="s">
        <v>121</v>
      </c>
      <c r="J42" s="131"/>
      <c r="K42" s="133" t="s">
        <v>104</v>
      </c>
      <c r="L42" s="133" t="s">
        <v>108</v>
      </c>
      <c r="M42" s="133" t="s">
        <v>123</v>
      </c>
    </row>
    <row r="43">
      <c r="C43" s="233"/>
      <c r="I43" s="133" t="s">
        <v>6</v>
      </c>
      <c r="J43" s="231">
        <v>240375.0</v>
      </c>
      <c r="K43" s="242">
        <f>'Mánaðarkort'!K19</f>
        <v>195000</v>
      </c>
      <c r="L43" s="134">
        <f>'Mánaðarkort'!C42</f>
        <v>180000</v>
      </c>
      <c r="M43" s="232">
        <f t="shared" ref="M43:M46" si="7">SUM(J43:L43)</f>
        <v>615375</v>
      </c>
    </row>
    <row r="44">
      <c r="I44" s="133" t="s">
        <v>7</v>
      </c>
      <c r="J44" s="231">
        <v>299125.0</v>
      </c>
      <c r="K44" s="242">
        <f>'Mánaðarkort'!K20</f>
        <v>210000</v>
      </c>
      <c r="L44" s="134">
        <f>'Mánaðarkort'!C43</f>
        <v>120000</v>
      </c>
      <c r="M44" s="232">
        <f t="shared" si="7"/>
        <v>629125</v>
      </c>
    </row>
    <row r="45">
      <c r="C45" s="235"/>
      <c r="I45" s="133" t="s">
        <v>8</v>
      </c>
      <c r="J45" s="231">
        <v>339875.0</v>
      </c>
      <c r="K45" s="242">
        <f>'Mánaðarkort'!K21</f>
        <v>210000</v>
      </c>
      <c r="L45" s="134">
        <f>'Mánaðarkort'!C44</f>
        <v>0</v>
      </c>
      <c r="M45" s="232">
        <f t="shared" si="7"/>
        <v>549875</v>
      </c>
    </row>
    <row r="46">
      <c r="I46" s="133" t="s">
        <v>9</v>
      </c>
      <c r="J46" s="231">
        <v>364688.0</v>
      </c>
      <c r="K46" s="242">
        <f>'Mánaðarkort'!K22</f>
        <v>210000</v>
      </c>
      <c r="L46" s="134">
        <f>'Mánaðarkort'!C45</f>
        <v>0</v>
      </c>
      <c r="M46" s="232">
        <f t="shared" si="7"/>
        <v>574688</v>
      </c>
    </row>
    <row r="47">
      <c r="J47" s="235"/>
    </row>
    <row r="48">
      <c r="J48" s="235"/>
    </row>
    <row r="49">
      <c r="J49" s="235"/>
    </row>
    <row r="50">
      <c r="J50" s="235"/>
    </row>
  </sheetData>
  <mergeCells count="9">
    <mergeCell ref="I36:J36"/>
    <mergeCell ref="I42:J42"/>
    <mergeCell ref="A1:C1"/>
    <mergeCell ref="A3:B3"/>
    <mergeCell ref="D3:E3"/>
    <mergeCell ref="G3:H3"/>
    <mergeCell ref="J3:K3"/>
    <mergeCell ref="M3:N3"/>
    <mergeCell ref="I30:J30"/>
  </mergeCells>
  <conditionalFormatting sqref="B23:B26 E23:E26 H23:H26 K26">
    <cfRule type="cellIs" dxfId="1" priority="1" operator="greaterThanOrEqual">
      <formula>0</formula>
    </cfRule>
  </conditionalFormatting>
  <conditionalFormatting sqref="B23:B26 E23:E26 H23:H26 K26">
    <cfRule type="cellIs" dxfId="0" priority="2" operator="lessThan">
      <formula>0</formula>
    </cfRule>
  </conditionalFormatting>
  <conditionalFormatting sqref="H23:H25">
    <cfRule type="cellIs" dxfId="0" priority="3" operator="lessThanOrEqual">
      <formula>0</formula>
    </cfRule>
  </conditionalFormatting>
  <conditionalFormatting sqref="H23:H25">
    <cfRule type="cellIs" dxfId="1" priority="4" operator="greaterThan">
      <formula>1</formula>
    </cfRule>
  </conditionalFormatting>
  <conditionalFormatting sqref="K23:K25">
    <cfRule type="cellIs" dxfId="1" priority="5" operator="greaterThanOrEqual">
      <formula>0</formula>
    </cfRule>
  </conditionalFormatting>
  <conditionalFormatting sqref="K23:K25">
    <cfRule type="cellIs" dxfId="0" priority="6" operator="lessThan">
      <formula>0</formula>
    </cfRule>
  </conditionalFormatting>
  <conditionalFormatting sqref="N23:N26">
    <cfRule type="cellIs" dxfId="1" priority="7" operator="greaterThanOrEqual">
      <formula>0</formula>
    </cfRule>
  </conditionalFormatting>
  <conditionalFormatting sqref="N23:N26">
    <cfRule type="cellIs" dxfId="6" priority="8" operator="between">
      <formula>-1</formula>
      <formula>-100000</formula>
    </cfRule>
  </conditionalFormatting>
  <conditionalFormatting sqref="N23:N26">
    <cfRule type="cellIs" dxfId="0" priority="9" operator="lessThan">
      <formula>-100001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12" max="12" width="15.29"/>
    <col customWidth="1" min="19" max="19" width="16.57"/>
    <col customWidth="1" min="20" max="20" width="10.29"/>
  </cols>
  <sheetData>
    <row r="1">
      <c r="A1" s="209">
        <v>2025.0</v>
      </c>
      <c r="D1" s="90" t="s">
        <v>127</v>
      </c>
    </row>
    <row r="3">
      <c r="A3" s="210" t="s">
        <v>75</v>
      </c>
      <c r="D3" s="210" t="s">
        <v>109</v>
      </c>
      <c r="G3" s="210" t="s">
        <v>83</v>
      </c>
      <c r="J3" s="210" t="s">
        <v>97</v>
      </c>
      <c r="M3" s="210" t="s">
        <v>104</v>
      </c>
    </row>
    <row r="4">
      <c r="A4" s="211" t="s">
        <v>12</v>
      </c>
      <c r="B4" s="6"/>
      <c r="D4" s="211" t="s">
        <v>12</v>
      </c>
      <c r="E4" s="6"/>
      <c r="G4" s="211" t="s">
        <v>12</v>
      </c>
      <c r="H4" s="6"/>
      <c r="J4" s="211" t="s">
        <v>12</v>
      </c>
      <c r="K4" s="6"/>
      <c r="M4" s="212" t="s">
        <v>21</v>
      </c>
      <c r="N4" s="87"/>
    </row>
    <row r="5">
      <c r="A5" s="90" t="s">
        <v>76</v>
      </c>
      <c r="B5" s="57">
        <f>KrakkaNew!B155</f>
        <v>350000</v>
      </c>
      <c r="D5" s="90" t="s">
        <v>76</v>
      </c>
      <c r="E5" s="220">
        <f>'U16'!B148</f>
        <v>675000</v>
      </c>
      <c r="G5" s="90" t="s">
        <v>76</v>
      </c>
      <c r="H5" s="220">
        <f>'U21'!B163</f>
        <v>450000</v>
      </c>
      <c r="J5" s="90" t="s">
        <v>76</v>
      </c>
      <c r="K5" s="57">
        <f>'Fullorðins'!D91</f>
        <v>683375</v>
      </c>
      <c r="M5" s="90" t="s">
        <v>76</v>
      </c>
      <c r="N5" s="57">
        <f>'Mánaðarkort'!P13</f>
        <v>1072500</v>
      </c>
    </row>
    <row r="6">
      <c r="A6" s="90" t="s">
        <v>78</v>
      </c>
      <c r="B6" s="57">
        <f>KrakkaNew!B170</f>
        <v>100000</v>
      </c>
      <c r="D6" s="90" t="s">
        <v>78</v>
      </c>
      <c r="E6" s="57">
        <f>'U16'!B162</f>
        <v>100000</v>
      </c>
      <c r="G6" s="90" t="s">
        <v>78</v>
      </c>
      <c r="H6" s="57">
        <f>'U21'!B179</f>
        <v>100000</v>
      </c>
      <c r="J6" s="90" t="s">
        <v>78</v>
      </c>
      <c r="K6" s="57">
        <f>'Fullorðins'!D96</f>
        <v>661250</v>
      </c>
      <c r="M6" s="90" t="s">
        <v>78</v>
      </c>
      <c r="N6" s="57">
        <f>'Mánaðarkort'!P18</f>
        <v>748000</v>
      </c>
    </row>
    <row r="7">
      <c r="A7" s="90" t="s">
        <v>70</v>
      </c>
      <c r="B7" s="235">
        <f>KrakkaNew!B185</f>
        <v>0</v>
      </c>
      <c r="D7" s="90" t="s">
        <v>70</v>
      </c>
      <c r="E7" s="235">
        <f>'U16'!B176</f>
        <v>0</v>
      </c>
      <c r="G7" s="90" t="s">
        <v>70</v>
      </c>
      <c r="H7" s="235">
        <f>'U21'!B195</f>
        <v>0</v>
      </c>
      <c r="J7" s="90" t="s">
        <v>70</v>
      </c>
      <c r="K7" s="57">
        <f>'Fullorðins'!D101</f>
        <v>0</v>
      </c>
      <c r="M7" s="124" t="s">
        <v>70</v>
      </c>
      <c r="N7" s="57">
        <f>'Mánaðarkort'!P23</f>
        <v>0</v>
      </c>
    </row>
    <row r="8">
      <c r="A8" s="214" t="s">
        <v>18</v>
      </c>
      <c r="B8" s="215">
        <f>SUM(B5:B7)</f>
        <v>450000</v>
      </c>
      <c r="D8" s="214" t="s">
        <v>18</v>
      </c>
      <c r="E8" s="221">
        <f>SUM(E5:E7)</f>
        <v>775000</v>
      </c>
      <c r="G8" s="214" t="s">
        <v>18</v>
      </c>
      <c r="H8" s="221">
        <f>SUM(H5:H7)</f>
        <v>550000</v>
      </c>
      <c r="J8" s="214" t="s">
        <v>18</v>
      </c>
      <c r="K8" s="215">
        <f>SUM(K5:K7)</f>
        <v>1344625</v>
      </c>
      <c r="M8" s="81" t="s">
        <v>18</v>
      </c>
      <c r="N8" s="236">
        <f>SUM(N5:N7)</f>
        <v>1820500</v>
      </c>
    </row>
    <row r="10">
      <c r="A10" s="216" t="s">
        <v>21</v>
      </c>
      <c r="B10" s="217"/>
      <c r="D10" s="216" t="s">
        <v>21</v>
      </c>
      <c r="E10" s="217"/>
      <c r="G10" s="216" t="s">
        <v>21</v>
      </c>
      <c r="H10" s="217"/>
      <c r="J10" s="216" t="s">
        <v>21</v>
      </c>
      <c r="K10" s="217"/>
    </row>
    <row r="11">
      <c r="A11" s="90" t="s">
        <v>76</v>
      </c>
      <c r="B11" s="57">
        <f>KrakkaNew!B156</f>
        <v>175000</v>
      </c>
      <c r="D11" s="90" t="s">
        <v>76</v>
      </c>
      <c r="E11" s="220">
        <f>'U16'!B149</f>
        <v>337500</v>
      </c>
      <c r="G11" s="90" t="s">
        <v>76</v>
      </c>
      <c r="H11" s="220">
        <f>'U21'!B164</f>
        <v>252000</v>
      </c>
      <c r="J11" s="90" t="s">
        <v>76</v>
      </c>
      <c r="K11" s="57">
        <f>'Fullorðins'!E91</f>
        <v>365250</v>
      </c>
    </row>
    <row r="12">
      <c r="A12" s="90" t="s">
        <v>78</v>
      </c>
      <c r="B12" s="57">
        <f>KrakkaNew!B171</f>
        <v>50000</v>
      </c>
      <c r="D12" s="90" t="s">
        <v>78</v>
      </c>
      <c r="E12" s="57">
        <f>'U16'!B163</f>
        <v>50000</v>
      </c>
      <c r="G12" s="90" t="s">
        <v>78</v>
      </c>
      <c r="H12" s="220">
        <f>'U21'!B180</f>
        <v>50000</v>
      </c>
      <c r="J12" s="90" t="s">
        <v>78</v>
      </c>
      <c r="K12" s="57">
        <f>'Fullorðins'!E96</f>
        <v>355000</v>
      </c>
    </row>
    <row r="13">
      <c r="A13" s="90" t="s">
        <v>70</v>
      </c>
      <c r="B13" s="235">
        <f>KrakkaNew!B186</f>
        <v>0</v>
      </c>
      <c r="D13" s="90" t="s">
        <v>70</v>
      </c>
      <c r="E13" s="235">
        <f>'U16'!B177</f>
        <v>0</v>
      </c>
      <c r="G13" s="90" t="s">
        <v>70</v>
      </c>
      <c r="H13" s="235">
        <f>'U21'!B196</f>
        <v>0</v>
      </c>
      <c r="J13" s="90" t="s">
        <v>70</v>
      </c>
      <c r="K13" s="57">
        <f>'Fullorðins'!E101</f>
        <v>0</v>
      </c>
    </row>
    <row r="14">
      <c r="A14" s="214" t="s">
        <v>18</v>
      </c>
      <c r="B14" s="215">
        <f>SUM(B11:B13)</f>
        <v>225000</v>
      </c>
      <c r="D14" s="214" t="s">
        <v>18</v>
      </c>
      <c r="E14" s="221">
        <f>SUM(E11:E13)</f>
        <v>387500</v>
      </c>
      <c r="G14" s="214" t="s">
        <v>18</v>
      </c>
      <c r="H14" s="221">
        <f>SUM(H11:H13)</f>
        <v>302000</v>
      </c>
      <c r="J14" s="214" t="s">
        <v>18</v>
      </c>
      <c r="K14" s="215">
        <f>SUM(K11:K13)</f>
        <v>720250</v>
      </c>
    </row>
    <row r="16">
      <c r="A16" s="218" t="s">
        <v>66</v>
      </c>
      <c r="B16" s="219"/>
      <c r="D16" s="218" t="s">
        <v>66</v>
      </c>
      <c r="E16" s="219"/>
      <c r="G16" s="218" t="s">
        <v>66</v>
      </c>
      <c r="H16" s="219"/>
      <c r="J16" s="218" t="s">
        <v>66</v>
      </c>
      <c r="K16" s="219"/>
    </row>
    <row r="17">
      <c r="A17" s="90" t="s">
        <v>76</v>
      </c>
      <c r="B17" s="220">
        <f>KrakkaNew!B157</f>
        <v>244398</v>
      </c>
      <c r="D17" s="90" t="s">
        <v>76</v>
      </c>
      <c r="E17" s="220">
        <f>'U16'!B150</f>
        <v>207207</v>
      </c>
      <c r="G17" s="90" t="s">
        <v>76</v>
      </c>
      <c r="H17" s="220">
        <f>'U21'!B165</f>
        <v>276276</v>
      </c>
      <c r="J17" s="90" t="s">
        <v>76</v>
      </c>
      <c r="K17" s="57">
        <f>'Fullorðins'!F91</f>
        <v>0</v>
      </c>
    </row>
    <row r="18">
      <c r="A18" s="90" t="s">
        <v>78</v>
      </c>
      <c r="B18" s="220">
        <f>KrakkaNew!B172</f>
        <v>192717</v>
      </c>
      <c r="D18" s="90" t="s">
        <v>78</v>
      </c>
      <c r="E18" s="57">
        <f>'U16'!B164</f>
        <v>219765</v>
      </c>
      <c r="G18" s="90" t="s">
        <v>78</v>
      </c>
      <c r="H18" s="57">
        <f>'U21'!B181</f>
        <v>293020</v>
      </c>
      <c r="J18" s="90" t="s">
        <v>78</v>
      </c>
      <c r="K18" s="57">
        <f>'Fullorðins'!F96</f>
        <v>0</v>
      </c>
    </row>
    <row r="19">
      <c r="A19" s="90" t="s">
        <v>70</v>
      </c>
      <c r="B19" s="220">
        <f>KrakkaNew!B187</f>
        <v>0</v>
      </c>
      <c r="D19" s="90" t="s">
        <v>70</v>
      </c>
      <c r="E19" s="235">
        <f>'U16'!B178</f>
        <v>0</v>
      </c>
      <c r="G19" s="90" t="s">
        <v>70</v>
      </c>
      <c r="H19" s="235">
        <f>'U21'!B197</f>
        <v>0</v>
      </c>
      <c r="J19" s="90" t="s">
        <v>70</v>
      </c>
      <c r="K19" s="57">
        <f>'Fullorðins'!F101</f>
        <v>0</v>
      </c>
    </row>
    <row r="20">
      <c r="A20" s="214" t="s">
        <v>18</v>
      </c>
      <c r="B20" s="221">
        <f>SUM(B17:B19)</f>
        <v>437115</v>
      </c>
      <c r="D20" s="214" t="s">
        <v>18</v>
      </c>
      <c r="E20" s="221">
        <f>SUM(E17:E19)</f>
        <v>426972</v>
      </c>
      <c r="G20" s="214" t="s">
        <v>18</v>
      </c>
      <c r="H20" s="221">
        <f>SUM(H17:H19)</f>
        <v>569296</v>
      </c>
      <c r="J20" s="214" t="s">
        <v>18</v>
      </c>
      <c r="K20" s="215">
        <f>SUM(K17:K19)</f>
        <v>0</v>
      </c>
    </row>
    <row r="22">
      <c r="A22" s="222" t="s">
        <v>112</v>
      </c>
      <c r="B22" s="223"/>
      <c r="D22" s="222" t="s">
        <v>112</v>
      </c>
      <c r="E22" s="223"/>
      <c r="G22" s="222" t="s">
        <v>112</v>
      </c>
      <c r="H22" s="223"/>
      <c r="J22" s="222" t="s">
        <v>112</v>
      </c>
      <c r="K22" s="223"/>
      <c r="M22" s="222" t="s">
        <v>113</v>
      </c>
      <c r="N22" s="223"/>
    </row>
    <row r="23">
      <c r="A23" s="90" t="s">
        <v>76</v>
      </c>
      <c r="B23" s="220">
        <f>KrakkaNew!B158</f>
        <v>-69398</v>
      </c>
      <c r="D23" s="90" t="s">
        <v>76</v>
      </c>
      <c r="E23" s="220">
        <f>'U16'!B151</f>
        <v>130293</v>
      </c>
      <c r="G23" s="90" t="s">
        <v>76</v>
      </c>
      <c r="H23" s="220">
        <f>'U21'!B166</f>
        <v>-78276</v>
      </c>
      <c r="J23" s="90" t="s">
        <v>76</v>
      </c>
      <c r="K23" s="57">
        <f>'Fullorðins'!G91</f>
        <v>318125</v>
      </c>
      <c r="M23" s="90" t="s">
        <v>114</v>
      </c>
      <c r="N23" s="233">
        <f t="shared" ref="N23:N25" si="1">B23+E23+H23+K23</f>
        <v>300744</v>
      </c>
    </row>
    <row r="24">
      <c r="A24" s="90" t="s">
        <v>78</v>
      </c>
      <c r="B24" s="220">
        <f>KrakkaNew!B173</f>
        <v>-142717</v>
      </c>
      <c r="D24" s="90" t="s">
        <v>78</v>
      </c>
      <c r="E24" s="57">
        <f>'U16'!B165</f>
        <v>-169765</v>
      </c>
      <c r="G24" s="90" t="s">
        <v>78</v>
      </c>
      <c r="H24" s="220">
        <f>'U21'!B182</f>
        <v>-243020</v>
      </c>
      <c r="J24" s="90" t="s">
        <v>78</v>
      </c>
      <c r="K24" s="57">
        <f>'Fullorðins'!G96</f>
        <v>306250</v>
      </c>
      <c r="M24" s="90" t="s">
        <v>115</v>
      </c>
      <c r="N24" s="233">
        <f t="shared" si="1"/>
        <v>-249252</v>
      </c>
    </row>
    <row r="25">
      <c r="A25" s="90" t="s">
        <v>70</v>
      </c>
      <c r="B25" s="220">
        <f>KrakkaNew!B188</f>
        <v>0</v>
      </c>
      <c r="D25" s="90" t="s">
        <v>70</v>
      </c>
      <c r="E25" s="235">
        <f>'U16'!B179</f>
        <v>0</v>
      </c>
      <c r="G25" s="90" t="s">
        <v>70</v>
      </c>
      <c r="H25" s="235">
        <f>'U21'!B198</f>
        <v>0</v>
      </c>
      <c r="J25" s="90" t="s">
        <v>70</v>
      </c>
      <c r="K25" s="57">
        <f>'Fullorðins'!G101</f>
        <v>0</v>
      </c>
      <c r="M25" s="124" t="s">
        <v>116</v>
      </c>
      <c r="N25" s="234">
        <f t="shared" si="1"/>
        <v>0</v>
      </c>
    </row>
    <row r="26">
      <c r="A26" s="214" t="s">
        <v>18</v>
      </c>
      <c r="B26" s="221">
        <f>SUM(B23:B25)</f>
        <v>-212115</v>
      </c>
      <c r="D26" s="214" t="s">
        <v>18</v>
      </c>
      <c r="E26" s="221">
        <f>SUM(E23:E25)</f>
        <v>-39472</v>
      </c>
      <c r="G26" s="214" t="s">
        <v>18</v>
      </c>
      <c r="H26" s="221">
        <f>SUM(H23:H25)</f>
        <v>-321296</v>
      </c>
      <c r="J26" s="214" t="s">
        <v>18</v>
      </c>
      <c r="K26" s="215">
        <f>SUM(K23:K25)</f>
        <v>624375</v>
      </c>
      <c r="M26" s="81" t="s">
        <v>18</v>
      </c>
      <c r="N26" s="237">
        <f>SUM(N23:N25)</f>
        <v>51492</v>
      </c>
    </row>
    <row r="29">
      <c r="B29" s="81" t="s">
        <v>18</v>
      </c>
      <c r="C29" s="81" t="s">
        <v>117</v>
      </c>
    </row>
    <row r="30">
      <c r="A30" s="226" t="s">
        <v>12</v>
      </c>
      <c r="B30" s="227">
        <f>B8+E8+H8+K8</f>
        <v>3119625</v>
      </c>
      <c r="C30" s="227">
        <f t="shared" ref="C30:C33" si="2">B30/12</f>
        <v>259968.75</v>
      </c>
      <c r="E30" s="228" t="s">
        <v>21</v>
      </c>
      <c r="F30" s="228" t="s">
        <v>18</v>
      </c>
      <c r="G30" s="228" t="s">
        <v>118</v>
      </c>
      <c r="I30" s="238" t="s">
        <v>119</v>
      </c>
      <c r="J30" s="131"/>
      <c r="K30" s="133" t="s">
        <v>104</v>
      </c>
      <c r="L30" s="133" t="s">
        <v>97</v>
      </c>
      <c r="M30" s="133" t="s">
        <v>66</v>
      </c>
      <c r="N30" s="133" t="s">
        <v>123</v>
      </c>
    </row>
    <row r="31">
      <c r="A31" s="228" t="s">
        <v>21</v>
      </c>
      <c r="B31" s="227">
        <f>B14+E14+H14+K14</f>
        <v>1634750</v>
      </c>
      <c r="C31" s="227">
        <f t="shared" si="2"/>
        <v>136229.1667</v>
      </c>
      <c r="E31" s="133" t="s">
        <v>76</v>
      </c>
      <c r="F31" s="232">
        <f t="shared" ref="F31:F32" si="3">B11+E11+H11</f>
        <v>764500</v>
      </c>
      <c r="G31" s="232">
        <f t="shared" ref="G31:G33" si="4">F31/4</f>
        <v>191125</v>
      </c>
      <c r="I31" s="133" t="s">
        <v>25</v>
      </c>
      <c r="J31" s="231">
        <v>145125.0</v>
      </c>
      <c r="K31" s="242">
        <f>'Mánaðarkort'!P9</f>
        <v>262500</v>
      </c>
      <c r="L31" s="134">
        <f>'Fullorðins'!E87</f>
        <v>90750</v>
      </c>
      <c r="M31" s="242">
        <v>0.0</v>
      </c>
      <c r="N31" s="232">
        <f>SUM(J31:M31)</f>
        <v>498375</v>
      </c>
    </row>
    <row r="32">
      <c r="A32" s="230" t="s">
        <v>66</v>
      </c>
      <c r="B32" s="227">
        <f>B20+E20+H20+K20</f>
        <v>1433383</v>
      </c>
      <c r="C32" s="227">
        <f t="shared" si="2"/>
        <v>119448.5833</v>
      </c>
      <c r="E32" s="133" t="s">
        <v>78</v>
      </c>
      <c r="F32" s="232">
        <f t="shared" si="3"/>
        <v>150000</v>
      </c>
      <c r="G32" s="232">
        <f t="shared" si="4"/>
        <v>37500</v>
      </c>
      <c r="I32" s="133" t="s">
        <v>26</v>
      </c>
      <c r="J32" s="231">
        <v>184875.0</v>
      </c>
      <c r="K32" s="242">
        <f>'Mánaðarkort'!P10</f>
        <v>270000</v>
      </c>
      <c r="L32" s="134">
        <f>'Fullorðins'!E88</f>
        <v>90750</v>
      </c>
      <c r="M32" s="242">
        <v>0.0</v>
      </c>
      <c r="N32" s="232">
        <f>SUM(J32:L32)</f>
        <v>545625</v>
      </c>
    </row>
    <row r="33">
      <c r="A33" s="207" t="s">
        <v>22</v>
      </c>
      <c r="B33" s="227">
        <f>B26+E26+H26+K26</f>
        <v>51492</v>
      </c>
      <c r="C33" s="227">
        <f t="shared" si="2"/>
        <v>4291</v>
      </c>
      <c r="E33" s="133" t="s">
        <v>70</v>
      </c>
      <c r="F33" s="232">
        <f>B13+E13+H13+K13</f>
        <v>0</v>
      </c>
      <c r="G33" s="232">
        <f t="shared" si="4"/>
        <v>0</v>
      </c>
      <c r="I33" s="133" t="s">
        <v>27</v>
      </c>
      <c r="J33" s="231">
        <v>191125.0</v>
      </c>
      <c r="K33" s="242">
        <f>'Mánaðarkort'!P11</f>
        <v>270000</v>
      </c>
      <c r="L33" s="134">
        <f>'Fullorðins'!E89</f>
        <v>90750</v>
      </c>
      <c r="M33" s="242">
        <v>235000.0</v>
      </c>
      <c r="N33" s="232">
        <f t="shared" ref="N33:N34" si="5">SUM(J33:M33)</f>
        <v>786875</v>
      </c>
    </row>
    <row r="34">
      <c r="I34" s="133" t="s">
        <v>28</v>
      </c>
      <c r="J34" s="231">
        <v>191125.0</v>
      </c>
      <c r="K34" s="242">
        <f>'Mánaðarkort'!P12</f>
        <v>270000</v>
      </c>
      <c r="L34" s="134">
        <f>'Fullorðins'!E90</f>
        <v>93000</v>
      </c>
      <c r="M34" s="242">
        <v>235000.0</v>
      </c>
      <c r="N34" s="232">
        <f t="shared" si="5"/>
        <v>789125</v>
      </c>
    </row>
    <row r="35">
      <c r="C35" s="239"/>
      <c r="D35" s="239"/>
      <c r="K35" s="239"/>
      <c r="M35" s="239"/>
      <c r="N35" s="239"/>
    </row>
    <row r="36">
      <c r="C36" s="239"/>
      <c r="D36" s="239"/>
      <c r="I36" s="240" t="s">
        <v>120</v>
      </c>
      <c r="J36" s="131"/>
      <c r="K36" s="133" t="s">
        <v>104</v>
      </c>
      <c r="L36" s="133" t="s">
        <v>97</v>
      </c>
      <c r="M36" s="133" t="s">
        <v>66</v>
      </c>
      <c r="N36" s="133" t="s">
        <v>123</v>
      </c>
    </row>
    <row r="37">
      <c r="C37" s="235"/>
      <c r="D37" s="239"/>
      <c r="I37" s="133" t="s">
        <v>38</v>
      </c>
      <c r="J37" s="231">
        <v>0.0</v>
      </c>
      <c r="K37" s="242">
        <f>'Mánaðarkort'!P14</f>
        <v>246500</v>
      </c>
      <c r="L37" s="134">
        <f>'Fullorðins'!E92</f>
        <v>124750</v>
      </c>
      <c r="M37" s="243">
        <v>235000.0</v>
      </c>
      <c r="N37" s="232">
        <f t="shared" ref="N37:N40" si="6">SUM(K37:M37)</f>
        <v>606250</v>
      </c>
    </row>
    <row r="38">
      <c r="C38" s="235"/>
      <c r="D38" s="239"/>
      <c r="I38" s="133" t="s">
        <v>39</v>
      </c>
      <c r="J38" s="231">
        <v>0.0</v>
      </c>
      <c r="K38" s="242">
        <f>'Mánaðarkort'!P15</f>
        <v>255000</v>
      </c>
      <c r="L38" s="134">
        <f>'Fullorðins'!E93</f>
        <v>107750</v>
      </c>
      <c r="M38" s="243">
        <v>0.0</v>
      </c>
      <c r="N38" s="232">
        <f t="shared" si="6"/>
        <v>362750</v>
      </c>
    </row>
    <row r="39">
      <c r="C39" s="235"/>
      <c r="D39" s="239"/>
      <c r="I39" s="133" t="s">
        <v>40</v>
      </c>
      <c r="J39" s="231">
        <v>0.0</v>
      </c>
      <c r="K39" s="242">
        <f>'Mánaðarkort'!P16</f>
        <v>246500</v>
      </c>
      <c r="L39" s="134">
        <f>'Fullorðins'!E94</f>
        <v>122500</v>
      </c>
      <c r="M39" s="243">
        <v>0.0</v>
      </c>
      <c r="N39" s="232">
        <f t="shared" si="6"/>
        <v>369000</v>
      </c>
    </row>
    <row r="40">
      <c r="C40" s="235"/>
      <c r="I40" s="133" t="s">
        <v>41</v>
      </c>
      <c r="J40" s="231">
        <v>0.0</v>
      </c>
      <c r="K40" s="242">
        <f>'Mánaðarkort'!P17</f>
        <v>0</v>
      </c>
      <c r="L40" s="134">
        <f>'Fullorðins'!E95</f>
        <v>0</v>
      </c>
      <c r="M40" s="243">
        <v>0.0</v>
      </c>
      <c r="N40" s="232">
        <f t="shared" si="6"/>
        <v>0</v>
      </c>
    </row>
    <row r="41">
      <c r="C41" s="233"/>
    </row>
    <row r="42">
      <c r="C42" s="233"/>
      <c r="I42" s="241" t="s">
        <v>121</v>
      </c>
      <c r="J42" s="131"/>
      <c r="K42" s="133" t="s">
        <v>104</v>
      </c>
      <c r="L42" s="133" t="s">
        <v>97</v>
      </c>
      <c r="M42" s="133" t="s">
        <v>66</v>
      </c>
      <c r="N42" s="133" t="s">
        <v>123</v>
      </c>
    </row>
    <row r="43">
      <c r="C43" s="233"/>
      <c r="I43" s="133" t="s">
        <v>6</v>
      </c>
      <c r="J43" s="231">
        <v>0.0</v>
      </c>
      <c r="K43" s="242">
        <f>'Mánaðarkort'!P19</f>
        <v>0</v>
      </c>
      <c r="L43" s="134"/>
      <c r="M43" s="243">
        <v>0.0</v>
      </c>
      <c r="N43" s="232">
        <f t="shared" ref="N43:N46" si="7">SUM(J43:M43)</f>
        <v>0</v>
      </c>
    </row>
    <row r="44">
      <c r="I44" s="133" t="s">
        <v>7</v>
      </c>
      <c r="J44" s="231">
        <v>0.0</v>
      </c>
      <c r="K44" s="242">
        <f>'Mánaðarkort'!P20</f>
        <v>0</v>
      </c>
      <c r="L44" s="134"/>
      <c r="M44" s="243">
        <v>0.0</v>
      </c>
      <c r="N44" s="232">
        <f t="shared" si="7"/>
        <v>0</v>
      </c>
    </row>
    <row r="45">
      <c r="C45" s="235"/>
      <c r="I45" s="133" t="s">
        <v>8</v>
      </c>
      <c r="J45" s="231">
        <v>0.0</v>
      </c>
      <c r="K45" s="242">
        <f>'Mánaðarkort'!P21</f>
        <v>0</v>
      </c>
      <c r="L45" s="134"/>
      <c r="M45" s="166">
        <f>'Mánaðarkort'!C44</f>
        <v>0</v>
      </c>
      <c r="N45" s="232">
        <f t="shared" si="7"/>
        <v>0</v>
      </c>
    </row>
    <row r="46">
      <c r="I46" s="133" t="s">
        <v>9</v>
      </c>
      <c r="J46" s="231">
        <v>0.0</v>
      </c>
      <c r="K46" s="242">
        <f>'Mánaðarkort'!P22</f>
        <v>0</v>
      </c>
      <c r="L46" s="134"/>
      <c r="M46" s="166">
        <f>'Mánaðarkort'!C45</f>
        <v>0</v>
      </c>
      <c r="N46" s="232">
        <f t="shared" si="7"/>
        <v>0</v>
      </c>
    </row>
    <row r="47">
      <c r="J47" s="235"/>
    </row>
    <row r="48">
      <c r="J48" s="235"/>
    </row>
    <row r="49">
      <c r="J49" s="235"/>
    </row>
    <row r="50">
      <c r="J50" s="235"/>
    </row>
  </sheetData>
  <mergeCells count="9">
    <mergeCell ref="I36:J36"/>
    <mergeCell ref="I42:J42"/>
    <mergeCell ref="A1:C1"/>
    <mergeCell ref="A3:B3"/>
    <mergeCell ref="D3:E3"/>
    <mergeCell ref="G3:H3"/>
    <mergeCell ref="J3:K3"/>
    <mergeCell ref="M3:N3"/>
    <mergeCell ref="I30:J30"/>
  </mergeCells>
  <conditionalFormatting sqref="B23:B26 E23:E26 H23:H26 K26">
    <cfRule type="cellIs" dxfId="1" priority="1" operator="greaterThanOrEqual">
      <formula>0</formula>
    </cfRule>
  </conditionalFormatting>
  <conditionalFormatting sqref="B23:B26 E23:E26 H23:H26 K26">
    <cfRule type="cellIs" dxfId="0" priority="2" operator="lessThan">
      <formula>0</formula>
    </cfRule>
  </conditionalFormatting>
  <conditionalFormatting sqref="H23:H25">
    <cfRule type="cellIs" dxfId="0" priority="3" operator="lessThanOrEqual">
      <formula>0</formula>
    </cfRule>
  </conditionalFormatting>
  <conditionalFormatting sqref="H23:H25">
    <cfRule type="cellIs" dxfId="1" priority="4" operator="greaterThan">
      <formula>1</formula>
    </cfRule>
  </conditionalFormatting>
  <conditionalFormatting sqref="K23:K25">
    <cfRule type="cellIs" dxfId="1" priority="5" operator="greaterThanOrEqual">
      <formula>0</formula>
    </cfRule>
  </conditionalFormatting>
  <conditionalFormatting sqref="K23:K25">
    <cfRule type="cellIs" dxfId="0" priority="6" operator="lessThan">
      <formula>0</formula>
    </cfRule>
  </conditionalFormatting>
  <conditionalFormatting sqref="N23:N26">
    <cfRule type="cellIs" dxfId="1" priority="7" operator="greaterThanOrEqual">
      <formula>0</formula>
    </cfRule>
  </conditionalFormatting>
  <conditionalFormatting sqref="N23:N26">
    <cfRule type="cellIs" dxfId="6" priority="8" operator="between">
      <formula>-1</formula>
      <formula>-100000</formula>
    </cfRule>
  </conditionalFormatting>
  <conditionalFormatting sqref="N23:N26">
    <cfRule type="cellIs" dxfId="0" priority="9" operator="lessThan">
      <formula>-100001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0" t="s">
        <v>128</v>
      </c>
    </row>
    <row r="3">
      <c r="A3" s="244">
        <v>2022.0</v>
      </c>
      <c r="B3" s="5"/>
      <c r="C3" s="5"/>
      <c r="D3" s="5"/>
      <c r="F3" s="244">
        <v>2023.0</v>
      </c>
      <c r="G3" s="5"/>
      <c r="H3" s="5"/>
      <c r="I3" s="5"/>
    </row>
    <row r="4">
      <c r="A4" s="245" t="s">
        <v>129</v>
      </c>
      <c r="B4" s="124" t="s">
        <v>76</v>
      </c>
      <c r="C4" s="246" t="s">
        <v>78</v>
      </c>
      <c r="D4" s="124" t="s">
        <v>70</v>
      </c>
      <c r="F4" s="245" t="s">
        <v>129</v>
      </c>
      <c r="G4" s="124" t="s">
        <v>76</v>
      </c>
      <c r="H4" s="246" t="s">
        <v>78</v>
      </c>
      <c r="I4" s="124" t="s">
        <v>70</v>
      </c>
    </row>
    <row r="5">
      <c r="A5" s="123" t="s">
        <v>75</v>
      </c>
      <c r="B5" s="84">
        <f>KrakkaNew!B12</f>
        <v>8</v>
      </c>
      <c r="C5" s="52">
        <f>KrakkaNew!B24</f>
        <v>6</v>
      </c>
      <c r="D5" s="52">
        <f>KrakkaNew!B40</f>
        <v>12</v>
      </c>
      <c r="E5" s="220"/>
      <c r="F5" s="123" t="s">
        <v>75</v>
      </c>
      <c r="G5" s="84">
        <f>KrakkaNew!B58</f>
        <v>9</v>
      </c>
      <c r="H5" s="52">
        <f>KrakkaNew!B73</f>
        <v>3</v>
      </c>
      <c r="I5" s="52">
        <f>KrakkaNew!B88</f>
        <v>18</v>
      </c>
    </row>
    <row r="6">
      <c r="A6" s="123" t="s">
        <v>81</v>
      </c>
      <c r="B6" s="57">
        <f>'U16'!B12</f>
        <v>12</v>
      </c>
      <c r="C6" s="247">
        <f>'U16'!B24</f>
        <v>0</v>
      </c>
      <c r="D6" s="52">
        <f>'U16'!B40</f>
        <v>20</v>
      </c>
      <c r="E6" s="220"/>
      <c r="F6" s="123" t="s">
        <v>81</v>
      </c>
      <c r="G6" s="57">
        <f>'U16'!B56</f>
        <v>13</v>
      </c>
      <c r="H6" s="52">
        <f>'U16'!B70</f>
        <v>3</v>
      </c>
      <c r="I6" s="52">
        <f>'U16'!B84</f>
        <v>16</v>
      </c>
    </row>
    <row r="7">
      <c r="A7" s="123" t="s">
        <v>110</v>
      </c>
      <c r="B7" s="57">
        <f>'U16 Afreks'!B12</f>
        <v>9</v>
      </c>
      <c r="C7" s="52">
        <f>'U16 Afreks'!B24</f>
        <v>2</v>
      </c>
      <c r="D7" s="247">
        <f>'U16 Afreks'!B38</f>
        <v>0</v>
      </c>
      <c r="E7" s="220"/>
      <c r="F7" s="123" t="s">
        <v>94</v>
      </c>
      <c r="G7" s="57">
        <f>'U21'!B60</f>
        <v>15</v>
      </c>
      <c r="H7" s="52">
        <f>'U21'!B76</f>
        <v>6</v>
      </c>
      <c r="I7" s="52">
        <f>'U21'!B92</f>
        <v>5</v>
      </c>
    </row>
    <row r="8">
      <c r="A8" s="123" t="s">
        <v>94</v>
      </c>
      <c r="B8" s="57">
        <f>'U21'!B12</f>
        <v>6</v>
      </c>
      <c r="C8" s="52">
        <f>'U21'!B24</f>
        <v>4</v>
      </c>
      <c r="D8" s="52">
        <f>'U21'!B42</f>
        <v>5</v>
      </c>
      <c r="E8" s="220"/>
      <c r="F8" s="123" t="s">
        <v>97</v>
      </c>
      <c r="G8" s="220">
        <f>AVERAGE('Fullorðins'!C37:C40)+AVERAGE('Fullorðins'!B37:B40)</f>
        <v>10.5</v>
      </c>
      <c r="H8" s="248">
        <f>AVERAGE('Fullorðins'!C42:C45)+AVERAGE('Fullorðins'!B42:B45)</f>
        <v>10.25</v>
      </c>
      <c r="I8" s="248">
        <f>AVERAGE('Fullorðins'!B47:B50)+AVERAGE('Fullorðins'!C47:C50)</f>
        <v>10</v>
      </c>
    </row>
    <row r="9">
      <c r="A9" s="123" t="s">
        <v>111</v>
      </c>
      <c r="B9" s="57">
        <f>'U21 Afreks'!B13</f>
        <v>9</v>
      </c>
      <c r="C9" s="249">
        <v>0.0</v>
      </c>
      <c r="D9" s="249">
        <v>0.0</v>
      </c>
      <c r="E9" s="220"/>
      <c r="F9" s="250" t="s">
        <v>18</v>
      </c>
      <c r="G9" s="221">
        <f t="shared" ref="G9:I9" si="1">SUM(G5:G8)</f>
        <v>47.5</v>
      </c>
      <c r="H9" s="251">
        <f t="shared" si="1"/>
        <v>22.25</v>
      </c>
      <c r="I9" s="215">
        <f t="shared" si="1"/>
        <v>49</v>
      </c>
      <c r="J9" s="220">
        <f>SUM(G9:I9)</f>
        <v>118.75</v>
      </c>
    </row>
    <row r="10">
      <c r="A10" s="123" t="s">
        <v>97</v>
      </c>
      <c r="B10" s="57">
        <f>'Fullorðins'!C16</f>
        <v>3</v>
      </c>
      <c r="C10" s="252">
        <v>3.0</v>
      </c>
      <c r="D10" s="252">
        <v>8.0</v>
      </c>
      <c r="E10" s="220"/>
    </row>
    <row r="11">
      <c r="A11" s="250" t="s">
        <v>18</v>
      </c>
      <c r="B11" s="215">
        <f t="shared" ref="B11:D11" si="2">SUM(B5:B10)</f>
        <v>47</v>
      </c>
      <c r="C11" s="253">
        <f t="shared" si="2"/>
        <v>15</v>
      </c>
      <c r="D11" s="215">
        <f t="shared" si="2"/>
        <v>45</v>
      </c>
      <c r="E11" s="220">
        <f>SUM(B11:D11)</f>
        <v>107</v>
      </c>
    </row>
    <row r="13">
      <c r="A13" s="90"/>
      <c r="B13" s="90"/>
      <c r="C13" s="90"/>
      <c r="D13" s="90"/>
    </row>
    <row r="14">
      <c r="A14" s="90"/>
      <c r="B14" s="254"/>
    </row>
    <row r="15">
      <c r="A15" s="90"/>
    </row>
    <row r="16">
      <c r="A16" s="90"/>
      <c r="B16" s="90"/>
    </row>
    <row r="17">
      <c r="A17" s="90"/>
    </row>
    <row r="18">
      <c r="A18" s="81"/>
      <c r="B18" s="225"/>
    </row>
  </sheetData>
  <mergeCells count="3">
    <mergeCell ref="A1:C1"/>
    <mergeCell ref="A3:D3"/>
    <mergeCell ref="F3:I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8.71"/>
    <col customWidth="1" min="3" max="3" width="14.43"/>
    <col customWidth="1" min="4" max="4" width="14.0"/>
    <col customWidth="1" min="5" max="5" width="14.29"/>
    <col customWidth="1" min="6" max="6" width="14.0"/>
    <col customWidth="1" min="7" max="7" width="14.43"/>
  </cols>
  <sheetData>
    <row r="1">
      <c r="A1" s="255" t="s">
        <v>130</v>
      </c>
      <c r="B1" s="255" t="s">
        <v>131</v>
      </c>
      <c r="C1" s="255" t="s">
        <v>132</v>
      </c>
      <c r="D1" s="255" t="s">
        <v>133</v>
      </c>
      <c r="E1" s="255" t="s">
        <v>134</v>
      </c>
      <c r="F1" s="255" t="s">
        <v>135</v>
      </c>
      <c r="G1" s="255" t="s">
        <v>136</v>
      </c>
    </row>
    <row r="2">
      <c r="A2" s="133" t="s">
        <v>137</v>
      </c>
      <c r="B2" s="133" t="s">
        <v>138</v>
      </c>
      <c r="C2" s="133" t="s">
        <v>139</v>
      </c>
      <c r="D2" s="134"/>
      <c r="E2" s="133" t="s">
        <v>139</v>
      </c>
      <c r="F2" s="134"/>
      <c r="G2" s="134"/>
    </row>
    <row r="3">
      <c r="A3" s="256" t="s">
        <v>140</v>
      </c>
      <c r="B3" s="256" t="s">
        <v>141</v>
      </c>
      <c r="C3" s="256" t="s">
        <v>139</v>
      </c>
      <c r="D3" s="257"/>
      <c r="E3" s="256" t="s">
        <v>139</v>
      </c>
      <c r="F3" s="257"/>
      <c r="G3" s="257"/>
    </row>
    <row r="4">
      <c r="A4" s="133" t="s">
        <v>142</v>
      </c>
      <c r="B4" s="133" t="s">
        <v>143</v>
      </c>
      <c r="C4" s="134"/>
      <c r="D4" s="133" t="s">
        <v>144</v>
      </c>
      <c r="E4" s="134"/>
      <c r="F4" s="133" t="s">
        <v>144</v>
      </c>
      <c r="G4" s="134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4" max="4" width="17.29"/>
  </cols>
  <sheetData>
    <row r="1">
      <c r="A1" s="1" t="s">
        <v>43</v>
      </c>
      <c r="E1" s="2"/>
      <c r="F1" s="3"/>
      <c r="G1" s="2"/>
      <c r="H1" s="3"/>
      <c r="I1" s="2"/>
      <c r="J1" s="3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5" t="s">
        <v>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hidden="1" customHeight="1">
      <c r="D4" s="7" t="s">
        <v>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7.25" hidden="1" customHeight="1">
      <c r="A5" s="3" t="s">
        <v>3</v>
      </c>
      <c r="B5" s="3">
        <v>39000.0</v>
      </c>
      <c r="C5" s="2"/>
      <c r="D5" s="3" t="s">
        <v>44</v>
      </c>
      <c r="E5" s="7"/>
      <c r="F5" s="7" t="s">
        <v>6</v>
      </c>
      <c r="G5" s="7" t="s">
        <v>5</v>
      </c>
      <c r="H5" s="7" t="s">
        <v>7</v>
      </c>
      <c r="I5" s="7" t="s">
        <v>5</v>
      </c>
      <c r="J5" s="7" t="s">
        <v>8</v>
      </c>
      <c r="K5" s="7" t="s">
        <v>5</v>
      </c>
      <c r="L5" s="7" t="s">
        <v>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7.25" hidden="1" customHeight="1">
      <c r="A6" s="3" t="s">
        <v>10</v>
      </c>
      <c r="B6" s="8">
        <v>0.5</v>
      </c>
      <c r="C6" s="2"/>
      <c r="D6" s="3" t="s">
        <v>45</v>
      </c>
      <c r="E6" s="3">
        <v>13.0</v>
      </c>
      <c r="F6" s="9">
        <f>E6*$B$18</f>
        <v>32.5</v>
      </c>
      <c r="G6" s="3">
        <v>14.0</v>
      </c>
      <c r="H6" s="9">
        <f>G6*$B$18</f>
        <v>35</v>
      </c>
      <c r="I6" s="3">
        <v>12.0</v>
      </c>
      <c r="J6" s="9">
        <f>I6*$B$18</f>
        <v>30</v>
      </c>
      <c r="K6" s="3">
        <v>11.0</v>
      </c>
      <c r="L6" s="9">
        <f>K6*$B$18</f>
        <v>27.5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7.25" hidden="1" customHeight="1">
      <c r="A7" s="3" t="s">
        <v>12</v>
      </c>
      <c r="B7" s="2">
        <f>B5*B6</f>
        <v>19500</v>
      </c>
      <c r="C7" s="2"/>
      <c r="D7" s="3" t="s">
        <v>46</v>
      </c>
      <c r="E7" s="3">
        <v>2.0</v>
      </c>
      <c r="F7" s="9">
        <f>E7*$B$19</f>
        <v>3</v>
      </c>
      <c r="G7" s="3">
        <v>5.0</v>
      </c>
      <c r="H7" s="9">
        <f>$B$19*G7</f>
        <v>7.5</v>
      </c>
      <c r="I7" s="3">
        <v>4.0</v>
      </c>
      <c r="J7" s="11">
        <f>B19*I7</f>
        <v>6</v>
      </c>
      <c r="K7" s="3">
        <v>3.0</v>
      </c>
      <c r="L7" s="11">
        <f>K7*B19</f>
        <v>4.5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7.25" hidden="1" customHeight="1">
      <c r="A8" s="2"/>
      <c r="B8" s="2"/>
      <c r="C8" s="2"/>
      <c r="D8" s="3" t="s">
        <v>18</v>
      </c>
      <c r="E8" s="2"/>
      <c r="F8" s="9">
        <f>SUM(F6:F7)</f>
        <v>35.5</v>
      </c>
      <c r="G8" s="2"/>
      <c r="H8" s="9">
        <f>SUM(H6:H7)</f>
        <v>42.5</v>
      </c>
      <c r="I8" s="2"/>
      <c r="J8" s="11">
        <f>SUM(J6:J7)</f>
        <v>36</v>
      </c>
      <c r="K8" s="2"/>
      <c r="L8" s="11">
        <f>SUM(L6:L7)</f>
        <v>32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7.25" hidden="1" customHeight="1">
      <c r="A9" s="10" t="s">
        <v>15</v>
      </c>
      <c r="B9" s="3">
        <v>14.0</v>
      </c>
      <c r="C9" s="3"/>
      <c r="D9" s="2"/>
      <c r="E9" s="2"/>
      <c r="F9" s="9"/>
      <c r="G9" s="2"/>
      <c r="H9" s="9"/>
      <c r="I9" s="2"/>
      <c r="J9" s="11"/>
      <c r="K9" s="2"/>
      <c r="L9" s="1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7.25" hidden="1" customHeight="1">
      <c r="A10" s="3" t="s">
        <v>17</v>
      </c>
      <c r="B10" s="3">
        <v>0.0</v>
      </c>
      <c r="C10" s="3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7.25" hidden="1" customHeight="1">
      <c r="A11" s="3" t="s">
        <v>18</v>
      </c>
      <c r="B11" s="2">
        <f>SUM(B9:B10)</f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7.25" hidden="1" customHeight="1">
      <c r="A12" s="2"/>
      <c r="B12" s="2"/>
      <c r="C12" s="2"/>
      <c r="D12" s="2"/>
      <c r="E12" s="2"/>
      <c r="F12" s="3" t="s">
        <v>1</v>
      </c>
      <c r="G12" s="3" t="s">
        <v>1</v>
      </c>
      <c r="H12" s="3" t="s">
        <v>1</v>
      </c>
      <c r="I12" s="3" t="s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7.25" hidden="1" customHeight="1">
      <c r="A13" s="3" t="s">
        <v>19</v>
      </c>
      <c r="B13" s="2">
        <f>(B9*B5)+(B10*(B5/2))</f>
        <v>546000</v>
      </c>
      <c r="C13" s="2"/>
      <c r="D13" s="7" t="s">
        <v>4</v>
      </c>
      <c r="E13" s="7" t="s">
        <v>20</v>
      </c>
      <c r="F13" s="7" t="s">
        <v>6</v>
      </c>
      <c r="G13" s="7" t="s">
        <v>7</v>
      </c>
      <c r="H13" s="7" t="s">
        <v>8</v>
      </c>
      <c r="I13" s="7" t="s">
        <v>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7.25" hidden="1" customHeight="1">
      <c r="A14" s="3" t="s">
        <v>21</v>
      </c>
      <c r="B14" s="2">
        <f>B13*$B$6</f>
        <v>273000</v>
      </c>
      <c r="C14" s="2"/>
      <c r="D14" s="3" t="s">
        <v>44</v>
      </c>
      <c r="E14" s="3">
        <v>2500.0</v>
      </c>
      <c r="F14" s="2">
        <f>F8*E14</f>
        <v>88750</v>
      </c>
      <c r="G14" s="2">
        <f>H8*$E$14</f>
        <v>106250</v>
      </c>
      <c r="H14" s="2">
        <f>J6*$E$14</f>
        <v>75000</v>
      </c>
      <c r="I14" s="2">
        <f>L8*$E$14</f>
        <v>80000</v>
      </c>
      <c r="J14" s="2">
        <f>SUM(F14:I14)</f>
        <v>350000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7.25" hidden="1" customHeight="1">
      <c r="A15" s="3" t="s">
        <v>12</v>
      </c>
      <c r="B15" s="2">
        <f>B13-B14</f>
        <v>273000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7.25" hidden="1" customHeight="1">
      <c r="A16" s="3" t="s">
        <v>22</v>
      </c>
      <c r="B16" s="37">
        <f>B15-J14</f>
        <v>-77000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7.25" hidden="1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7.25" hidden="1" customHeight="1">
      <c r="A18" s="3" t="s">
        <v>23</v>
      </c>
      <c r="B18" s="3">
        <v>2.5</v>
      </c>
      <c r="C18" s="2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7.25" hidden="1" customHeight="1">
      <c r="A19" s="3" t="s">
        <v>47</v>
      </c>
      <c r="B19" s="3">
        <v>1.5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5" t="s">
        <v>24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idden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idden="1">
      <c r="A25" s="3" t="s">
        <v>48</v>
      </c>
      <c r="B25" s="3">
        <v>53500.0</v>
      </c>
      <c r="C25" s="2"/>
      <c r="D25" s="38" t="s">
        <v>4</v>
      </c>
      <c r="E25" s="38" t="s">
        <v>5</v>
      </c>
      <c r="F25" s="38" t="s">
        <v>25</v>
      </c>
      <c r="G25" s="38" t="s">
        <v>5</v>
      </c>
      <c r="H25" s="38" t="s">
        <v>26</v>
      </c>
      <c r="I25" s="38" t="s">
        <v>5</v>
      </c>
      <c r="J25" s="38" t="s">
        <v>27</v>
      </c>
      <c r="K25" s="38" t="s">
        <v>5</v>
      </c>
      <c r="L25" s="38" t="s">
        <v>28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idden="1">
      <c r="A26" s="3" t="s">
        <v>49</v>
      </c>
      <c r="B26" s="3">
        <v>39000.0</v>
      </c>
      <c r="C26" s="2"/>
      <c r="D26" s="3" t="s">
        <v>44</v>
      </c>
      <c r="E26" s="7"/>
      <c r="F26" s="7"/>
      <c r="G26" s="7"/>
      <c r="H26" s="7"/>
      <c r="I26" s="7"/>
      <c r="J26" s="7"/>
      <c r="K26" s="7"/>
      <c r="L26" s="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idden="1">
      <c r="A27" s="3" t="s">
        <v>50</v>
      </c>
      <c r="B27" s="3">
        <v>19500.0</v>
      </c>
      <c r="C27" s="2"/>
      <c r="D27" s="3" t="s">
        <v>45</v>
      </c>
      <c r="E27" s="3">
        <v>12.0</v>
      </c>
      <c r="F27" s="9">
        <f t="shared" ref="F27:F28" si="1">E27*B41</f>
        <v>30</v>
      </c>
      <c r="G27" s="3">
        <v>12.0</v>
      </c>
      <c r="H27" s="9">
        <f>G27*B41</f>
        <v>30</v>
      </c>
      <c r="I27" s="3">
        <v>13.0</v>
      </c>
      <c r="J27" s="9">
        <f t="shared" ref="J27:J28" si="2">I27*B41</f>
        <v>32.5</v>
      </c>
      <c r="K27" s="3">
        <v>14.0</v>
      </c>
      <c r="L27" s="9">
        <f>K27*B41</f>
        <v>35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idden="1">
      <c r="C28" s="2"/>
      <c r="D28" s="3" t="s">
        <v>46</v>
      </c>
      <c r="E28" s="3">
        <v>0.0</v>
      </c>
      <c r="F28" s="9">
        <f t="shared" si="1"/>
        <v>0</v>
      </c>
      <c r="G28" s="3">
        <v>0.0</v>
      </c>
      <c r="H28" s="9">
        <f>B42*G28</f>
        <v>0</v>
      </c>
      <c r="I28" s="3">
        <v>0.0</v>
      </c>
      <c r="J28" s="11">
        <f t="shared" si="2"/>
        <v>0</v>
      </c>
      <c r="K28" s="3">
        <v>0.0</v>
      </c>
      <c r="L28" s="11">
        <f>B42*K28</f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idden="1">
      <c r="A29" s="10" t="s">
        <v>51</v>
      </c>
      <c r="B29" s="3">
        <v>4.0</v>
      </c>
      <c r="C29" s="2"/>
      <c r="D29" s="3" t="s">
        <v>18</v>
      </c>
      <c r="E29" s="2"/>
      <c r="F29" s="9">
        <f>SUM(F27:F28)</f>
        <v>30</v>
      </c>
      <c r="G29" s="2"/>
      <c r="H29" s="9">
        <f>SUM(H27:H28)</f>
        <v>30</v>
      </c>
      <c r="I29" s="2"/>
      <c r="J29" s="11">
        <f>SUM(J27:J28)</f>
        <v>32.5</v>
      </c>
      <c r="K29" s="2"/>
      <c r="L29" s="11">
        <f>SUM(L27:L28)</f>
        <v>35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idden="1">
      <c r="A30" s="3" t="s">
        <v>52</v>
      </c>
      <c r="B30" s="3">
        <v>5.0</v>
      </c>
      <c r="C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idden="1">
      <c r="A31" s="3" t="s">
        <v>53</v>
      </c>
      <c r="B31" s="3">
        <v>1.0</v>
      </c>
      <c r="C31" s="2"/>
      <c r="D31" s="39" t="s">
        <v>4</v>
      </c>
      <c r="E31" s="17" t="s">
        <v>20</v>
      </c>
      <c r="F31" s="7" t="s">
        <v>33</v>
      </c>
      <c r="G31" s="7" t="s">
        <v>34</v>
      </c>
      <c r="H31" s="7" t="s">
        <v>35</v>
      </c>
      <c r="I31" s="17" t="s">
        <v>36</v>
      </c>
      <c r="J31" s="17" t="s">
        <v>18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idden="1">
      <c r="A32" s="40" t="s">
        <v>18</v>
      </c>
      <c r="B32" s="41">
        <f>SUM(B29:B31)</f>
        <v>10</v>
      </c>
      <c r="C32" s="2"/>
      <c r="D32" s="42" t="s">
        <v>44</v>
      </c>
      <c r="E32" s="20">
        <v>2500.0</v>
      </c>
      <c r="F32" s="3">
        <f>F29*E32</f>
        <v>75000</v>
      </c>
      <c r="G32" s="3">
        <f>H29*E32</f>
        <v>75000</v>
      </c>
      <c r="H32" s="2">
        <f>J29*E32</f>
        <v>81250</v>
      </c>
      <c r="I32" s="18">
        <f>L29*E32</f>
        <v>87500</v>
      </c>
      <c r="J32" s="18">
        <f>SUM(F32:I32)</f>
        <v>318750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idden="1">
      <c r="C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idden="1"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idden="1">
      <c r="A35" s="3" t="s">
        <v>12</v>
      </c>
      <c r="B35" s="2">
        <f>((B25-14500)*B29)+(B26*B30)+(B27*B31)</f>
        <v>370500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idden="1">
      <c r="A36" s="3" t="s">
        <v>31</v>
      </c>
      <c r="B36" s="3">
        <f>J32</f>
        <v>318750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idden="1">
      <c r="A37" s="3" t="s">
        <v>22</v>
      </c>
      <c r="B37" s="26">
        <f>B35-B36</f>
        <v>51750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idden="1"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idden="1">
      <c r="A39" s="3" t="s">
        <v>54</v>
      </c>
      <c r="B39" s="2">
        <f>(B25-B26)*B29</f>
        <v>58000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idden="1"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idden="1">
      <c r="A41" s="3" t="s">
        <v>23</v>
      </c>
      <c r="B41" s="3">
        <v>2.5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idden="1">
      <c r="A42" s="3" t="s">
        <v>47</v>
      </c>
      <c r="B42" s="3">
        <v>1.5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5" t="s">
        <v>55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idden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idden="1">
      <c r="A46" s="3" t="s">
        <v>48</v>
      </c>
      <c r="B46" s="3">
        <v>53500.0</v>
      </c>
      <c r="C46" s="2"/>
      <c r="D46" s="38" t="s">
        <v>4</v>
      </c>
      <c r="E46" s="38" t="s">
        <v>5</v>
      </c>
      <c r="F46" s="38" t="s">
        <v>38</v>
      </c>
      <c r="G46" s="38" t="s">
        <v>5</v>
      </c>
      <c r="H46" s="38" t="s">
        <v>39</v>
      </c>
      <c r="I46" s="38" t="s">
        <v>5</v>
      </c>
      <c r="J46" s="38" t="s">
        <v>40</v>
      </c>
      <c r="K46" s="38" t="s">
        <v>5</v>
      </c>
      <c r="L46" s="38" t="s">
        <v>41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idden="1">
      <c r="A47" s="3" t="s">
        <v>49</v>
      </c>
      <c r="B47" s="3">
        <v>39000.0</v>
      </c>
      <c r="C47" s="2"/>
      <c r="D47" s="3" t="s">
        <v>44</v>
      </c>
      <c r="E47" s="7"/>
      <c r="F47" s="7"/>
      <c r="G47" s="7"/>
      <c r="H47" s="7"/>
      <c r="I47" s="7"/>
      <c r="J47" s="7"/>
      <c r="K47" s="7"/>
      <c r="L47" s="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idden="1">
      <c r="A48" s="3" t="s">
        <v>50</v>
      </c>
      <c r="B48" s="3">
        <v>19500.0</v>
      </c>
      <c r="C48" s="2"/>
      <c r="D48" s="3" t="s">
        <v>45</v>
      </c>
      <c r="E48" s="3">
        <v>12.0</v>
      </c>
      <c r="F48" s="9">
        <f t="shared" ref="F48:F49" si="3">E48*B62</f>
        <v>30</v>
      </c>
      <c r="G48" s="3">
        <v>13.0</v>
      </c>
      <c r="H48" s="9">
        <f>G48*B62</f>
        <v>32.5</v>
      </c>
      <c r="I48" s="3">
        <v>15.0</v>
      </c>
      <c r="J48" s="9">
        <f t="shared" ref="J48:J49" si="4">I48*B62</f>
        <v>37.5</v>
      </c>
      <c r="K48" s="3">
        <v>14.0</v>
      </c>
      <c r="L48" s="9">
        <f>K48*B62</f>
        <v>35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idden="1">
      <c r="C49" s="2"/>
      <c r="D49" s="3" t="s">
        <v>46</v>
      </c>
      <c r="E49" s="3">
        <v>0.0</v>
      </c>
      <c r="F49" s="9">
        <f t="shared" si="3"/>
        <v>0</v>
      </c>
      <c r="G49" s="3">
        <v>0.0</v>
      </c>
      <c r="H49" s="9">
        <f>B63*G49</f>
        <v>0</v>
      </c>
      <c r="I49" s="3">
        <v>0.0</v>
      </c>
      <c r="J49" s="11">
        <f t="shared" si="4"/>
        <v>0</v>
      </c>
      <c r="K49" s="3">
        <v>0.0</v>
      </c>
      <c r="L49" s="11">
        <f>B63*K49</f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idden="1">
      <c r="A50" s="10" t="s">
        <v>51</v>
      </c>
      <c r="B50" s="3">
        <v>2.0</v>
      </c>
      <c r="C50" s="2"/>
      <c r="D50" s="3" t="s">
        <v>18</v>
      </c>
      <c r="E50" s="2"/>
      <c r="F50" s="9">
        <f>SUM(F48:F49)</f>
        <v>30</v>
      </c>
      <c r="G50" s="2"/>
      <c r="H50" s="9">
        <f>SUM(H48:H49)</f>
        <v>32.5</v>
      </c>
      <c r="I50" s="2"/>
      <c r="J50" s="11">
        <f>SUM(J48:J49)</f>
        <v>37.5</v>
      </c>
      <c r="K50" s="2"/>
      <c r="L50" s="11">
        <f>SUM(L48:L49)</f>
        <v>35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idden="1">
      <c r="A51" s="3" t="s">
        <v>52</v>
      </c>
      <c r="B51" s="3">
        <v>7.0</v>
      </c>
      <c r="C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idden="1">
      <c r="A52" s="3" t="s">
        <v>53</v>
      </c>
      <c r="B52" s="3">
        <v>0.0</v>
      </c>
      <c r="C52" s="2"/>
      <c r="D52" s="39" t="s">
        <v>4</v>
      </c>
      <c r="E52" s="17" t="s">
        <v>20</v>
      </c>
      <c r="F52" s="7" t="s">
        <v>38</v>
      </c>
      <c r="G52" s="7" t="s">
        <v>39</v>
      </c>
      <c r="H52" s="7" t="s">
        <v>40</v>
      </c>
      <c r="I52" s="17" t="s">
        <v>41</v>
      </c>
      <c r="J52" s="17" t="s">
        <v>18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idden="1">
      <c r="A53" s="40" t="s">
        <v>18</v>
      </c>
      <c r="B53" s="41">
        <f>SUM(B50:B52)</f>
        <v>9</v>
      </c>
      <c r="C53" s="2"/>
      <c r="D53" s="42" t="s">
        <v>44</v>
      </c>
      <c r="E53" s="20">
        <v>2500.0</v>
      </c>
      <c r="F53" s="3">
        <f>F50*E53</f>
        <v>75000</v>
      </c>
      <c r="G53" s="3">
        <f>H50*E53</f>
        <v>81250</v>
      </c>
      <c r="H53" s="2">
        <f>J50*E53</f>
        <v>93750</v>
      </c>
      <c r="I53" s="18">
        <f>L50*E53</f>
        <v>87500</v>
      </c>
      <c r="J53" s="18">
        <f>SUM(F53:I53)</f>
        <v>337500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idden="1">
      <c r="C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idden="1"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idden="1">
      <c r="A56" s="3" t="s">
        <v>12</v>
      </c>
      <c r="B56" s="2">
        <f>((B46-14500)*B50)+(B47*B51)+(B48*B52)</f>
        <v>351000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idden="1">
      <c r="A57" s="3" t="s">
        <v>31</v>
      </c>
      <c r="B57" s="3">
        <f>J53</f>
        <v>337500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idden="1">
      <c r="A58" s="3" t="s">
        <v>22</v>
      </c>
      <c r="B58" s="26">
        <f>B56-B57</f>
        <v>13500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idden="1"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idden="1">
      <c r="A60" s="3" t="s">
        <v>54</v>
      </c>
      <c r="B60" s="2">
        <f>(B46-B47)*B50</f>
        <v>29000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idden="1"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idden="1">
      <c r="A62" s="3" t="s">
        <v>23</v>
      </c>
      <c r="B62" s="3">
        <v>2.5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idden="1">
      <c r="A63" s="3" t="s">
        <v>47</v>
      </c>
      <c r="B63" s="3">
        <v>1.5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3" t="s">
        <v>56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48</v>
      </c>
      <c r="B67" s="3">
        <v>53500.0</v>
      </c>
      <c r="C67" s="2"/>
      <c r="D67" s="38" t="s">
        <v>4</v>
      </c>
      <c r="E67" s="38" t="s">
        <v>5</v>
      </c>
      <c r="F67" s="38" t="s">
        <v>6</v>
      </c>
      <c r="G67" s="38" t="s">
        <v>5</v>
      </c>
      <c r="H67" s="38" t="s">
        <v>7</v>
      </c>
      <c r="I67" s="38" t="s">
        <v>5</v>
      </c>
      <c r="J67" s="38" t="s">
        <v>8</v>
      </c>
      <c r="K67" s="38" t="s">
        <v>5</v>
      </c>
      <c r="L67" s="38" t="s">
        <v>9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49</v>
      </c>
      <c r="B68" s="3">
        <v>39000.0</v>
      </c>
      <c r="C68" s="2"/>
      <c r="D68" s="3" t="s">
        <v>44</v>
      </c>
      <c r="E68" s="7"/>
      <c r="F68" s="7"/>
      <c r="G68" s="7"/>
      <c r="H68" s="7"/>
      <c r="I68" s="7"/>
      <c r="J68" s="7"/>
      <c r="K68" s="7"/>
      <c r="L68" s="7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50</v>
      </c>
      <c r="B69" s="3">
        <v>19500.0</v>
      </c>
      <c r="C69" s="2"/>
      <c r="D69" s="3" t="s">
        <v>45</v>
      </c>
      <c r="E69" s="3">
        <v>15.0</v>
      </c>
      <c r="F69" s="9">
        <f t="shared" ref="F69:F70" si="5">E69*B83</f>
        <v>37.5</v>
      </c>
      <c r="G69" s="3">
        <v>13.0</v>
      </c>
      <c r="H69" s="9">
        <f>G69*B83</f>
        <v>32.5</v>
      </c>
      <c r="I69" s="3">
        <v>15.0</v>
      </c>
      <c r="J69" s="9">
        <f t="shared" ref="J69:J70" si="6">I69*B83</f>
        <v>37.5</v>
      </c>
      <c r="K69" s="3">
        <v>14.0</v>
      </c>
      <c r="L69" s="9">
        <f>K69*B83</f>
        <v>35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C70" s="2"/>
      <c r="D70" s="3" t="s">
        <v>46</v>
      </c>
      <c r="E70" s="3">
        <v>0.0</v>
      </c>
      <c r="F70" s="9">
        <f t="shared" si="5"/>
        <v>0</v>
      </c>
      <c r="G70" s="3">
        <v>0.0</v>
      </c>
      <c r="H70" s="9">
        <f>B84*G70</f>
        <v>0</v>
      </c>
      <c r="I70" s="3">
        <v>0.0</v>
      </c>
      <c r="J70" s="11">
        <f t="shared" si="6"/>
        <v>0</v>
      </c>
      <c r="K70" s="3">
        <v>0.0</v>
      </c>
      <c r="L70" s="11">
        <f>B84*K70</f>
        <v>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0" t="s">
        <v>51</v>
      </c>
      <c r="B71" s="3">
        <v>0.0</v>
      </c>
      <c r="C71" s="2"/>
      <c r="D71" s="3" t="s">
        <v>18</v>
      </c>
      <c r="E71" s="2"/>
      <c r="F71" s="9">
        <f>SUM(F69:F70)</f>
        <v>37.5</v>
      </c>
      <c r="G71" s="2"/>
      <c r="H71" s="9">
        <f>SUM(H69:H70)</f>
        <v>32.5</v>
      </c>
      <c r="I71" s="2"/>
      <c r="J71" s="11">
        <f>SUM(J69:J70)</f>
        <v>37.5</v>
      </c>
      <c r="K71" s="2"/>
      <c r="L71" s="11">
        <f>SUM(L69:L70)</f>
        <v>35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52</v>
      </c>
      <c r="B72" s="3">
        <v>13.0</v>
      </c>
      <c r="C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53</v>
      </c>
      <c r="B73" s="3">
        <v>0.0</v>
      </c>
      <c r="C73" s="2"/>
      <c r="D73" s="39" t="s">
        <v>4</v>
      </c>
      <c r="E73" s="17" t="s">
        <v>20</v>
      </c>
      <c r="F73" s="7" t="s">
        <v>6</v>
      </c>
      <c r="G73" s="7" t="s">
        <v>7</v>
      </c>
      <c r="H73" s="7" t="s">
        <v>8</v>
      </c>
      <c r="I73" s="17" t="s">
        <v>9</v>
      </c>
      <c r="J73" s="17" t="s">
        <v>18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0" t="s">
        <v>18</v>
      </c>
      <c r="B74" s="41">
        <f>SUM(B71:B73)</f>
        <v>13</v>
      </c>
      <c r="C74" s="2"/>
      <c r="D74" s="42" t="s">
        <v>44</v>
      </c>
      <c r="E74" s="20">
        <v>2500.0</v>
      </c>
      <c r="F74" s="3">
        <f>F71*E74</f>
        <v>93750</v>
      </c>
      <c r="G74" s="3">
        <f>H71*E74</f>
        <v>81250</v>
      </c>
      <c r="H74" s="2">
        <f>J71*E74</f>
        <v>93750</v>
      </c>
      <c r="I74" s="18">
        <f>L71*E74</f>
        <v>87500</v>
      </c>
      <c r="J74" s="18">
        <f>SUM(F74:I74)</f>
        <v>356250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C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</v>
      </c>
      <c r="B77" s="2">
        <f>((B67-14500)*B71)+(B68*B72)+(B69*B73)</f>
        <v>507000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31</v>
      </c>
      <c r="B78" s="3">
        <f>J74</f>
        <v>356250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22</v>
      </c>
      <c r="B79" s="26">
        <f>B77-B78</f>
        <v>150750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54</v>
      </c>
      <c r="B81" s="2">
        <f>(B67-B68)*B71</f>
        <v>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23</v>
      </c>
      <c r="B83" s="3">
        <v>2.5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47</v>
      </c>
      <c r="B84" s="3">
        <v>1.5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3:B3"/>
    <mergeCell ref="A23:B23"/>
    <mergeCell ref="A44:B44"/>
    <mergeCell ref="A65:B65"/>
  </mergeCells>
  <conditionalFormatting sqref="B16">
    <cfRule type="cellIs" dxfId="2" priority="1" operator="greaterThan">
      <formula>0</formula>
    </cfRule>
  </conditionalFormatting>
  <conditionalFormatting sqref="B16">
    <cfRule type="cellIs" dxfId="0" priority="2" operator="lessThanOrEqual">
      <formula>0</formula>
    </cfRule>
  </conditionalFormatting>
  <conditionalFormatting sqref="F1">
    <cfRule type="expression" dxfId="3" priority="3">
      <formula>AND(ISNUMBER(F1),TRUNC(F1)&gt;TODAY())</formula>
    </cfRule>
  </conditionalFormatting>
  <conditionalFormatting sqref="B37 B58 B79">
    <cfRule type="cellIs" dxfId="0" priority="4" operator="lessThan">
      <formula>0</formula>
    </cfRule>
  </conditionalFormatting>
  <conditionalFormatting sqref="B37 B58 B79">
    <cfRule type="cellIs" dxfId="1" priority="5" operator="greaterThanOr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</cols>
  <sheetData>
    <row r="1">
      <c r="A1" s="3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5" t="s">
        <v>58</v>
      </c>
      <c r="B2" s="45" t="s">
        <v>59</v>
      </c>
      <c r="C2" s="3">
        <v>10.08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60</v>
      </c>
      <c r="B3" s="3">
        <v>254500.0</v>
      </c>
      <c r="C3" s="3">
        <v>78750.0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61</v>
      </c>
      <c r="B4" s="3">
        <v>319502.0</v>
      </c>
      <c r="C4" s="3">
        <v>134668.0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62</v>
      </c>
      <c r="B5" s="3">
        <v>377300.0</v>
      </c>
      <c r="C5" s="3"/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6" t="s">
        <v>18</v>
      </c>
      <c r="B6" s="41">
        <f t="shared" ref="B6:C6" si="1">SUM(B3:B5)</f>
        <v>951302</v>
      </c>
      <c r="C6" s="2">
        <f t="shared" si="1"/>
        <v>213418</v>
      </c>
      <c r="D6" s="3"/>
      <c r="E6" s="4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8" t="s">
        <v>12</v>
      </c>
      <c r="B8" s="49"/>
      <c r="F8" s="50" t="s">
        <v>63</v>
      </c>
      <c r="G8" s="27" t="s">
        <v>64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65</v>
      </c>
      <c r="B9" s="2">
        <f>Krakka!B13</f>
        <v>604500</v>
      </c>
      <c r="F9" s="51"/>
      <c r="G9" s="1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5" t="s">
        <v>43</v>
      </c>
      <c r="B10" s="49">
        <f>Ungmenna!B13</f>
        <v>546000</v>
      </c>
      <c r="F10" s="52"/>
      <c r="G10" s="1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18</v>
      </c>
      <c r="B11" s="2">
        <f>SUM(B9:B10)</f>
        <v>1150500</v>
      </c>
      <c r="F11" s="53" t="str">
        <f>Arion!B22</f>
        <v>#REF!</v>
      </c>
      <c r="G11" s="18" t="str">
        <f>'Nóri'!T34</f>
        <v>#REF!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F12" s="51"/>
      <c r="G12" s="1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4" t="s">
        <v>21</v>
      </c>
      <c r="B13" s="2">
        <f>B11*0.5</f>
        <v>575250</v>
      </c>
      <c r="C13" s="55">
        <v>421550.0</v>
      </c>
      <c r="D13" s="2">
        <f>B13-C13</f>
        <v>153700</v>
      </c>
      <c r="F13" s="56"/>
      <c r="G13" s="18" t="str">
        <f>(G11*0.5)+'Nóri'!Q34</f>
        <v>#REF!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D14" s="57">
        <f>D13+14500</f>
        <v>168200</v>
      </c>
      <c r="F14" s="51"/>
      <c r="G14" s="1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8" t="s">
        <v>66</v>
      </c>
      <c r="B15" s="49"/>
      <c r="F15" s="51"/>
      <c r="G15" s="1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2">
        <f>Krakka!J18</f>
        <v>260000</v>
      </c>
      <c r="F16" s="42">
        <v>23495.0</v>
      </c>
      <c r="G16" s="2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5" t="s">
        <v>43</v>
      </c>
      <c r="B17" s="49">
        <f>Ungmenna!J14</f>
        <v>350000</v>
      </c>
      <c r="F17" s="42">
        <v>52105.0</v>
      </c>
      <c r="G17" s="2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18</v>
      </c>
      <c r="B18" s="2">
        <f>SUM(B16:B17)</f>
        <v>610000</v>
      </c>
      <c r="F18" s="51">
        <f>SUM(F16:F17)</f>
        <v>75600</v>
      </c>
      <c r="G18" s="1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22</v>
      </c>
      <c r="B20" s="2">
        <f>(B11-B13)-B18</f>
        <v>-34750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 t="s">
        <v>67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8" t="s">
        <v>12</v>
      </c>
      <c r="B25" s="4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65</v>
      </c>
      <c r="B26" s="2">
        <f>Krakka!B32</f>
        <v>615850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5" t="s">
        <v>43</v>
      </c>
      <c r="B27" s="49">
        <f>Ungmenna!B37</f>
        <v>51750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18</v>
      </c>
      <c r="B28" s="2">
        <f>SUM(B26:B27)</f>
        <v>667600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 t="s">
        <v>68</v>
      </c>
      <c r="B30" s="33">
        <f>B28/4</f>
        <v>166900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20">
    <cfRule type="cellIs" dxfId="1" priority="1" operator="greaterThan">
      <formula>0</formula>
    </cfRule>
  </conditionalFormatting>
  <conditionalFormatting sqref="B20">
    <cfRule type="cellIs" dxfId="0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</cols>
  <sheetData>
    <row r="1">
      <c r="A1" s="59" t="s">
        <v>24</v>
      </c>
      <c r="E1" s="59" t="s">
        <v>55</v>
      </c>
      <c r="H1" s="2"/>
      <c r="I1" s="59" t="s">
        <v>56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8" t="s">
        <v>12</v>
      </c>
      <c r="B2" s="49"/>
      <c r="C2" s="2"/>
      <c r="E2" s="48" t="s">
        <v>12</v>
      </c>
      <c r="F2" s="49"/>
      <c r="G2" s="2"/>
      <c r="H2" s="2"/>
      <c r="I2" s="48" t="s">
        <v>12</v>
      </c>
      <c r="J2" s="4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65</v>
      </c>
      <c r="B3" s="2">
        <f>Krakka!B30</f>
        <v>1072500</v>
      </c>
      <c r="C3" s="2"/>
      <c r="E3" s="3" t="s">
        <v>65</v>
      </c>
      <c r="F3" s="2">
        <f>Krakka!B51</f>
        <v>195000</v>
      </c>
      <c r="G3" s="2"/>
      <c r="H3" s="2"/>
      <c r="I3" s="3" t="s">
        <v>65</v>
      </c>
      <c r="J3" s="2">
        <f>Krakka!B71</f>
        <v>1462500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43</v>
      </c>
      <c r="B4" s="2">
        <f>Ungmenna!B35</f>
        <v>370500</v>
      </c>
      <c r="C4" s="2"/>
      <c r="E4" s="3" t="s">
        <v>43</v>
      </c>
      <c r="F4" s="2">
        <f>Ungmenna!B56</f>
        <v>351000</v>
      </c>
      <c r="G4" s="2"/>
      <c r="H4" s="2"/>
      <c r="I4" s="3" t="s">
        <v>43</v>
      </c>
      <c r="J4" s="2">
        <f>Ungmenna!B77</f>
        <v>507000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69</v>
      </c>
      <c r="B5" s="60"/>
      <c r="C5" s="2"/>
      <c r="E5" s="3" t="s">
        <v>69</v>
      </c>
      <c r="F5" s="60"/>
      <c r="G5" s="2"/>
      <c r="H5" s="2"/>
      <c r="I5" s="3" t="s">
        <v>69</v>
      </c>
      <c r="J5" s="6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0" t="s">
        <v>18</v>
      </c>
      <c r="B6" s="41">
        <f>SUM(B3:B5)</f>
        <v>1443000</v>
      </c>
      <c r="C6" s="2"/>
      <c r="E6" s="40" t="s">
        <v>18</v>
      </c>
      <c r="F6" s="41">
        <f>SUM(F3:F5)</f>
        <v>546000</v>
      </c>
      <c r="G6" s="2"/>
      <c r="H6" s="2"/>
      <c r="I6" s="40" t="s">
        <v>18</v>
      </c>
      <c r="J6" s="41">
        <f>SUM(J3:J5)</f>
        <v>1969500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6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4" t="s">
        <v>21</v>
      </c>
      <c r="B9" s="2">
        <f>300000*4</f>
        <v>1200000</v>
      </c>
      <c r="C9" s="2"/>
      <c r="E9" s="54" t="s">
        <v>21</v>
      </c>
      <c r="F9" s="3">
        <v>300000.0</v>
      </c>
      <c r="G9" s="7"/>
      <c r="H9" s="2"/>
      <c r="I9" s="54" t="s">
        <v>21</v>
      </c>
      <c r="J9" s="2">
        <f>300000*4</f>
        <v>1200000</v>
      </c>
      <c r="K9" s="62"/>
      <c r="L9" s="2">
        <f>J9+J15</f>
        <v>2102250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8" t="s">
        <v>66</v>
      </c>
      <c r="B11" s="49"/>
      <c r="C11" s="2"/>
      <c r="E11" s="58" t="s">
        <v>66</v>
      </c>
      <c r="F11" s="49"/>
      <c r="G11" s="7"/>
      <c r="H11" s="2"/>
      <c r="I11" s="58" t="s">
        <v>66</v>
      </c>
      <c r="J11" s="49"/>
      <c r="K11" s="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65</v>
      </c>
      <c r="B12" s="2">
        <f>Krakka!B31</f>
        <v>456650</v>
      </c>
      <c r="C12" s="2"/>
      <c r="E12" s="3" t="s">
        <v>65</v>
      </c>
      <c r="F12" s="2">
        <f>Krakka!B52</f>
        <v>327000</v>
      </c>
      <c r="G12" s="2"/>
      <c r="H12" s="2"/>
      <c r="I12" s="3" t="s">
        <v>65</v>
      </c>
      <c r="J12" s="2">
        <f>Krakka!B72</f>
        <v>546000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43</v>
      </c>
      <c r="B13" s="2">
        <f>Ungmenna!B36</f>
        <v>318750</v>
      </c>
      <c r="C13" s="2"/>
      <c r="E13" s="3" t="s">
        <v>43</v>
      </c>
      <c r="F13" s="2">
        <f>Ungmenna!B57</f>
        <v>337500</v>
      </c>
      <c r="G13" s="2"/>
      <c r="H13" s="2"/>
      <c r="I13" s="3" t="s">
        <v>43</v>
      </c>
      <c r="J13" s="2">
        <f>Ungmenna!B78</f>
        <v>356250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69</v>
      </c>
      <c r="B14" s="63"/>
      <c r="C14" s="2"/>
      <c r="E14" s="3" t="s">
        <v>69</v>
      </c>
      <c r="F14" s="63"/>
      <c r="G14" s="2"/>
      <c r="H14" s="2"/>
      <c r="I14" s="3" t="s">
        <v>69</v>
      </c>
      <c r="J14" s="6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0" t="s">
        <v>18</v>
      </c>
      <c r="B15" s="41">
        <f>SUM(B12:B14)</f>
        <v>775400</v>
      </c>
      <c r="C15" s="2"/>
      <c r="D15" s="2"/>
      <c r="E15" s="40" t="s">
        <v>18</v>
      </c>
      <c r="F15" s="41">
        <f>SUM(F12:F14)</f>
        <v>664500</v>
      </c>
      <c r="G15" s="2"/>
      <c r="H15" s="2"/>
      <c r="I15" s="40" t="s">
        <v>18</v>
      </c>
      <c r="J15" s="41">
        <f>SUM(J12:J14)</f>
        <v>902250</v>
      </c>
      <c r="K15" s="6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22</v>
      </c>
      <c r="B17" s="2">
        <f>(B6-B9)-B15</f>
        <v>-532400</v>
      </c>
      <c r="C17" s="2"/>
      <c r="E17" s="3" t="s">
        <v>22</v>
      </c>
      <c r="F17" s="2">
        <f>(F6-F9)-F15</f>
        <v>-418500</v>
      </c>
      <c r="G17" s="2"/>
      <c r="H17" s="2"/>
      <c r="I17" s="3" t="s">
        <v>22</v>
      </c>
      <c r="J17" s="2">
        <f>(J6-J9)-J15</f>
        <v>-132750</v>
      </c>
      <c r="K17" s="2"/>
      <c r="L17" s="2">
        <f>B17+F17+J17</f>
        <v>-1083650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2"/>
      <c r="C21" s="2"/>
      <c r="E21" s="2"/>
      <c r="F21" s="2"/>
      <c r="G21" s="2"/>
      <c r="H21" s="2"/>
      <c r="I21" s="3">
        <v>39000.0</v>
      </c>
      <c r="J21" s="3">
        <v>1200000.0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E22" s="2"/>
      <c r="F22" s="2"/>
      <c r="G22" s="2"/>
      <c r="H22" s="2"/>
      <c r="I22" s="2"/>
      <c r="J22" s="3">
        <v>416000.0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J23" s="2">
        <f>J13</f>
        <v>356250</v>
      </c>
      <c r="K23" s="2">
        <f>J24/20</f>
        <v>98612.5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/>
      <c r="B24" s="2"/>
      <c r="C24" s="2"/>
      <c r="D24" s="2"/>
      <c r="E24" s="2"/>
      <c r="F24" s="2"/>
      <c r="G24" s="2"/>
      <c r="H24" s="2"/>
      <c r="I24" s="33">
        <f>J24/I21</f>
        <v>50.57051282</v>
      </c>
      <c r="J24" s="65">
        <f>SUM(J21:J23)</f>
        <v>1972250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/>
      <c r="B28" s="3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">
    <mergeCell ref="A1:C1"/>
    <mergeCell ref="E1:G1"/>
    <mergeCell ref="I1:K1"/>
  </mergeCells>
  <conditionalFormatting sqref="B17 F17 J17">
    <cfRule type="cellIs" dxfId="1" priority="1" operator="greaterThan">
      <formula>0</formula>
    </cfRule>
  </conditionalFormatting>
  <conditionalFormatting sqref="B17 F17 J17">
    <cfRule type="cellIs" dxfId="0" priority="2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66" t="s">
        <v>70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</row>
    <row r="4">
      <c r="A4" s="68" t="s">
        <v>3</v>
      </c>
      <c r="B4" s="69">
        <v>50000.0</v>
      </c>
      <c r="C4" s="2"/>
    </row>
    <row r="5">
      <c r="A5" s="19" t="s">
        <v>21</v>
      </c>
      <c r="B5" s="70">
        <v>0.5</v>
      </c>
      <c r="C5" s="2"/>
    </row>
    <row r="6">
      <c r="A6" s="71" t="s">
        <v>23</v>
      </c>
      <c r="B6" s="24">
        <v>2.5</v>
      </c>
      <c r="C6" s="2"/>
      <c r="D6" s="7" t="s">
        <v>4</v>
      </c>
      <c r="E6" s="7" t="s">
        <v>5</v>
      </c>
      <c r="F6" s="7" t="s">
        <v>6</v>
      </c>
      <c r="G6" s="7" t="s">
        <v>5</v>
      </c>
      <c r="H6" s="7" t="s">
        <v>7</v>
      </c>
      <c r="I6" s="7" t="s">
        <v>5</v>
      </c>
      <c r="J6" s="7" t="s">
        <v>8</v>
      </c>
      <c r="K6" s="7" t="s">
        <v>5</v>
      </c>
      <c r="L6" s="7" t="s">
        <v>9</v>
      </c>
    </row>
    <row r="7">
      <c r="C7" s="2"/>
      <c r="D7" s="3" t="s">
        <v>71</v>
      </c>
      <c r="E7" s="3">
        <v>8.0</v>
      </c>
      <c r="F7" s="9">
        <f t="shared" ref="F7:F8" si="1">E7*$B$6</f>
        <v>20</v>
      </c>
      <c r="G7" s="3">
        <v>0.0</v>
      </c>
      <c r="H7" s="9">
        <f t="shared" ref="H7:H8" si="2">G7*$B$6</f>
        <v>0</v>
      </c>
      <c r="I7" s="9">
        <v>0.0</v>
      </c>
      <c r="J7" s="9">
        <f t="shared" ref="J7:J8" si="3">I7*$B$6</f>
        <v>0</v>
      </c>
      <c r="K7" s="9">
        <v>0.0</v>
      </c>
      <c r="L7" s="9">
        <f t="shared" ref="L7:L8" si="4">K7*$B$6</f>
        <v>0</v>
      </c>
    </row>
    <row r="8">
      <c r="A8" s="72" t="s">
        <v>72</v>
      </c>
      <c r="B8" s="69">
        <v>0.0</v>
      </c>
      <c r="C8" s="2"/>
      <c r="D8" s="3" t="s">
        <v>73</v>
      </c>
      <c r="E8" s="3">
        <v>9.0</v>
      </c>
      <c r="F8" s="9">
        <f t="shared" si="1"/>
        <v>22.5</v>
      </c>
      <c r="G8" s="3">
        <v>0.0</v>
      </c>
      <c r="H8" s="9">
        <f t="shared" si="2"/>
        <v>0</v>
      </c>
      <c r="I8" s="9">
        <v>0.0</v>
      </c>
      <c r="J8" s="9">
        <f t="shared" si="3"/>
        <v>0</v>
      </c>
      <c r="K8" s="9">
        <v>0.0</v>
      </c>
      <c r="L8" s="9">
        <f t="shared" si="4"/>
        <v>0</v>
      </c>
    </row>
    <row r="9">
      <c r="A9" s="19" t="s">
        <v>74</v>
      </c>
      <c r="B9" s="20">
        <v>0.0</v>
      </c>
      <c r="C9" s="2"/>
      <c r="D9" s="3"/>
      <c r="E9" s="3"/>
      <c r="F9" s="9"/>
      <c r="G9" s="3"/>
      <c r="H9" s="9"/>
      <c r="I9" s="9"/>
      <c r="J9" s="9"/>
      <c r="K9" s="9"/>
      <c r="L9" s="9"/>
    </row>
    <row r="10">
      <c r="A10" s="71" t="s">
        <v>18</v>
      </c>
      <c r="B10" s="24">
        <f>SUM(B8:B9)</f>
        <v>0</v>
      </c>
      <c r="C10" s="2"/>
      <c r="K10" s="9"/>
      <c r="L10" s="9"/>
    </row>
    <row r="11">
      <c r="C11" s="2"/>
      <c r="K11" s="9"/>
      <c r="L11" s="9"/>
    </row>
    <row r="12">
      <c r="A12" s="68" t="s">
        <v>12</v>
      </c>
      <c r="B12" s="73">
        <f>(B8*B4)+(B9*(B4/2))</f>
        <v>0</v>
      </c>
      <c r="C12" s="2"/>
      <c r="D12" s="7" t="s">
        <v>4</v>
      </c>
      <c r="E12" s="7" t="s">
        <v>20</v>
      </c>
      <c r="F12" s="7" t="s">
        <v>6</v>
      </c>
      <c r="G12" s="7" t="s">
        <v>7</v>
      </c>
      <c r="H12" s="7" t="s">
        <v>8</v>
      </c>
      <c r="I12" s="7" t="s">
        <v>9</v>
      </c>
      <c r="J12" s="2"/>
      <c r="K12" s="2"/>
      <c r="L12" s="2"/>
    </row>
    <row r="13">
      <c r="A13" s="19" t="s">
        <v>21</v>
      </c>
      <c r="B13" s="74">
        <f>(B4*B5)*(B8+(B9/2))</f>
        <v>0</v>
      </c>
      <c r="C13" s="2"/>
      <c r="D13" s="3" t="s">
        <v>71</v>
      </c>
      <c r="E13" s="3">
        <v>0.0</v>
      </c>
      <c r="F13" s="3">
        <f t="shared" ref="F13:F14" si="5">F7*E13</f>
        <v>0</v>
      </c>
      <c r="G13" s="2">
        <f t="shared" ref="G13:G14" si="6">H7*E13</f>
        <v>0</v>
      </c>
      <c r="H13" s="2">
        <f t="shared" ref="H13:H14" si="7">J7*E13</f>
        <v>0</v>
      </c>
      <c r="I13" s="2">
        <f t="shared" ref="I13:I14" si="8">L7*E13</f>
        <v>0</v>
      </c>
      <c r="J13" s="2">
        <f t="shared" ref="J13:J15" si="9">SUM(F13:I13)</f>
        <v>0</v>
      </c>
      <c r="K13" s="2"/>
      <c r="L13" s="2"/>
    </row>
    <row r="14">
      <c r="A14" s="19" t="s">
        <v>66</v>
      </c>
      <c r="B14" s="75">
        <f>(J15)*1.288</f>
        <v>0</v>
      </c>
      <c r="C14" s="2"/>
      <c r="D14" s="3" t="s">
        <v>73</v>
      </c>
      <c r="E14" s="3">
        <v>0.0</v>
      </c>
      <c r="F14" s="3">
        <f t="shared" si="5"/>
        <v>0</v>
      </c>
      <c r="G14" s="2">
        <f t="shared" si="6"/>
        <v>0</v>
      </c>
      <c r="H14" s="2">
        <f t="shared" si="7"/>
        <v>0</v>
      </c>
      <c r="I14" s="2">
        <f t="shared" si="8"/>
        <v>0</v>
      </c>
      <c r="J14" s="2">
        <f t="shared" si="9"/>
        <v>0</v>
      </c>
      <c r="K14" s="3"/>
      <c r="L14" s="2"/>
    </row>
    <row r="15">
      <c r="A15" s="71" t="s">
        <v>22</v>
      </c>
      <c r="B15" s="76">
        <f>B12-(B14+B13)</f>
        <v>0</v>
      </c>
      <c r="C15" s="2"/>
      <c r="D15" s="46" t="s">
        <v>18</v>
      </c>
      <c r="E15" s="41"/>
      <c r="F15" s="41">
        <f t="shared" ref="F15:I15" si="10">SUM(F13:F14)</f>
        <v>0</v>
      </c>
      <c r="G15" s="41">
        <f t="shared" si="10"/>
        <v>0</v>
      </c>
      <c r="H15" s="41">
        <f t="shared" si="10"/>
        <v>0</v>
      </c>
      <c r="I15" s="41">
        <f t="shared" si="10"/>
        <v>0</v>
      </c>
      <c r="J15" s="40">
        <f t="shared" si="9"/>
        <v>0</v>
      </c>
      <c r="K15" s="3"/>
      <c r="L15" s="2"/>
    </row>
  </sheetData>
  <conditionalFormatting sqref="B15">
    <cfRule type="cellIs" dxfId="0" priority="1" operator="lessThan">
      <formula>0</formula>
    </cfRule>
  </conditionalFormatting>
  <conditionalFormatting sqref="B15">
    <cfRule type="cellIs" dxfId="1" priority="2" operator="greaterThanOr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86"/>
  </cols>
  <sheetData>
    <row r="1">
      <c r="A1" s="77" t="s">
        <v>75</v>
      </c>
    </row>
    <row r="3">
      <c r="A3" s="78">
        <v>2022.0</v>
      </c>
    </row>
    <row r="5">
      <c r="A5" s="79" t="s">
        <v>76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hidden="1">
      <c r="A6" s="68" t="s">
        <v>3</v>
      </c>
      <c r="B6" s="69">
        <v>45000.0</v>
      </c>
      <c r="C6" s="2"/>
    </row>
    <row r="7" hidden="1">
      <c r="A7" s="19" t="s">
        <v>21</v>
      </c>
      <c r="B7" s="70">
        <v>0.5</v>
      </c>
      <c r="C7" s="2"/>
      <c r="D7" s="7" t="s">
        <v>4</v>
      </c>
      <c r="E7" s="7" t="s">
        <v>5</v>
      </c>
      <c r="F7" s="7" t="s">
        <v>25</v>
      </c>
      <c r="G7" s="7" t="s">
        <v>5</v>
      </c>
      <c r="H7" s="7" t="s">
        <v>26</v>
      </c>
      <c r="I7" s="7" t="s">
        <v>5</v>
      </c>
      <c r="J7" s="7" t="s">
        <v>27</v>
      </c>
      <c r="K7" s="7" t="s">
        <v>5</v>
      </c>
      <c r="L7" s="7" t="s">
        <v>28</v>
      </c>
      <c r="M7" s="81" t="s">
        <v>77</v>
      </c>
    </row>
    <row r="8" hidden="1">
      <c r="A8" s="71" t="s">
        <v>23</v>
      </c>
      <c r="B8" s="24">
        <v>1.5</v>
      </c>
      <c r="C8" s="2"/>
      <c r="D8" s="3" t="s">
        <v>29</v>
      </c>
      <c r="E8" s="3">
        <v>8.0</v>
      </c>
      <c r="F8" s="9">
        <f t="shared" ref="F8:F9" si="1">E8*$B$8</f>
        <v>12</v>
      </c>
      <c r="G8" s="3">
        <v>8.0</v>
      </c>
      <c r="H8" s="9">
        <f t="shared" ref="H8:H9" si="2">G8*$B$8</f>
        <v>12</v>
      </c>
      <c r="I8" s="9">
        <v>10.0</v>
      </c>
      <c r="J8" s="9">
        <f t="shared" ref="J8:J9" si="3">I8*$B$8</f>
        <v>15</v>
      </c>
      <c r="K8" s="9">
        <v>8.0</v>
      </c>
      <c r="L8" s="9">
        <f t="shared" ref="L8:L9" si="4">K8*$B$8</f>
        <v>12</v>
      </c>
      <c r="M8" s="57">
        <f>F8+H8+J8+L8</f>
        <v>51</v>
      </c>
    </row>
    <row r="9" hidden="1">
      <c r="C9" s="2"/>
      <c r="D9" s="3" t="s">
        <v>32</v>
      </c>
      <c r="E9" s="3">
        <v>0.0</v>
      </c>
      <c r="F9" s="9">
        <f t="shared" si="1"/>
        <v>0</v>
      </c>
      <c r="G9" s="3">
        <v>0.0</v>
      </c>
      <c r="H9" s="9">
        <f t="shared" si="2"/>
        <v>0</v>
      </c>
      <c r="I9" s="9">
        <v>0.0</v>
      </c>
      <c r="J9" s="9">
        <f t="shared" si="3"/>
        <v>0</v>
      </c>
      <c r="K9" s="9">
        <v>0.0</v>
      </c>
      <c r="L9" s="9">
        <f t="shared" si="4"/>
        <v>0</v>
      </c>
    </row>
    <row r="10" hidden="1">
      <c r="A10" s="72" t="s">
        <v>15</v>
      </c>
      <c r="B10" s="69">
        <v>7.0</v>
      </c>
      <c r="C10" s="2"/>
      <c r="D10" s="3"/>
      <c r="E10" s="3"/>
      <c r="F10" s="9"/>
      <c r="G10" s="3"/>
      <c r="H10" s="9"/>
      <c r="I10" s="9"/>
      <c r="J10" s="9"/>
      <c r="K10" s="9"/>
      <c r="L10" s="9"/>
    </row>
    <row r="11" hidden="1">
      <c r="A11" s="19" t="s">
        <v>17</v>
      </c>
      <c r="B11" s="20">
        <v>1.0</v>
      </c>
      <c r="C11" s="2"/>
      <c r="D11" s="3"/>
      <c r="E11" s="3"/>
      <c r="F11" s="9"/>
      <c r="G11" s="3"/>
      <c r="H11" s="9"/>
      <c r="I11" s="9"/>
      <c r="J11" s="9"/>
      <c r="K11" s="9"/>
      <c r="L11" s="9"/>
    </row>
    <row r="12" hidden="1">
      <c r="A12" s="71" t="s">
        <v>18</v>
      </c>
      <c r="B12" s="24">
        <f>SUM(B10:B11)</f>
        <v>8</v>
      </c>
      <c r="C12" s="2"/>
      <c r="D12" s="3"/>
      <c r="E12" s="3"/>
      <c r="F12" s="9"/>
      <c r="G12" s="3"/>
      <c r="H12" s="9"/>
      <c r="I12" s="9"/>
      <c r="J12" s="9"/>
      <c r="K12" s="9"/>
      <c r="L12" s="9"/>
    </row>
    <row r="13" hidden="1">
      <c r="C13" s="2"/>
      <c r="D13" s="3"/>
      <c r="E13" s="3"/>
      <c r="F13" s="9"/>
      <c r="G13" s="3"/>
      <c r="H13" s="9"/>
      <c r="I13" s="9"/>
      <c r="J13" s="9"/>
      <c r="K13" s="9"/>
      <c r="L13" s="9"/>
    </row>
    <row r="14" hidden="1">
      <c r="A14" s="68" t="s">
        <v>12</v>
      </c>
      <c r="B14" s="82">
        <f>(B10*B6)+(B11*(B6/2))</f>
        <v>337500</v>
      </c>
      <c r="C14" s="2"/>
      <c r="D14" s="7" t="s">
        <v>4</v>
      </c>
      <c r="E14" s="7" t="s">
        <v>20</v>
      </c>
      <c r="F14" s="7" t="s">
        <v>6</v>
      </c>
      <c r="G14" s="7" t="s">
        <v>7</v>
      </c>
      <c r="H14" s="7" t="s">
        <v>8</v>
      </c>
      <c r="I14" s="7" t="s">
        <v>9</v>
      </c>
      <c r="J14" s="2"/>
      <c r="K14" s="2"/>
      <c r="L14" s="2"/>
    </row>
    <row r="15" hidden="1">
      <c r="A15" s="83" t="s">
        <v>21</v>
      </c>
      <c r="B15" s="84">
        <f>(B6*B7)*(B10+(B11/2))</f>
        <v>168750</v>
      </c>
      <c r="C15" s="2"/>
      <c r="D15" s="3" t="s">
        <v>29</v>
      </c>
      <c r="E15" s="3">
        <v>2400.0</v>
      </c>
      <c r="F15" s="3">
        <f t="shared" ref="F15:F16" si="5">F8*E15</f>
        <v>28800</v>
      </c>
      <c r="G15" s="2">
        <f t="shared" ref="G15:G16" si="6">H8*E15</f>
        <v>28800</v>
      </c>
      <c r="H15" s="2">
        <f t="shared" ref="H15:H16" si="7">J8*E15</f>
        <v>36000</v>
      </c>
      <c r="I15" s="2">
        <f t="shared" ref="I15:I16" si="8">L8*E15</f>
        <v>28800</v>
      </c>
      <c r="J15" s="2"/>
      <c r="K15" s="2"/>
      <c r="L15" s="2"/>
    </row>
    <row r="16" hidden="1">
      <c r="A16" s="19" t="s">
        <v>66</v>
      </c>
      <c r="B16" s="20">
        <f>(J17)*1.288</f>
        <v>157651.2</v>
      </c>
      <c r="C16" s="2"/>
      <c r="D16" s="3" t="s">
        <v>32</v>
      </c>
      <c r="E16" s="3">
        <v>2400.0</v>
      </c>
      <c r="F16" s="3">
        <f t="shared" si="5"/>
        <v>0</v>
      </c>
      <c r="G16" s="2">
        <f t="shared" si="6"/>
        <v>0</v>
      </c>
      <c r="H16" s="2">
        <f t="shared" si="7"/>
        <v>0</v>
      </c>
      <c r="I16" s="2">
        <f t="shared" si="8"/>
        <v>0</v>
      </c>
      <c r="J16" s="2"/>
      <c r="K16" s="3"/>
      <c r="L16" s="2"/>
    </row>
    <row r="17" hidden="1">
      <c r="A17" s="71" t="s">
        <v>22</v>
      </c>
      <c r="B17" s="85">
        <f>B14-(B16+B15)</f>
        <v>11098.8</v>
      </c>
      <c r="C17" s="2"/>
      <c r="D17" s="7" t="s">
        <v>18</v>
      </c>
      <c r="E17" s="2"/>
      <c r="F17" s="2">
        <f t="shared" ref="F17:I17" si="9">SUM(F15:F16)</f>
        <v>28800</v>
      </c>
      <c r="G17" s="2">
        <f t="shared" si="9"/>
        <v>28800</v>
      </c>
      <c r="H17" s="2">
        <f t="shared" si="9"/>
        <v>36000</v>
      </c>
      <c r="I17" s="2">
        <f t="shared" si="9"/>
        <v>28800</v>
      </c>
      <c r="J17" s="3">
        <f>SUM(F17:I17)</f>
        <v>122400</v>
      </c>
      <c r="K17" s="3"/>
      <c r="L17" s="2"/>
    </row>
    <row r="18">
      <c r="C18" s="2"/>
      <c r="K18" s="3"/>
      <c r="L18" s="2"/>
    </row>
    <row r="19">
      <c r="A19" s="86" t="s">
        <v>78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hidden="1">
      <c r="A20" s="68" t="s">
        <v>3</v>
      </c>
      <c r="B20" s="69">
        <v>45000.0</v>
      </c>
      <c r="C20" s="2"/>
    </row>
    <row r="21" hidden="1">
      <c r="A21" s="19" t="s">
        <v>21</v>
      </c>
      <c r="B21" s="70">
        <v>0.5</v>
      </c>
      <c r="C21" s="2"/>
      <c r="D21" s="7" t="s">
        <v>4</v>
      </c>
      <c r="E21" s="7" t="s">
        <v>5</v>
      </c>
      <c r="F21" s="7" t="s">
        <v>38</v>
      </c>
      <c r="G21" s="7" t="s">
        <v>5</v>
      </c>
      <c r="H21" s="7" t="s">
        <v>39</v>
      </c>
      <c r="I21" s="7" t="s">
        <v>5</v>
      </c>
      <c r="J21" s="7" t="s">
        <v>40</v>
      </c>
      <c r="K21" s="7" t="s">
        <v>5</v>
      </c>
      <c r="L21" s="7" t="s">
        <v>41</v>
      </c>
    </row>
    <row r="22" hidden="1">
      <c r="A22" s="71" t="s">
        <v>23</v>
      </c>
      <c r="B22" s="24">
        <v>1.5</v>
      </c>
      <c r="C22" s="2"/>
      <c r="D22" s="3" t="s">
        <v>29</v>
      </c>
      <c r="E22" s="3">
        <v>9.0</v>
      </c>
      <c r="F22" s="9">
        <f t="shared" ref="F22:F23" si="10">E22*$B$8</f>
        <v>13.5</v>
      </c>
      <c r="G22" s="3">
        <v>7.0</v>
      </c>
      <c r="H22" s="9">
        <f t="shared" ref="H22:H23" si="11">G22*$B$8</f>
        <v>10.5</v>
      </c>
      <c r="I22" s="9">
        <v>7.0</v>
      </c>
      <c r="J22" s="9">
        <f t="shared" ref="J22:J23" si="12">I22*$B$8</f>
        <v>10.5</v>
      </c>
      <c r="K22" s="9">
        <v>9.0</v>
      </c>
      <c r="L22" s="9">
        <f t="shared" ref="L22:L23" si="13">K22*$B$8</f>
        <v>13.5</v>
      </c>
    </row>
    <row r="23" hidden="1">
      <c r="C23" s="2"/>
      <c r="D23" s="3" t="s">
        <v>32</v>
      </c>
      <c r="E23" s="3">
        <v>0.0</v>
      </c>
      <c r="F23" s="9">
        <f t="shared" si="10"/>
        <v>0</v>
      </c>
      <c r="G23" s="3">
        <v>0.0</v>
      </c>
      <c r="H23" s="9">
        <f t="shared" si="11"/>
        <v>0</v>
      </c>
      <c r="I23" s="9">
        <v>0.0</v>
      </c>
      <c r="J23" s="9">
        <f t="shared" si="12"/>
        <v>0</v>
      </c>
      <c r="K23" s="9">
        <v>0.0</v>
      </c>
      <c r="L23" s="9">
        <f t="shared" si="13"/>
        <v>0</v>
      </c>
    </row>
    <row r="24" hidden="1">
      <c r="A24" s="72" t="s">
        <v>15</v>
      </c>
      <c r="B24" s="69">
        <v>6.0</v>
      </c>
      <c r="C24" s="2"/>
      <c r="D24" s="3"/>
      <c r="E24" s="3"/>
      <c r="F24" s="9"/>
      <c r="G24" s="3"/>
      <c r="H24" s="9"/>
      <c r="I24" s="9"/>
      <c r="J24" s="9"/>
      <c r="K24" s="9"/>
      <c r="L24" s="9"/>
    </row>
    <row r="25" hidden="1">
      <c r="A25" s="19" t="s">
        <v>17</v>
      </c>
      <c r="B25" s="20">
        <v>0.0</v>
      </c>
      <c r="C25" s="2"/>
      <c r="D25" s="3"/>
      <c r="E25" s="3"/>
      <c r="F25" s="9"/>
      <c r="G25" s="3"/>
      <c r="H25" s="9"/>
      <c r="I25" s="9"/>
      <c r="J25" s="9"/>
      <c r="K25" s="9"/>
      <c r="L25" s="9"/>
    </row>
    <row r="26" hidden="1">
      <c r="A26" s="71" t="s">
        <v>18</v>
      </c>
      <c r="B26" s="24">
        <f>SUM(B24:B25)</f>
        <v>6</v>
      </c>
      <c r="C26" s="2"/>
      <c r="D26" s="3"/>
      <c r="E26" s="3"/>
      <c r="F26" s="9"/>
      <c r="G26" s="3"/>
      <c r="H26" s="9"/>
      <c r="I26" s="9"/>
      <c r="J26" s="9"/>
      <c r="K26" s="9"/>
      <c r="L26" s="9"/>
    </row>
    <row r="27" hidden="1">
      <c r="C27" s="2"/>
      <c r="D27" s="3"/>
      <c r="E27" s="3"/>
      <c r="F27" s="9"/>
      <c r="G27" s="3"/>
      <c r="H27" s="9"/>
      <c r="I27" s="9"/>
      <c r="J27" s="9"/>
      <c r="K27" s="9"/>
      <c r="L27" s="9"/>
    </row>
    <row r="28" hidden="1">
      <c r="A28" s="68" t="s">
        <v>12</v>
      </c>
      <c r="B28" s="82">
        <f>(B24*B20)+(B25*(B20/2))</f>
        <v>270000</v>
      </c>
      <c r="C28" s="2"/>
      <c r="D28" s="7" t="s">
        <v>4</v>
      </c>
      <c r="E28" s="7" t="s">
        <v>20</v>
      </c>
      <c r="F28" s="7" t="s">
        <v>6</v>
      </c>
      <c r="G28" s="7" t="s">
        <v>7</v>
      </c>
      <c r="H28" s="7" t="s">
        <v>8</v>
      </c>
      <c r="I28" s="7" t="s">
        <v>9</v>
      </c>
      <c r="J28" s="2"/>
      <c r="K28" s="2"/>
      <c r="L28" s="2"/>
    </row>
    <row r="29" hidden="1">
      <c r="A29" s="83" t="s">
        <v>21</v>
      </c>
      <c r="B29" s="84">
        <f>(B20*B21)*B24</f>
        <v>135000</v>
      </c>
      <c r="C29" s="2"/>
      <c r="D29" s="3" t="s">
        <v>29</v>
      </c>
      <c r="E29" s="3">
        <v>2400.0</v>
      </c>
      <c r="F29" s="3">
        <f t="shared" ref="F29:F30" si="14">F22*E29</f>
        <v>32400</v>
      </c>
      <c r="G29" s="2">
        <f t="shared" ref="G29:G30" si="15">H22*E29</f>
        <v>25200</v>
      </c>
      <c r="H29" s="2">
        <f t="shared" ref="H29:H30" si="16">J22*E29</f>
        <v>25200</v>
      </c>
      <c r="I29" s="2">
        <f t="shared" ref="I29:I30" si="17">L22*E29</f>
        <v>32400</v>
      </c>
      <c r="J29" s="2"/>
      <c r="K29" s="2"/>
      <c r="L29" s="2"/>
    </row>
    <row r="30" hidden="1">
      <c r="A30" s="19" t="s">
        <v>66</v>
      </c>
      <c r="B30" s="20">
        <f>(J31)*1.288</f>
        <v>148377.6</v>
      </c>
      <c r="C30" s="2"/>
      <c r="D30" s="3" t="s">
        <v>32</v>
      </c>
      <c r="E30" s="3">
        <v>2400.0</v>
      </c>
      <c r="F30" s="3">
        <f t="shared" si="14"/>
        <v>0</v>
      </c>
      <c r="G30" s="2">
        <f t="shared" si="15"/>
        <v>0</v>
      </c>
      <c r="H30" s="2">
        <f t="shared" si="16"/>
        <v>0</v>
      </c>
      <c r="I30" s="2">
        <f t="shared" si="17"/>
        <v>0</v>
      </c>
      <c r="J30" s="2"/>
      <c r="K30" s="3"/>
      <c r="L30" s="2"/>
    </row>
    <row r="31" hidden="1">
      <c r="A31" s="71" t="s">
        <v>22</v>
      </c>
      <c r="B31" s="85">
        <f>B28-(B30+B29)</f>
        <v>-13377.6</v>
      </c>
      <c r="C31" s="2"/>
      <c r="D31" s="7" t="s">
        <v>18</v>
      </c>
      <c r="E31" s="2"/>
      <c r="F31" s="2">
        <f t="shared" ref="F31:I31" si="18">SUM(F29:F30)</f>
        <v>32400</v>
      </c>
      <c r="G31" s="2">
        <f t="shared" si="18"/>
        <v>25200</v>
      </c>
      <c r="H31" s="2">
        <f t="shared" si="18"/>
        <v>25200</v>
      </c>
      <c r="I31" s="2">
        <f t="shared" si="18"/>
        <v>32400</v>
      </c>
      <c r="J31" s="3">
        <f>SUM(F31:I31)</f>
        <v>115200</v>
      </c>
      <c r="K31" s="3"/>
      <c r="L31" s="2"/>
    </row>
    <row r="33">
      <c r="A33" s="66" t="s">
        <v>70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hidden="1">
      <c r="A34" s="68" t="s">
        <v>3</v>
      </c>
      <c r="B34" s="69">
        <v>45000.0</v>
      </c>
      <c r="C34" s="2"/>
    </row>
    <row r="35" hidden="1">
      <c r="A35" s="19" t="s">
        <v>21</v>
      </c>
      <c r="B35" s="70">
        <v>0.5</v>
      </c>
      <c r="C35" s="2"/>
      <c r="D35" s="7" t="s">
        <v>4</v>
      </c>
      <c r="E35" s="7" t="s">
        <v>5</v>
      </c>
      <c r="F35" s="7" t="s">
        <v>6</v>
      </c>
      <c r="G35" s="7" t="s">
        <v>5</v>
      </c>
      <c r="H35" s="7" t="s">
        <v>7</v>
      </c>
      <c r="I35" s="7" t="s">
        <v>5</v>
      </c>
      <c r="J35" s="7" t="s">
        <v>8</v>
      </c>
      <c r="K35" s="7" t="s">
        <v>5</v>
      </c>
      <c r="L35" s="7" t="s">
        <v>9</v>
      </c>
    </row>
    <row r="36" hidden="1">
      <c r="A36" s="71" t="s">
        <v>23</v>
      </c>
      <c r="B36" s="24">
        <v>1.5</v>
      </c>
      <c r="C36" s="2"/>
      <c r="D36" s="3" t="s">
        <v>79</v>
      </c>
      <c r="E36" s="3">
        <v>12.0</v>
      </c>
      <c r="F36" s="9">
        <f t="shared" ref="F36:F38" si="19">E36*$B$36</f>
        <v>18</v>
      </c>
      <c r="G36" s="3">
        <v>9.0</v>
      </c>
      <c r="H36" s="9">
        <f t="shared" ref="H36:H38" si="20">G36*$B$36</f>
        <v>13.5</v>
      </c>
      <c r="I36" s="9">
        <v>9.0</v>
      </c>
      <c r="J36" s="9">
        <f t="shared" ref="J36:J38" si="21">I36*$B$36</f>
        <v>13.5</v>
      </c>
      <c r="K36" s="9">
        <v>6.0</v>
      </c>
      <c r="L36" s="9">
        <f t="shared" ref="L36:L38" si="22">K36*$B$36</f>
        <v>9</v>
      </c>
    </row>
    <row r="37" hidden="1">
      <c r="C37" s="2"/>
      <c r="D37" s="3" t="s">
        <v>80</v>
      </c>
      <c r="E37" s="3">
        <v>0.0</v>
      </c>
      <c r="F37" s="9">
        <f t="shared" si="19"/>
        <v>0</v>
      </c>
      <c r="G37" s="3">
        <v>4.0</v>
      </c>
      <c r="H37" s="9">
        <f t="shared" si="20"/>
        <v>6</v>
      </c>
      <c r="I37" s="9">
        <v>9.0</v>
      </c>
      <c r="J37" s="9">
        <f t="shared" si="21"/>
        <v>13.5</v>
      </c>
      <c r="K37" s="9">
        <v>5.0</v>
      </c>
      <c r="L37" s="9">
        <f t="shared" si="22"/>
        <v>7.5</v>
      </c>
    </row>
    <row r="38" hidden="1">
      <c r="A38" s="72" t="s">
        <v>15</v>
      </c>
      <c r="B38" s="69">
        <v>11.0</v>
      </c>
      <c r="C38" s="2"/>
      <c r="D38" s="3" t="s">
        <v>73</v>
      </c>
      <c r="E38" s="3">
        <v>0.0</v>
      </c>
      <c r="F38" s="9">
        <f t="shared" si="19"/>
        <v>0</v>
      </c>
      <c r="G38" s="3">
        <v>7.0</v>
      </c>
      <c r="H38" s="9">
        <f t="shared" si="20"/>
        <v>10.5</v>
      </c>
      <c r="I38" s="9">
        <v>0.0</v>
      </c>
      <c r="J38" s="9">
        <f t="shared" si="21"/>
        <v>0</v>
      </c>
      <c r="K38" s="9">
        <v>0.0</v>
      </c>
      <c r="L38" s="9">
        <f t="shared" si="22"/>
        <v>0</v>
      </c>
    </row>
    <row r="39" hidden="1">
      <c r="A39" s="19" t="s">
        <v>17</v>
      </c>
      <c r="B39" s="20">
        <v>1.0</v>
      </c>
      <c r="C39" s="2"/>
      <c r="D39" s="3"/>
      <c r="E39" s="3"/>
      <c r="F39" s="9"/>
      <c r="G39" s="3"/>
      <c r="H39" s="9"/>
      <c r="I39" s="9"/>
      <c r="J39" s="9"/>
      <c r="K39" s="9"/>
      <c r="L39" s="9"/>
    </row>
    <row r="40" hidden="1">
      <c r="A40" s="71" t="s">
        <v>18</v>
      </c>
      <c r="B40" s="24">
        <f>SUM(B38:B39)</f>
        <v>12</v>
      </c>
      <c r="C40" s="2"/>
      <c r="D40" s="3"/>
      <c r="E40" s="3"/>
      <c r="F40" s="9"/>
      <c r="G40" s="3"/>
      <c r="H40" s="9"/>
      <c r="I40" s="9"/>
      <c r="J40" s="9"/>
      <c r="K40" s="9"/>
      <c r="L40" s="9"/>
    </row>
    <row r="41" hidden="1">
      <c r="C41" s="2"/>
      <c r="D41" s="3"/>
      <c r="E41" s="3"/>
      <c r="F41" s="9"/>
      <c r="G41" s="3"/>
      <c r="H41" s="9"/>
      <c r="I41" s="9"/>
      <c r="J41" s="9"/>
      <c r="K41" s="9"/>
      <c r="L41" s="9"/>
    </row>
    <row r="42" hidden="1">
      <c r="A42" s="68" t="s">
        <v>12</v>
      </c>
      <c r="B42" s="82">
        <f>(B38*B34)+(B39*(B34/2))</f>
        <v>517500</v>
      </c>
      <c r="C42" s="2"/>
      <c r="J42" s="2"/>
      <c r="K42" s="2"/>
      <c r="L42" s="2"/>
    </row>
    <row r="43" hidden="1">
      <c r="A43" s="83" t="s">
        <v>21</v>
      </c>
      <c r="B43" s="84">
        <f>(B34*B35)*(B38+(B39/2))</f>
        <v>258750</v>
      </c>
      <c r="C43" s="2"/>
      <c r="D43" s="7" t="s">
        <v>4</v>
      </c>
      <c r="E43" s="7" t="s">
        <v>20</v>
      </c>
      <c r="F43" s="7" t="s">
        <v>6</v>
      </c>
      <c r="G43" s="7" t="s">
        <v>7</v>
      </c>
      <c r="H43" s="7" t="s">
        <v>8</v>
      </c>
      <c r="I43" s="7" t="s">
        <v>9</v>
      </c>
      <c r="J43" s="2"/>
      <c r="K43" s="2"/>
      <c r="L43" s="2"/>
    </row>
    <row r="44" hidden="1">
      <c r="A44" s="19" t="s">
        <v>66</v>
      </c>
      <c r="B44" s="88">
        <f>(J47)*1.288</f>
        <v>213486</v>
      </c>
      <c r="C44" s="2"/>
      <c r="D44" s="3" t="s">
        <v>79</v>
      </c>
      <c r="E44" s="3">
        <v>2000.0</v>
      </c>
      <c r="F44" s="3">
        <f t="shared" ref="F44:F46" si="23">F36*E44</f>
        <v>36000</v>
      </c>
      <c r="G44" s="2">
        <f t="shared" ref="G44:G46" si="24">H36*E44</f>
        <v>27000</v>
      </c>
      <c r="H44" s="2">
        <f t="shared" ref="H44:H46" si="25">J36*E44</f>
        <v>27000</v>
      </c>
      <c r="I44" s="2">
        <f t="shared" ref="I44:I46" si="26">L36*E44</f>
        <v>18000</v>
      </c>
      <c r="J44" s="2"/>
      <c r="K44" s="3"/>
      <c r="L44" s="2"/>
    </row>
    <row r="45" hidden="1">
      <c r="A45" s="71" t="s">
        <v>22</v>
      </c>
      <c r="B45" s="89">
        <f>B42-(B44+B43)</f>
        <v>45264</v>
      </c>
      <c r="C45" s="2"/>
      <c r="D45" s="90" t="s">
        <v>80</v>
      </c>
      <c r="E45" s="90">
        <v>1400.0</v>
      </c>
      <c r="F45" s="3">
        <f t="shared" si="23"/>
        <v>0</v>
      </c>
      <c r="G45" s="2">
        <f t="shared" si="24"/>
        <v>8400</v>
      </c>
      <c r="H45" s="2">
        <f t="shared" si="25"/>
        <v>18900</v>
      </c>
      <c r="I45" s="2">
        <f t="shared" si="26"/>
        <v>10500</v>
      </c>
      <c r="K45" s="3"/>
      <c r="L45" s="2"/>
    </row>
    <row r="46" hidden="1">
      <c r="D46" s="90" t="s">
        <v>73</v>
      </c>
      <c r="E46" s="90">
        <v>1900.0</v>
      </c>
      <c r="F46" s="3">
        <f t="shared" si="23"/>
        <v>0</v>
      </c>
      <c r="G46" s="2">
        <f t="shared" si="24"/>
        <v>19950</v>
      </c>
      <c r="H46" s="2">
        <f t="shared" si="25"/>
        <v>0</v>
      </c>
      <c r="I46" s="2">
        <f t="shared" si="26"/>
        <v>0</v>
      </c>
    </row>
    <row r="47" hidden="1">
      <c r="D47" s="7" t="s">
        <v>18</v>
      </c>
      <c r="E47" s="2"/>
      <c r="F47" s="2">
        <f t="shared" ref="F47:I47" si="27">SUM(F44:F46)</f>
        <v>36000</v>
      </c>
      <c r="G47" s="2">
        <f t="shared" si="27"/>
        <v>55350</v>
      </c>
      <c r="H47" s="2">
        <f t="shared" si="27"/>
        <v>45900</v>
      </c>
      <c r="I47" s="2">
        <f t="shared" si="27"/>
        <v>28500</v>
      </c>
      <c r="J47" s="3">
        <f>SUM(F47:I47)</f>
        <v>165750</v>
      </c>
    </row>
    <row r="49">
      <c r="A49" s="78">
        <v>2023.0</v>
      </c>
    </row>
    <row r="51">
      <c r="A51" s="79" t="s">
        <v>76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hidden="1">
      <c r="A52" s="68" t="s">
        <v>3</v>
      </c>
      <c r="B52" s="69">
        <v>45000.0</v>
      </c>
      <c r="C52" s="2"/>
    </row>
    <row r="53" hidden="1">
      <c r="A53" s="19" t="s">
        <v>21</v>
      </c>
      <c r="B53" s="70">
        <v>0.5</v>
      </c>
      <c r="C53" s="2"/>
      <c r="D53" s="7" t="s">
        <v>4</v>
      </c>
      <c r="E53" s="7" t="s">
        <v>5</v>
      </c>
      <c r="F53" s="7" t="s">
        <v>25</v>
      </c>
      <c r="G53" s="7" t="s">
        <v>5</v>
      </c>
      <c r="H53" s="7" t="s">
        <v>26</v>
      </c>
      <c r="I53" s="7" t="s">
        <v>5</v>
      </c>
      <c r="J53" s="7" t="s">
        <v>27</v>
      </c>
      <c r="K53" s="7" t="s">
        <v>5</v>
      </c>
      <c r="L53" s="7" t="s">
        <v>28</v>
      </c>
    </row>
    <row r="54" hidden="1">
      <c r="A54" s="71" t="s">
        <v>23</v>
      </c>
      <c r="B54" s="24">
        <v>1.5</v>
      </c>
      <c r="C54" s="2"/>
      <c r="D54" s="3" t="s">
        <v>79</v>
      </c>
      <c r="E54" s="3">
        <v>9.0</v>
      </c>
      <c r="F54" s="9">
        <f t="shared" ref="F54:F55" si="28">E54*$B$54</f>
        <v>13.5</v>
      </c>
      <c r="G54" s="3">
        <v>9.0</v>
      </c>
      <c r="H54" s="9">
        <f t="shared" ref="H54:H55" si="29">G54*$B$54</f>
        <v>13.5</v>
      </c>
      <c r="I54" s="9">
        <v>9.0</v>
      </c>
      <c r="J54" s="9">
        <f t="shared" ref="J54:J55" si="30">I54*$B$54</f>
        <v>13.5</v>
      </c>
      <c r="K54" s="9">
        <v>8.0</v>
      </c>
      <c r="L54" s="9">
        <f t="shared" ref="L54:L55" si="31">K54*$B$54</f>
        <v>12</v>
      </c>
    </row>
    <row r="55" hidden="1">
      <c r="C55" s="2"/>
      <c r="D55" s="3" t="s">
        <v>80</v>
      </c>
      <c r="E55" s="3">
        <v>0.0</v>
      </c>
      <c r="F55" s="9">
        <f t="shared" si="28"/>
        <v>0</v>
      </c>
      <c r="G55" s="3">
        <v>0.0</v>
      </c>
      <c r="H55" s="9">
        <f t="shared" si="29"/>
        <v>0</v>
      </c>
      <c r="I55" s="9">
        <v>0.0</v>
      </c>
      <c r="J55" s="9">
        <f t="shared" si="30"/>
        <v>0</v>
      </c>
      <c r="K55" s="9">
        <v>0.0</v>
      </c>
      <c r="L55" s="9">
        <f t="shared" si="31"/>
        <v>0</v>
      </c>
    </row>
    <row r="56" hidden="1">
      <c r="A56" s="72" t="s">
        <v>15</v>
      </c>
      <c r="B56" s="69">
        <v>6.0</v>
      </c>
      <c r="C56" s="2"/>
      <c r="D56" s="3"/>
      <c r="E56" s="3"/>
      <c r="F56" s="9"/>
      <c r="G56" s="3"/>
      <c r="H56" s="9"/>
      <c r="I56" s="9"/>
      <c r="J56" s="9"/>
      <c r="K56" s="9"/>
      <c r="L56" s="9"/>
    </row>
    <row r="57" hidden="1">
      <c r="A57" s="19" t="s">
        <v>17</v>
      </c>
      <c r="B57" s="20">
        <v>3.0</v>
      </c>
      <c r="C57" s="2"/>
      <c r="D57" s="3"/>
      <c r="E57" s="3"/>
      <c r="F57" s="9"/>
      <c r="G57" s="3"/>
      <c r="H57" s="9"/>
      <c r="I57" s="9"/>
      <c r="J57" s="9"/>
      <c r="K57" s="9"/>
      <c r="L57" s="9"/>
    </row>
    <row r="58" hidden="1">
      <c r="A58" s="71" t="s">
        <v>18</v>
      </c>
      <c r="B58" s="24">
        <f>SUM(B56:B57)</f>
        <v>9</v>
      </c>
      <c r="C58" s="2"/>
      <c r="D58" s="3"/>
      <c r="E58" s="3"/>
      <c r="F58" s="9"/>
      <c r="G58" s="3"/>
      <c r="H58" s="9"/>
      <c r="I58" s="9"/>
      <c r="J58" s="9"/>
      <c r="K58" s="9"/>
      <c r="L58" s="9"/>
    </row>
    <row r="59" hidden="1">
      <c r="C59" s="2"/>
      <c r="J59" s="2"/>
      <c r="K59" s="9"/>
      <c r="L59" s="9"/>
    </row>
    <row r="60" hidden="1">
      <c r="A60" s="68" t="s">
        <v>12</v>
      </c>
      <c r="B60" s="82">
        <f>(B56*B52)+(B57*(B52/2))</f>
        <v>337500</v>
      </c>
      <c r="C60" s="2"/>
      <c r="D60" s="7" t="s">
        <v>4</v>
      </c>
      <c r="E60" s="7" t="s">
        <v>20</v>
      </c>
      <c r="F60" s="7" t="s">
        <v>25</v>
      </c>
      <c r="G60" s="7" t="s">
        <v>26</v>
      </c>
      <c r="H60" s="7" t="s">
        <v>27</v>
      </c>
      <c r="I60" s="7" t="s">
        <v>28</v>
      </c>
      <c r="J60" s="2"/>
      <c r="K60" s="2"/>
      <c r="L60" s="2"/>
    </row>
    <row r="61" hidden="1">
      <c r="A61" s="83" t="s">
        <v>21</v>
      </c>
      <c r="B61" s="84">
        <f>(B52*B53)*(B56+(B57/2))</f>
        <v>168750</v>
      </c>
      <c r="C61" s="2"/>
      <c r="D61" s="3" t="s">
        <v>79</v>
      </c>
      <c r="E61" s="3">
        <v>2500.0</v>
      </c>
      <c r="F61" s="3">
        <f t="shared" ref="F61:F62" si="32">F54*E61</f>
        <v>33750</v>
      </c>
      <c r="G61" s="2">
        <f t="shared" ref="G61:G62" si="33">H54*E61</f>
        <v>33750</v>
      </c>
      <c r="H61" s="2">
        <f t="shared" ref="H61:H62" si="34">J54*E61</f>
        <v>33750</v>
      </c>
      <c r="I61" s="2">
        <f t="shared" ref="I61:I62" si="35">L54*E61</f>
        <v>30000</v>
      </c>
      <c r="K61" s="2"/>
      <c r="L61" s="2"/>
    </row>
    <row r="62" hidden="1">
      <c r="A62" s="19" t="s">
        <v>66</v>
      </c>
      <c r="B62" s="88">
        <f>(J63)*1.288</f>
        <v>169050</v>
      </c>
      <c r="C62" s="2"/>
      <c r="D62" s="90" t="s">
        <v>80</v>
      </c>
      <c r="E62" s="90">
        <v>1600.0</v>
      </c>
      <c r="F62" s="3">
        <f t="shared" si="32"/>
        <v>0</v>
      </c>
      <c r="G62" s="2">
        <f t="shared" si="33"/>
        <v>0</v>
      </c>
      <c r="H62" s="2">
        <f t="shared" si="34"/>
        <v>0</v>
      </c>
      <c r="I62" s="2">
        <f t="shared" si="35"/>
        <v>0</v>
      </c>
      <c r="K62" s="3"/>
      <c r="L62" s="2"/>
    </row>
    <row r="63" hidden="1">
      <c r="A63" s="71" t="s">
        <v>22</v>
      </c>
      <c r="B63" s="89">
        <f>B60-(B62+B61)</f>
        <v>-300</v>
      </c>
      <c r="C63" s="2"/>
      <c r="D63" s="7" t="s">
        <v>18</v>
      </c>
      <c r="E63" s="2"/>
      <c r="F63" s="2">
        <f t="shared" ref="F63:I63" si="36">SUM(F61:F62)</f>
        <v>33750</v>
      </c>
      <c r="G63" s="2">
        <f t="shared" si="36"/>
        <v>33750</v>
      </c>
      <c r="H63" s="2">
        <f t="shared" si="36"/>
        <v>33750</v>
      </c>
      <c r="I63" s="2">
        <f t="shared" si="36"/>
        <v>30000</v>
      </c>
      <c r="J63" s="3">
        <f>SUM(F63:I63)</f>
        <v>131250</v>
      </c>
      <c r="K63" s="3"/>
      <c r="L63" s="2"/>
    </row>
    <row r="66">
      <c r="A66" s="86" t="s">
        <v>78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</row>
    <row r="67" hidden="1">
      <c r="A67" s="68" t="s">
        <v>3</v>
      </c>
      <c r="B67" s="69">
        <v>45000.0</v>
      </c>
      <c r="C67" s="2"/>
    </row>
    <row r="68" hidden="1">
      <c r="A68" s="19" t="s">
        <v>21</v>
      </c>
      <c r="B68" s="70">
        <v>0.5</v>
      </c>
      <c r="C68" s="2"/>
      <c r="D68" s="7" t="s">
        <v>4</v>
      </c>
      <c r="E68" s="7" t="s">
        <v>5</v>
      </c>
      <c r="F68" s="7" t="s">
        <v>38</v>
      </c>
      <c r="G68" s="7" t="s">
        <v>5</v>
      </c>
      <c r="H68" s="7" t="s">
        <v>39</v>
      </c>
      <c r="I68" s="7" t="s">
        <v>5</v>
      </c>
      <c r="J68" s="7" t="s">
        <v>40</v>
      </c>
      <c r="K68" s="7" t="s">
        <v>5</v>
      </c>
      <c r="L68" s="7" t="s">
        <v>41</v>
      </c>
    </row>
    <row r="69" hidden="1">
      <c r="A69" s="71" t="s">
        <v>23</v>
      </c>
      <c r="B69" s="24">
        <v>1.5</v>
      </c>
      <c r="C69" s="2"/>
      <c r="D69" s="3" t="s">
        <v>79</v>
      </c>
      <c r="E69" s="3">
        <v>9.0</v>
      </c>
      <c r="F69" s="9">
        <f t="shared" ref="F69:F70" si="37">E69*$B$36</f>
        <v>13.5</v>
      </c>
      <c r="G69" s="3">
        <v>8.0</v>
      </c>
      <c r="H69" s="9">
        <f t="shared" ref="H69:H70" si="38">G69*$B$36</f>
        <v>12</v>
      </c>
      <c r="I69" s="9">
        <v>9.0</v>
      </c>
      <c r="J69" s="9">
        <f t="shared" ref="J69:J70" si="39">I69*$B$36</f>
        <v>13.5</v>
      </c>
      <c r="K69" s="9">
        <v>10.0</v>
      </c>
      <c r="L69" s="9">
        <f t="shared" ref="L69:L70" si="40">K69*$B$36</f>
        <v>15</v>
      </c>
    </row>
    <row r="70" hidden="1">
      <c r="C70" s="2"/>
      <c r="D70" s="3" t="s">
        <v>80</v>
      </c>
      <c r="E70" s="3">
        <v>0.0</v>
      </c>
      <c r="F70" s="9">
        <f t="shared" si="37"/>
        <v>0</v>
      </c>
      <c r="G70" s="3">
        <v>0.0</v>
      </c>
      <c r="H70" s="9">
        <f t="shared" si="38"/>
        <v>0</v>
      </c>
      <c r="I70" s="9">
        <v>0.0</v>
      </c>
      <c r="J70" s="9">
        <f t="shared" si="39"/>
        <v>0</v>
      </c>
      <c r="K70" s="9">
        <v>0.0</v>
      </c>
      <c r="L70" s="9">
        <f t="shared" si="40"/>
        <v>0</v>
      </c>
    </row>
    <row r="71" hidden="1">
      <c r="A71" s="72" t="s">
        <v>15</v>
      </c>
      <c r="B71" s="69">
        <v>3.0</v>
      </c>
      <c r="C71" s="2"/>
      <c r="D71" s="3"/>
      <c r="E71" s="3"/>
      <c r="F71" s="9"/>
      <c r="G71" s="3"/>
      <c r="H71" s="9"/>
      <c r="I71" s="9"/>
      <c r="J71" s="9"/>
      <c r="K71" s="9"/>
      <c r="L71" s="9"/>
    </row>
    <row r="72" hidden="1">
      <c r="A72" s="19" t="s">
        <v>17</v>
      </c>
      <c r="B72" s="20">
        <v>0.0</v>
      </c>
      <c r="C72" s="2"/>
      <c r="D72" s="3"/>
      <c r="E72" s="3"/>
      <c r="F72" s="9"/>
      <c r="G72" s="3"/>
      <c r="H72" s="9"/>
      <c r="I72" s="9"/>
      <c r="J72" s="9"/>
      <c r="K72" s="9"/>
      <c r="L72" s="9"/>
    </row>
    <row r="73" hidden="1">
      <c r="A73" s="71" t="s">
        <v>18</v>
      </c>
      <c r="B73" s="24">
        <f>SUM(B71:B72)</f>
        <v>3</v>
      </c>
      <c r="C73" s="2"/>
      <c r="D73" s="3"/>
      <c r="E73" s="3"/>
      <c r="F73" s="9"/>
      <c r="G73" s="3"/>
      <c r="H73" s="9"/>
      <c r="I73" s="9"/>
      <c r="J73" s="9"/>
      <c r="K73" s="9"/>
      <c r="L73" s="9"/>
    </row>
    <row r="74" hidden="1">
      <c r="C74" s="2"/>
      <c r="J74" s="2"/>
      <c r="K74" s="9"/>
      <c r="L74" s="9"/>
    </row>
    <row r="75" hidden="1">
      <c r="A75" s="68" t="s">
        <v>12</v>
      </c>
      <c r="B75" s="82">
        <f>(B71*B67)+(B72*(B67/2))</f>
        <v>135000</v>
      </c>
      <c r="C75" s="2"/>
      <c r="D75" s="7" t="s">
        <v>4</v>
      </c>
      <c r="E75" s="7" t="s">
        <v>20</v>
      </c>
      <c r="F75" s="7" t="s">
        <v>38</v>
      </c>
      <c r="G75" s="7" t="s">
        <v>39</v>
      </c>
      <c r="H75" s="7" t="s">
        <v>40</v>
      </c>
      <c r="I75" s="7" t="s">
        <v>41</v>
      </c>
      <c r="J75" s="2"/>
      <c r="K75" s="2"/>
      <c r="L75" s="2"/>
    </row>
    <row r="76" hidden="1">
      <c r="A76" s="83" t="s">
        <v>21</v>
      </c>
      <c r="B76" s="84">
        <f>(B67*B68)*(B71+(B72/2))</f>
        <v>67500</v>
      </c>
      <c r="C76" s="2"/>
      <c r="D76" s="3" t="s">
        <v>79</v>
      </c>
      <c r="E76" s="3">
        <v>2500.0</v>
      </c>
      <c r="F76" s="3">
        <f t="shared" ref="F76:F77" si="41">F69*E76</f>
        <v>33750</v>
      </c>
      <c r="G76" s="2">
        <f t="shared" ref="G76:G77" si="42">H69*E76</f>
        <v>30000</v>
      </c>
      <c r="H76" s="2">
        <f t="shared" ref="H76:H77" si="43">J69*E76</f>
        <v>33750</v>
      </c>
      <c r="I76" s="2">
        <f t="shared" ref="I76:I77" si="44">L69*E76</f>
        <v>37500</v>
      </c>
      <c r="K76" s="2"/>
      <c r="L76" s="2"/>
    </row>
    <row r="77" hidden="1">
      <c r="A77" s="19" t="s">
        <v>66</v>
      </c>
      <c r="B77" s="88">
        <f>(J78)*1.288</f>
        <v>173880</v>
      </c>
      <c r="C77" s="2"/>
      <c r="D77" s="90" t="s">
        <v>80</v>
      </c>
      <c r="E77" s="90">
        <v>1600.0</v>
      </c>
      <c r="F77" s="3">
        <f t="shared" si="41"/>
        <v>0</v>
      </c>
      <c r="G77" s="2">
        <f t="shared" si="42"/>
        <v>0</v>
      </c>
      <c r="H77" s="2">
        <f t="shared" si="43"/>
        <v>0</v>
      </c>
      <c r="I77" s="2">
        <f t="shared" si="44"/>
        <v>0</v>
      </c>
      <c r="K77" s="3"/>
      <c r="L77" s="2"/>
    </row>
    <row r="78" hidden="1">
      <c r="A78" s="71" t="s">
        <v>22</v>
      </c>
      <c r="B78" s="89">
        <f>B75-(B77+B76)</f>
        <v>-106380</v>
      </c>
      <c r="C78" s="2"/>
      <c r="D78" s="7" t="s">
        <v>18</v>
      </c>
      <c r="E78" s="2"/>
      <c r="F78" s="2">
        <f t="shared" ref="F78:I78" si="45">SUM(F76:F77)</f>
        <v>33750</v>
      </c>
      <c r="G78" s="2">
        <f t="shared" si="45"/>
        <v>30000</v>
      </c>
      <c r="H78" s="2">
        <f t="shared" si="45"/>
        <v>33750</v>
      </c>
      <c r="I78" s="2">
        <f t="shared" si="45"/>
        <v>37500</v>
      </c>
      <c r="J78" s="3">
        <f>SUM(F78:I78)</f>
        <v>135000</v>
      </c>
      <c r="K78" s="3"/>
      <c r="L78" s="2"/>
    </row>
    <row r="81">
      <c r="A81" s="66" t="s">
        <v>70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</row>
    <row r="82" hidden="1">
      <c r="A82" s="68" t="s">
        <v>3</v>
      </c>
      <c r="B82" s="69">
        <v>50000.0</v>
      </c>
      <c r="C82" s="2"/>
    </row>
    <row r="83" hidden="1">
      <c r="A83" s="19" t="s">
        <v>21</v>
      </c>
      <c r="B83" s="70">
        <v>0.5</v>
      </c>
      <c r="C83" s="2"/>
      <c r="D83" s="7" t="s">
        <v>4</v>
      </c>
      <c r="E83" s="7" t="s">
        <v>5</v>
      </c>
      <c r="F83" s="7" t="s">
        <v>6</v>
      </c>
      <c r="G83" s="7" t="s">
        <v>5</v>
      </c>
      <c r="H83" s="7" t="s">
        <v>7</v>
      </c>
      <c r="I83" s="7" t="s">
        <v>5</v>
      </c>
      <c r="J83" s="7" t="s">
        <v>8</v>
      </c>
      <c r="K83" s="7" t="s">
        <v>5</v>
      </c>
      <c r="L83" s="7" t="s">
        <v>9</v>
      </c>
    </row>
    <row r="84" hidden="1">
      <c r="A84" s="71" t="s">
        <v>23</v>
      </c>
      <c r="B84" s="24">
        <v>1.5</v>
      </c>
      <c r="C84" s="2"/>
      <c r="D84" s="3" t="s">
        <v>79</v>
      </c>
      <c r="E84" s="3">
        <v>11.0</v>
      </c>
      <c r="F84" s="9">
        <f t="shared" ref="F84:F86" si="46">E84*$B$36</f>
        <v>16.5</v>
      </c>
      <c r="G84" s="3">
        <v>13.0</v>
      </c>
      <c r="H84" s="9">
        <f t="shared" ref="H84:H86" si="47">G84*$B$36</f>
        <v>19.5</v>
      </c>
      <c r="I84" s="9">
        <v>9.0</v>
      </c>
      <c r="J84" s="9">
        <f t="shared" ref="J84:J86" si="48">I84*$B$36</f>
        <v>13.5</v>
      </c>
      <c r="K84" s="9">
        <v>9.0</v>
      </c>
      <c r="L84" s="9">
        <f t="shared" ref="L84:L86" si="49">K84*$B$36</f>
        <v>13.5</v>
      </c>
    </row>
    <row r="85" hidden="1">
      <c r="C85" s="2"/>
      <c r="D85" s="3" t="s">
        <v>80</v>
      </c>
      <c r="E85" s="3">
        <v>4.0</v>
      </c>
      <c r="F85" s="9">
        <f t="shared" si="46"/>
        <v>6</v>
      </c>
      <c r="G85" s="3">
        <v>0.0</v>
      </c>
      <c r="H85" s="9">
        <f t="shared" si="47"/>
        <v>0</v>
      </c>
      <c r="I85" s="9">
        <v>0.0</v>
      </c>
      <c r="J85" s="9">
        <f t="shared" si="48"/>
        <v>0</v>
      </c>
      <c r="K85" s="9">
        <v>0.0</v>
      </c>
      <c r="L85" s="9">
        <f t="shared" si="49"/>
        <v>0</v>
      </c>
    </row>
    <row r="86" hidden="1">
      <c r="A86" s="72" t="s">
        <v>15</v>
      </c>
      <c r="B86" s="69">
        <v>18.0</v>
      </c>
      <c r="C86" s="2"/>
      <c r="D86" s="3" t="s">
        <v>73</v>
      </c>
      <c r="E86" s="3">
        <v>10.0</v>
      </c>
      <c r="F86" s="9">
        <f t="shared" si="46"/>
        <v>15</v>
      </c>
      <c r="G86" s="3">
        <v>13.0</v>
      </c>
      <c r="H86" s="9">
        <f t="shared" si="47"/>
        <v>19.5</v>
      </c>
      <c r="I86" s="9">
        <v>9.0</v>
      </c>
      <c r="J86" s="9">
        <f t="shared" si="48"/>
        <v>13.5</v>
      </c>
      <c r="K86" s="9">
        <v>9.0</v>
      </c>
      <c r="L86" s="9">
        <f t="shared" si="49"/>
        <v>13.5</v>
      </c>
    </row>
    <row r="87" hidden="1">
      <c r="A87" s="19" t="s">
        <v>17</v>
      </c>
      <c r="B87" s="20">
        <v>0.0</v>
      </c>
      <c r="C87" s="2"/>
      <c r="D87" s="3"/>
      <c r="E87" s="3"/>
      <c r="F87" s="9"/>
      <c r="G87" s="3"/>
      <c r="H87" s="9"/>
      <c r="I87" s="9"/>
      <c r="J87" s="9"/>
      <c r="K87" s="9"/>
      <c r="L87" s="9"/>
    </row>
    <row r="88" hidden="1">
      <c r="A88" s="71" t="s">
        <v>18</v>
      </c>
      <c r="B88" s="24">
        <f>SUM(B86:B87)</f>
        <v>18</v>
      </c>
      <c r="C88" s="2"/>
      <c r="K88" s="9"/>
      <c r="L88" s="9"/>
    </row>
    <row r="89" hidden="1">
      <c r="C89" s="2"/>
      <c r="J89" s="2"/>
      <c r="K89" s="9"/>
      <c r="L89" s="9"/>
    </row>
    <row r="90" hidden="1">
      <c r="A90" s="68" t="s">
        <v>12</v>
      </c>
      <c r="B90" s="73">
        <f>(B86*B82)+(B87*(B82/2))</f>
        <v>900000</v>
      </c>
      <c r="C90" s="2"/>
      <c r="D90" s="7" t="s">
        <v>4</v>
      </c>
      <c r="E90" s="7" t="s">
        <v>20</v>
      </c>
      <c r="F90" s="7" t="s">
        <v>6</v>
      </c>
      <c r="G90" s="7" t="s">
        <v>7</v>
      </c>
      <c r="H90" s="7" t="s">
        <v>8</v>
      </c>
      <c r="I90" s="7" t="s">
        <v>9</v>
      </c>
      <c r="J90" s="2"/>
      <c r="K90" s="2"/>
      <c r="L90" s="2"/>
    </row>
    <row r="91" hidden="1">
      <c r="A91" s="83" t="s">
        <v>21</v>
      </c>
      <c r="B91" s="91">
        <f>(B82*B83)*(B86+(B87/2))</f>
        <v>450000</v>
      </c>
      <c r="C91" s="2"/>
      <c r="D91" s="3" t="s">
        <v>79</v>
      </c>
      <c r="E91" s="3">
        <v>2500.0</v>
      </c>
      <c r="F91" s="3">
        <f t="shared" ref="F91:F93" si="50">F84*E91</f>
        <v>41250</v>
      </c>
      <c r="G91" s="2">
        <f t="shared" ref="G91:G93" si="51">H84*E91</f>
        <v>48750</v>
      </c>
      <c r="H91" s="2">
        <f t="shared" ref="H91:H93" si="52">J84*E91</f>
        <v>33750</v>
      </c>
      <c r="I91" s="2">
        <f t="shared" ref="I91:I93" si="53">L84*E91</f>
        <v>33750</v>
      </c>
      <c r="J91" s="57">
        <f t="shared" ref="J91:J94" si="54">SUM(F91:I91)</f>
        <v>157500</v>
      </c>
      <c r="K91" s="2"/>
      <c r="L91" s="2"/>
    </row>
    <row r="92" hidden="1">
      <c r="A92" s="19" t="s">
        <v>66</v>
      </c>
      <c r="B92" s="75">
        <f>(J94)*1.288</f>
        <v>350078.4</v>
      </c>
      <c r="C92" s="2"/>
      <c r="D92" s="90" t="s">
        <v>80</v>
      </c>
      <c r="E92" s="90">
        <v>2000.0</v>
      </c>
      <c r="F92" s="3">
        <f t="shared" si="50"/>
        <v>12000</v>
      </c>
      <c r="G92" s="2">
        <f t="shared" si="51"/>
        <v>0</v>
      </c>
      <c r="H92" s="2">
        <f t="shared" si="52"/>
        <v>0</v>
      </c>
      <c r="I92" s="2">
        <f t="shared" si="53"/>
        <v>0</v>
      </c>
      <c r="J92" s="57">
        <f t="shared" si="54"/>
        <v>12000</v>
      </c>
      <c r="K92" s="3"/>
      <c r="L92" s="2"/>
    </row>
    <row r="93" hidden="1">
      <c r="A93" s="71" t="s">
        <v>22</v>
      </c>
      <c r="B93" s="76">
        <f>B90-(B92+B91)</f>
        <v>99921.6</v>
      </c>
      <c r="C93" s="2"/>
      <c r="D93" s="90" t="s">
        <v>73</v>
      </c>
      <c r="E93" s="90">
        <v>2200.0</v>
      </c>
      <c r="F93" s="3">
        <f t="shared" si="50"/>
        <v>33000</v>
      </c>
      <c r="G93" s="2">
        <f t="shared" si="51"/>
        <v>42900</v>
      </c>
      <c r="H93" s="2">
        <f t="shared" si="52"/>
        <v>29700</v>
      </c>
      <c r="I93" s="2">
        <f t="shared" si="53"/>
        <v>29700</v>
      </c>
      <c r="J93" s="57">
        <f t="shared" si="54"/>
        <v>135300</v>
      </c>
      <c r="K93" s="3"/>
      <c r="L93" s="2"/>
    </row>
    <row r="94">
      <c r="D94" s="7" t="s">
        <v>18</v>
      </c>
      <c r="E94" s="2"/>
      <c r="F94" s="2">
        <f>SUM(F91:F92)</f>
        <v>53250</v>
      </c>
      <c r="G94" s="2">
        <f t="shared" ref="G94:I94" si="55">SUM(G91:G93)</f>
        <v>91650</v>
      </c>
      <c r="H94" s="2">
        <f t="shared" si="55"/>
        <v>63450</v>
      </c>
      <c r="I94" s="2">
        <f t="shared" si="55"/>
        <v>63450</v>
      </c>
      <c r="J94" s="3">
        <f t="shared" si="54"/>
        <v>271800</v>
      </c>
    </row>
    <row r="96">
      <c r="A96" s="78">
        <v>2024.0</v>
      </c>
    </row>
    <row r="98">
      <c r="A98" s="79" t="s">
        <v>76</v>
      </c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hidden="1">
      <c r="A99" s="68" t="s">
        <v>3</v>
      </c>
      <c r="B99" s="69">
        <v>50000.0</v>
      </c>
      <c r="C99" s="2"/>
    </row>
    <row r="100" hidden="1">
      <c r="A100" s="19" t="s">
        <v>21</v>
      </c>
      <c r="B100" s="70">
        <v>0.5</v>
      </c>
      <c r="C100" s="2"/>
      <c r="D100" s="7" t="s">
        <v>4</v>
      </c>
      <c r="E100" s="7" t="s">
        <v>5</v>
      </c>
      <c r="F100" s="7" t="s">
        <v>25</v>
      </c>
      <c r="G100" s="7" t="s">
        <v>5</v>
      </c>
      <c r="H100" s="7" t="s">
        <v>26</v>
      </c>
      <c r="I100" s="7" t="s">
        <v>5</v>
      </c>
      <c r="J100" s="7" t="s">
        <v>27</v>
      </c>
      <c r="K100" s="7" t="s">
        <v>5</v>
      </c>
      <c r="L100" s="7" t="s">
        <v>28</v>
      </c>
    </row>
    <row r="101" hidden="1">
      <c r="A101" s="71" t="s">
        <v>23</v>
      </c>
      <c r="B101" s="24">
        <v>1.5</v>
      </c>
      <c r="C101" s="2"/>
      <c r="D101" s="3" t="s">
        <v>79</v>
      </c>
      <c r="E101" s="3">
        <v>13.0</v>
      </c>
      <c r="F101" s="9">
        <f t="shared" ref="F101:F103" si="56">E101*$B$36</f>
        <v>19.5</v>
      </c>
      <c r="G101" s="3">
        <v>12.0</v>
      </c>
      <c r="H101" s="9">
        <f t="shared" ref="H101:H103" si="57">G101*$B$36</f>
        <v>18</v>
      </c>
      <c r="I101" s="9">
        <v>13.0</v>
      </c>
      <c r="J101" s="9">
        <f t="shared" ref="J101:J103" si="58">I101*$B$36</f>
        <v>19.5</v>
      </c>
      <c r="K101" s="9">
        <v>13.0</v>
      </c>
      <c r="L101" s="9">
        <f t="shared" ref="L101:L103" si="59">K101*$B$36</f>
        <v>19.5</v>
      </c>
    </row>
    <row r="102" hidden="1">
      <c r="C102" s="2"/>
      <c r="D102" s="3" t="s">
        <v>80</v>
      </c>
      <c r="E102" s="3">
        <v>0.0</v>
      </c>
      <c r="F102" s="9">
        <f t="shared" si="56"/>
        <v>0</v>
      </c>
      <c r="G102" s="3">
        <v>0.0</v>
      </c>
      <c r="H102" s="9">
        <f t="shared" si="57"/>
        <v>0</v>
      </c>
      <c r="I102" s="9">
        <v>0.0</v>
      </c>
      <c r="J102" s="9">
        <f t="shared" si="58"/>
        <v>0</v>
      </c>
      <c r="K102" s="9">
        <v>0.0</v>
      </c>
      <c r="L102" s="9">
        <f t="shared" si="59"/>
        <v>0</v>
      </c>
    </row>
    <row r="103" hidden="1">
      <c r="A103" s="72" t="s">
        <v>15</v>
      </c>
      <c r="B103" s="69">
        <v>7.0</v>
      </c>
      <c r="C103" s="2"/>
      <c r="D103" s="3" t="s">
        <v>73</v>
      </c>
      <c r="E103" s="3">
        <v>13.0</v>
      </c>
      <c r="F103" s="9">
        <f t="shared" si="56"/>
        <v>19.5</v>
      </c>
      <c r="G103" s="3">
        <v>12.0</v>
      </c>
      <c r="H103" s="9">
        <f t="shared" si="57"/>
        <v>18</v>
      </c>
      <c r="I103" s="9">
        <v>13.0</v>
      </c>
      <c r="J103" s="9">
        <f t="shared" si="58"/>
        <v>19.5</v>
      </c>
      <c r="K103" s="9">
        <v>13.0</v>
      </c>
      <c r="L103" s="9">
        <f t="shared" si="59"/>
        <v>19.5</v>
      </c>
    </row>
    <row r="104" hidden="1">
      <c r="A104" s="19" t="s">
        <v>17</v>
      </c>
      <c r="B104" s="20">
        <v>0.0</v>
      </c>
      <c r="C104" s="2"/>
      <c r="D104" s="3"/>
      <c r="E104" s="3"/>
      <c r="F104" s="9"/>
      <c r="G104" s="3"/>
      <c r="H104" s="9"/>
      <c r="I104" s="9"/>
      <c r="J104" s="9"/>
      <c r="K104" s="9"/>
      <c r="L104" s="9"/>
    </row>
    <row r="105" hidden="1">
      <c r="A105" s="71" t="s">
        <v>18</v>
      </c>
      <c r="B105" s="24">
        <f>SUM(B103:B104)</f>
        <v>7</v>
      </c>
      <c r="C105" s="2"/>
      <c r="D105" s="3"/>
      <c r="E105" s="3"/>
      <c r="F105" s="9"/>
      <c r="G105" s="3"/>
      <c r="H105" s="9"/>
      <c r="I105" s="9"/>
      <c r="J105" s="9"/>
      <c r="K105" s="9"/>
      <c r="L105" s="9"/>
    </row>
    <row r="106" hidden="1">
      <c r="C106" s="2"/>
      <c r="D106" s="7" t="s">
        <v>4</v>
      </c>
      <c r="E106" s="7" t="s">
        <v>20</v>
      </c>
      <c r="F106" s="7" t="s">
        <v>25</v>
      </c>
      <c r="G106" s="7" t="s">
        <v>26</v>
      </c>
      <c r="H106" s="7" t="s">
        <v>27</v>
      </c>
      <c r="I106" s="7" t="s">
        <v>28</v>
      </c>
      <c r="J106" s="2"/>
      <c r="K106" s="2"/>
      <c r="L106" s="9"/>
    </row>
    <row r="107" hidden="1">
      <c r="A107" s="68" t="s">
        <v>12</v>
      </c>
      <c r="B107" s="82">
        <f>(B103*B99)+(B104*(B99/2))</f>
        <v>350000</v>
      </c>
      <c r="C107" s="2"/>
      <c r="D107" s="3" t="s">
        <v>79</v>
      </c>
      <c r="E107" s="3">
        <v>3000.0</v>
      </c>
      <c r="F107" s="3">
        <f t="shared" ref="F107:F109" si="60">F101*E107</f>
        <v>58500</v>
      </c>
      <c r="G107" s="2">
        <f t="shared" ref="G107:G109" si="61">H101*E107</f>
        <v>54000</v>
      </c>
      <c r="H107" s="2">
        <f t="shared" ref="H107:H109" si="62">J101*E107</f>
        <v>58500</v>
      </c>
      <c r="I107" s="2">
        <f t="shared" ref="I107:I109" si="63">L101*E107</f>
        <v>58500</v>
      </c>
      <c r="J107" s="57">
        <f t="shared" ref="J107:J110" si="64">SUM(F107:I107)</f>
        <v>229500</v>
      </c>
      <c r="K107" s="2"/>
      <c r="L107" s="2"/>
    </row>
    <row r="108" hidden="1">
      <c r="A108" s="83" t="s">
        <v>21</v>
      </c>
      <c r="B108" s="84">
        <f>(B99*B100)*(B103+(B104/2))</f>
        <v>175000</v>
      </c>
      <c r="C108" s="2"/>
      <c r="D108" s="92" t="s">
        <v>80</v>
      </c>
      <c r="E108" s="92">
        <v>2000.0</v>
      </c>
      <c r="F108" s="93">
        <f t="shared" si="60"/>
        <v>0</v>
      </c>
      <c r="G108" s="94">
        <f t="shared" si="61"/>
        <v>0</v>
      </c>
      <c r="H108" s="94">
        <f t="shared" si="62"/>
        <v>0</v>
      </c>
      <c r="I108" s="94">
        <f t="shared" si="63"/>
        <v>0</v>
      </c>
      <c r="J108" s="95">
        <f t="shared" si="64"/>
        <v>0</v>
      </c>
      <c r="K108" s="96"/>
      <c r="L108" s="2"/>
    </row>
    <row r="109" hidden="1">
      <c r="A109" s="19" t="s">
        <v>66</v>
      </c>
      <c r="B109" s="88">
        <f>(J109)*1.288</f>
        <v>280816.2</v>
      </c>
      <c r="C109" s="2"/>
      <c r="D109" s="90" t="s">
        <v>73</v>
      </c>
      <c r="E109" s="90">
        <v>2850.0</v>
      </c>
      <c r="F109" s="3">
        <f t="shared" si="60"/>
        <v>55575</v>
      </c>
      <c r="G109" s="2">
        <f t="shared" si="61"/>
        <v>51300</v>
      </c>
      <c r="H109" s="2">
        <f t="shared" si="62"/>
        <v>55575</v>
      </c>
      <c r="I109" s="2">
        <f t="shared" si="63"/>
        <v>55575</v>
      </c>
      <c r="J109" s="57">
        <f t="shared" si="64"/>
        <v>218025</v>
      </c>
      <c r="K109" s="3"/>
      <c r="L109" s="2"/>
    </row>
    <row r="110" hidden="1">
      <c r="A110" s="71" t="s">
        <v>22</v>
      </c>
      <c r="B110" s="89">
        <f>B107-(B109+B108)</f>
        <v>-105816.2</v>
      </c>
      <c r="C110" s="2"/>
      <c r="D110" s="7" t="s">
        <v>18</v>
      </c>
      <c r="E110" s="2"/>
      <c r="F110" s="2">
        <f>SUM(F107:F108)</f>
        <v>58500</v>
      </c>
      <c r="G110" s="2">
        <f t="shared" ref="G110:I110" si="65">SUM(G107:G109)</f>
        <v>105300</v>
      </c>
      <c r="H110" s="2">
        <f t="shared" si="65"/>
        <v>114075</v>
      </c>
      <c r="I110" s="2">
        <f t="shared" si="65"/>
        <v>114075</v>
      </c>
      <c r="J110" s="3">
        <f t="shared" si="64"/>
        <v>391950</v>
      </c>
      <c r="L110" s="2"/>
    </row>
    <row r="113">
      <c r="A113" s="86" t="s">
        <v>78</v>
      </c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</row>
    <row r="114" hidden="1">
      <c r="A114" s="68" t="s">
        <v>3</v>
      </c>
      <c r="B114" s="69">
        <v>50000.0</v>
      </c>
      <c r="C114" s="2"/>
    </row>
    <row r="115" hidden="1">
      <c r="A115" s="19" t="s">
        <v>21</v>
      </c>
      <c r="B115" s="70">
        <v>0.5</v>
      </c>
      <c r="C115" s="2"/>
      <c r="D115" s="7" t="s">
        <v>4</v>
      </c>
      <c r="E115" s="7" t="s">
        <v>5</v>
      </c>
      <c r="F115" s="7" t="s">
        <v>38</v>
      </c>
      <c r="G115" s="7" t="s">
        <v>5</v>
      </c>
      <c r="H115" s="7" t="s">
        <v>39</v>
      </c>
      <c r="I115" s="7" t="s">
        <v>5</v>
      </c>
      <c r="J115" s="7" t="s">
        <v>40</v>
      </c>
      <c r="K115" s="7" t="s">
        <v>5</v>
      </c>
      <c r="L115" s="7" t="s">
        <v>41</v>
      </c>
    </row>
    <row r="116" hidden="1">
      <c r="A116" s="71" t="s">
        <v>23</v>
      </c>
      <c r="B116" s="24">
        <v>1.5</v>
      </c>
      <c r="C116" s="2"/>
      <c r="D116" s="3" t="s">
        <v>79</v>
      </c>
      <c r="E116" s="3">
        <v>9.0</v>
      </c>
      <c r="F116" s="9">
        <f t="shared" ref="F116:F118" si="66">E116*$B$36</f>
        <v>13.5</v>
      </c>
      <c r="G116" s="3">
        <v>8.0</v>
      </c>
      <c r="H116" s="9">
        <f t="shared" ref="H116:H118" si="67">G116*$B$36</f>
        <v>12</v>
      </c>
      <c r="I116" s="9">
        <v>9.0</v>
      </c>
      <c r="J116" s="9">
        <f t="shared" ref="J116:J118" si="68">I116*$B$36</f>
        <v>13.5</v>
      </c>
      <c r="K116" s="9">
        <v>9.0</v>
      </c>
      <c r="L116" s="9">
        <f t="shared" ref="L116:L118" si="69">K116*$B$36</f>
        <v>13.5</v>
      </c>
    </row>
    <row r="117" hidden="1">
      <c r="C117" s="2"/>
      <c r="D117" s="3" t="s">
        <v>80</v>
      </c>
      <c r="E117" s="3">
        <v>0.0</v>
      </c>
      <c r="F117" s="9">
        <f t="shared" si="66"/>
        <v>0</v>
      </c>
      <c r="G117" s="3">
        <v>0.0</v>
      </c>
      <c r="H117" s="9">
        <f t="shared" si="67"/>
        <v>0</v>
      </c>
      <c r="I117" s="9">
        <v>0.0</v>
      </c>
      <c r="J117" s="9">
        <f t="shared" si="68"/>
        <v>0</v>
      </c>
      <c r="K117" s="9">
        <v>0.0</v>
      </c>
      <c r="L117" s="9">
        <f t="shared" si="69"/>
        <v>0</v>
      </c>
    </row>
    <row r="118" hidden="1">
      <c r="A118" s="72" t="s">
        <v>15</v>
      </c>
      <c r="B118" s="69">
        <v>3.0</v>
      </c>
      <c r="C118" s="2"/>
      <c r="D118" s="3" t="s">
        <v>73</v>
      </c>
      <c r="E118" s="3">
        <v>9.0</v>
      </c>
      <c r="F118" s="9">
        <f t="shared" si="66"/>
        <v>13.5</v>
      </c>
      <c r="G118" s="3">
        <v>8.0</v>
      </c>
      <c r="H118" s="9">
        <f t="shared" si="67"/>
        <v>12</v>
      </c>
      <c r="I118" s="9">
        <v>9.0</v>
      </c>
      <c r="J118" s="9">
        <f t="shared" si="68"/>
        <v>13.5</v>
      </c>
      <c r="K118" s="9">
        <v>9.0</v>
      </c>
      <c r="L118" s="9">
        <f t="shared" si="69"/>
        <v>13.5</v>
      </c>
    </row>
    <row r="119" hidden="1">
      <c r="A119" s="19" t="s">
        <v>17</v>
      </c>
      <c r="B119" s="20">
        <v>0.0</v>
      </c>
      <c r="C119" s="2"/>
      <c r="D119" s="3"/>
      <c r="E119" s="3"/>
      <c r="F119" s="9"/>
      <c r="G119" s="3"/>
      <c r="H119" s="9"/>
      <c r="I119" s="9"/>
      <c r="J119" s="9"/>
      <c r="K119" s="9"/>
      <c r="L119" s="9"/>
    </row>
    <row r="120" hidden="1">
      <c r="A120" s="71" t="s">
        <v>18</v>
      </c>
      <c r="B120" s="24">
        <f>SUM(B118:B119)</f>
        <v>3</v>
      </c>
      <c r="C120" s="2"/>
      <c r="D120" s="3"/>
      <c r="E120" s="3"/>
      <c r="F120" s="9"/>
      <c r="G120" s="3"/>
      <c r="H120" s="9"/>
      <c r="I120" s="9"/>
      <c r="J120" s="9"/>
      <c r="K120" s="9"/>
      <c r="L120" s="9"/>
    </row>
    <row r="121" hidden="1">
      <c r="C121" s="2"/>
      <c r="D121" s="7" t="s">
        <v>4</v>
      </c>
      <c r="E121" s="7" t="s">
        <v>20</v>
      </c>
      <c r="F121" s="7" t="s">
        <v>38</v>
      </c>
      <c r="G121" s="7" t="s">
        <v>39</v>
      </c>
      <c r="H121" s="7" t="s">
        <v>40</v>
      </c>
      <c r="I121" s="7" t="s">
        <v>41</v>
      </c>
      <c r="J121" s="2"/>
      <c r="K121" s="9"/>
      <c r="L121" s="9"/>
    </row>
    <row r="122" hidden="1">
      <c r="A122" s="68" t="s">
        <v>12</v>
      </c>
      <c r="B122" s="82">
        <f>(B118*B114)+(B119*(B114/2))</f>
        <v>150000</v>
      </c>
      <c r="C122" s="2"/>
      <c r="D122" s="3" t="s">
        <v>79</v>
      </c>
      <c r="E122" s="3">
        <v>3000.0</v>
      </c>
      <c r="F122" s="3">
        <f t="shared" ref="F122:F124" si="70">F116*E122</f>
        <v>40500</v>
      </c>
      <c r="G122" s="2">
        <f t="shared" ref="G122:G124" si="71">H116*E122</f>
        <v>36000</v>
      </c>
      <c r="H122" s="2">
        <f t="shared" ref="H122:H124" si="72">J116*E122</f>
        <v>40500</v>
      </c>
      <c r="I122" s="2">
        <f t="shared" ref="I122:I124" si="73">L116*E122</f>
        <v>40500</v>
      </c>
      <c r="J122" s="57">
        <f t="shared" ref="J122:J125" si="74">SUM(F122:I122)</f>
        <v>157500</v>
      </c>
      <c r="K122" s="2"/>
      <c r="L122" s="2"/>
    </row>
    <row r="123" hidden="1">
      <c r="A123" s="83" t="s">
        <v>21</v>
      </c>
      <c r="B123" s="84">
        <f>(B114*B115)*(B118+(B119/2))</f>
        <v>75000</v>
      </c>
      <c r="C123" s="2"/>
      <c r="D123" s="92" t="s">
        <v>80</v>
      </c>
      <c r="E123" s="92">
        <v>2000.0</v>
      </c>
      <c r="F123" s="93">
        <f t="shared" si="70"/>
        <v>0</v>
      </c>
      <c r="G123" s="94">
        <f t="shared" si="71"/>
        <v>0</v>
      </c>
      <c r="H123" s="94">
        <f t="shared" si="72"/>
        <v>0</v>
      </c>
      <c r="I123" s="94">
        <f t="shared" si="73"/>
        <v>0</v>
      </c>
      <c r="J123" s="95">
        <f t="shared" si="74"/>
        <v>0</v>
      </c>
      <c r="K123" s="2"/>
      <c r="L123" s="2"/>
    </row>
    <row r="124" hidden="1">
      <c r="A124" s="19" t="s">
        <v>66</v>
      </c>
      <c r="B124" s="88">
        <f>(J124)*1.288</f>
        <v>192717</v>
      </c>
      <c r="C124" s="2"/>
      <c r="D124" s="90" t="s">
        <v>73</v>
      </c>
      <c r="E124" s="90">
        <v>2850.0</v>
      </c>
      <c r="F124" s="3">
        <f t="shared" si="70"/>
        <v>38475</v>
      </c>
      <c r="G124" s="2">
        <f t="shared" si="71"/>
        <v>34200</v>
      </c>
      <c r="H124" s="2">
        <f t="shared" si="72"/>
        <v>38475</v>
      </c>
      <c r="I124" s="2">
        <f t="shared" si="73"/>
        <v>38475</v>
      </c>
      <c r="J124" s="57">
        <f t="shared" si="74"/>
        <v>149625</v>
      </c>
      <c r="K124" s="3"/>
      <c r="L124" s="2"/>
    </row>
    <row r="125" hidden="1">
      <c r="A125" s="71" t="s">
        <v>22</v>
      </c>
      <c r="B125" s="89">
        <f>B122-(B124+B123)</f>
        <v>-117717</v>
      </c>
      <c r="C125" s="2"/>
      <c r="D125" s="7" t="s">
        <v>18</v>
      </c>
      <c r="E125" s="2"/>
      <c r="F125" s="2">
        <f>SUM(F122:F123)</f>
        <v>40500</v>
      </c>
      <c r="G125" s="2">
        <f t="shared" ref="G125:I125" si="75">SUM(G122:G124)</f>
        <v>70200</v>
      </c>
      <c r="H125" s="2">
        <f t="shared" si="75"/>
        <v>78975</v>
      </c>
      <c r="I125" s="2">
        <f t="shared" si="75"/>
        <v>78975</v>
      </c>
      <c r="J125" s="3">
        <f t="shared" si="74"/>
        <v>268650</v>
      </c>
      <c r="K125" s="3"/>
      <c r="L125" s="2"/>
    </row>
    <row r="128">
      <c r="A128" s="66" t="s">
        <v>70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</row>
    <row r="129" hidden="1">
      <c r="A129" s="68" t="s">
        <v>3</v>
      </c>
      <c r="B129" s="69">
        <v>50000.0</v>
      </c>
      <c r="C129" s="2"/>
    </row>
    <row r="130" hidden="1">
      <c r="A130" s="19" t="s">
        <v>21</v>
      </c>
      <c r="B130" s="70">
        <v>0.5</v>
      </c>
      <c r="C130" s="2"/>
      <c r="D130" s="7" t="s">
        <v>4</v>
      </c>
      <c r="E130" s="7" t="s">
        <v>5</v>
      </c>
      <c r="F130" s="7" t="s">
        <v>6</v>
      </c>
      <c r="G130" s="7" t="s">
        <v>5</v>
      </c>
      <c r="H130" s="7" t="s">
        <v>7</v>
      </c>
      <c r="I130" s="7" t="s">
        <v>5</v>
      </c>
      <c r="J130" s="7" t="s">
        <v>8</v>
      </c>
      <c r="K130" s="7" t="s">
        <v>5</v>
      </c>
      <c r="L130" s="7" t="s">
        <v>9</v>
      </c>
    </row>
    <row r="131" hidden="1">
      <c r="A131" s="71" t="s">
        <v>23</v>
      </c>
      <c r="B131" s="24">
        <v>1.5</v>
      </c>
      <c r="C131" s="2"/>
      <c r="D131" s="3" t="s">
        <v>79</v>
      </c>
      <c r="E131" s="3">
        <v>8.0</v>
      </c>
      <c r="F131" s="9">
        <f t="shared" ref="F131:F132" si="76">E131*$B$36</f>
        <v>12</v>
      </c>
      <c r="G131" s="3">
        <v>9.0</v>
      </c>
      <c r="H131" s="9">
        <f t="shared" ref="H131:H132" si="77">G131*$B$36</f>
        <v>13.5</v>
      </c>
      <c r="I131" s="9">
        <v>8.0</v>
      </c>
      <c r="J131" s="9">
        <f t="shared" ref="J131:J132" si="78">I131*$B$36</f>
        <v>12</v>
      </c>
      <c r="K131" s="9">
        <v>6.0</v>
      </c>
      <c r="L131" s="9">
        <f t="shared" ref="L131:L132" si="79">K131*$B$36</f>
        <v>9</v>
      </c>
    </row>
    <row r="132" hidden="1">
      <c r="C132" s="2"/>
      <c r="D132" s="3" t="s">
        <v>73</v>
      </c>
      <c r="E132" s="3">
        <v>8.0</v>
      </c>
      <c r="F132" s="9">
        <f t="shared" si="76"/>
        <v>12</v>
      </c>
      <c r="G132" s="3">
        <v>9.0</v>
      </c>
      <c r="H132" s="9">
        <f t="shared" si="77"/>
        <v>13.5</v>
      </c>
      <c r="I132" s="9">
        <v>8.0</v>
      </c>
      <c r="J132" s="9">
        <f t="shared" si="78"/>
        <v>12</v>
      </c>
      <c r="K132" s="9">
        <v>6.0</v>
      </c>
      <c r="L132" s="9">
        <f t="shared" si="79"/>
        <v>9</v>
      </c>
    </row>
    <row r="133" hidden="1">
      <c r="A133" s="72" t="s">
        <v>15</v>
      </c>
      <c r="B133" s="69">
        <v>14.0</v>
      </c>
      <c r="C133" s="2"/>
    </row>
    <row r="134" hidden="1">
      <c r="A134" s="19" t="s">
        <v>17</v>
      </c>
      <c r="B134" s="20">
        <v>3.0</v>
      </c>
      <c r="C134" s="2"/>
      <c r="D134" s="3"/>
      <c r="E134" s="3"/>
      <c r="F134" s="9"/>
      <c r="G134" s="3"/>
      <c r="H134" s="9"/>
      <c r="I134" s="9"/>
      <c r="J134" s="9"/>
      <c r="K134" s="9"/>
      <c r="L134" s="9"/>
    </row>
    <row r="135" hidden="1">
      <c r="A135" s="71" t="s">
        <v>18</v>
      </c>
      <c r="B135" s="24">
        <f>SUM(B133:B134)</f>
        <v>17</v>
      </c>
      <c r="C135" s="2"/>
      <c r="K135" s="9"/>
      <c r="L135" s="9"/>
    </row>
    <row r="136" hidden="1">
      <c r="C136" s="2"/>
      <c r="K136" s="9"/>
      <c r="L136" s="9"/>
    </row>
    <row r="137" hidden="1">
      <c r="A137" s="68" t="s">
        <v>12</v>
      </c>
      <c r="B137" s="73">
        <f>(B133*B129)+(B134*(B129/2))</f>
        <v>775000</v>
      </c>
      <c r="C137" s="2"/>
      <c r="D137" s="7" t="s">
        <v>4</v>
      </c>
      <c r="E137" s="7" t="s">
        <v>20</v>
      </c>
      <c r="F137" s="7" t="s">
        <v>6</v>
      </c>
      <c r="G137" s="7" t="s">
        <v>7</v>
      </c>
      <c r="H137" s="7" t="s">
        <v>8</v>
      </c>
      <c r="I137" s="7" t="s">
        <v>9</v>
      </c>
      <c r="J137" s="2"/>
      <c r="K137" s="2"/>
      <c r="L137" s="2"/>
    </row>
    <row r="138" hidden="1">
      <c r="A138" s="83" t="s">
        <v>21</v>
      </c>
      <c r="B138" s="91">
        <f>(B129*B130)*(B133+(B134/2))</f>
        <v>387500</v>
      </c>
      <c r="C138" s="2"/>
      <c r="D138" s="3" t="s">
        <v>79</v>
      </c>
      <c r="E138" s="3">
        <v>3000.0</v>
      </c>
      <c r="F138" s="3">
        <f t="shared" ref="F138:F139" si="80">F131*E138</f>
        <v>36000</v>
      </c>
      <c r="G138" s="2">
        <f t="shared" ref="G138:G139" si="81">H131*E138</f>
        <v>40500</v>
      </c>
      <c r="H138" s="2">
        <f t="shared" ref="H138:H139" si="82">J131*E138</f>
        <v>36000</v>
      </c>
      <c r="I138" s="2">
        <f t="shared" ref="I138:I139" si="83">L131*E138</f>
        <v>27000</v>
      </c>
      <c r="J138" s="57">
        <f t="shared" ref="J138:J140" si="84">SUM(F138:I138)</f>
        <v>139500</v>
      </c>
      <c r="K138" s="2"/>
      <c r="L138" s="2"/>
    </row>
    <row r="139" hidden="1">
      <c r="A139" s="19" t="s">
        <v>66</v>
      </c>
      <c r="B139" s="75">
        <f>(J140)*1.288</f>
        <v>359352</v>
      </c>
      <c r="C139" s="2"/>
      <c r="D139" s="90" t="s">
        <v>73</v>
      </c>
      <c r="E139" s="90">
        <v>3000.0</v>
      </c>
      <c r="F139" s="3">
        <f t="shared" si="80"/>
        <v>36000</v>
      </c>
      <c r="G139" s="2">
        <f t="shared" si="81"/>
        <v>40500</v>
      </c>
      <c r="H139" s="2">
        <f t="shared" si="82"/>
        <v>36000</v>
      </c>
      <c r="I139" s="2">
        <f t="shared" si="83"/>
        <v>27000</v>
      </c>
      <c r="J139" s="57">
        <f t="shared" si="84"/>
        <v>139500</v>
      </c>
      <c r="K139" s="3"/>
      <c r="L139" s="2"/>
    </row>
    <row r="140" hidden="1">
      <c r="A140" s="71" t="s">
        <v>22</v>
      </c>
      <c r="B140" s="76">
        <f>B137-(B139+B138)</f>
        <v>28148</v>
      </c>
      <c r="C140" s="2"/>
      <c r="D140" s="46" t="s">
        <v>18</v>
      </c>
      <c r="E140" s="41"/>
      <c r="F140" s="41">
        <f t="shared" ref="F140:I140" si="85">SUM(F138:F139)</f>
        <v>72000</v>
      </c>
      <c r="G140" s="41">
        <f t="shared" si="85"/>
        <v>81000</v>
      </c>
      <c r="H140" s="41">
        <f t="shared" si="85"/>
        <v>72000</v>
      </c>
      <c r="I140" s="41">
        <f t="shared" si="85"/>
        <v>54000</v>
      </c>
      <c r="J140" s="40">
        <f t="shared" si="84"/>
        <v>279000</v>
      </c>
      <c r="K140" s="3"/>
      <c r="L140" s="2"/>
    </row>
    <row r="144">
      <c r="A144" s="78">
        <v>2025.0</v>
      </c>
    </row>
    <row r="146">
      <c r="A146" s="79" t="s">
        <v>76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</row>
    <row r="147" hidden="1">
      <c r="A147" s="68" t="s">
        <v>3</v>
      </c>
      <c r="B147" s="69">
        <v>50000.0</v>
      </c>
      <c r="C147" s="2"/>
    </row>
    <row r="148" hidden="1">
      <c r="A148" s="19" t="s">
        <v>21</v>
      </c>
      <c r="B148" s="70">
        <v>0.5</v>
      </c>
      <c r="C148" s="2"/>
      <c r="D148" s="7" t="s">
        <v>4</v>
      </c>
      <c r="E148" s="7" t="s">
        <v>5</v>
      </c>
      <c r="F148" s="7" t="s">
        <v>25</v>
      </c>
      <c r="G148" s="7" t="s">
        <v>5</v>
      </c>
      <c r="H148" s="7" t="s">
        <v>26</v>
      </c>
      <c r="I148" s="7" t="s">
        <v>5</v>
      </c>
      <c r="J148" s="7" t="s">
        <v>27</v>
      </c>
      <c r="K148" s="7" t="s">
        <v>5</v>
      </c>
      <c r="L148" s="7" t="s">
        <v>28</v>
      </c>
    </row>
    <row r="149" hidden="1">
      <c r="A149" s="71" t="s">
        <v>23</v>
      </c>
      <c r="B149" s="24">
        <v>1.5</v>
      </c>
      <c r="C149" s="2"/>
      <c r="D149" s="3" t="s">
        <v>79</v>
      </c>
      <c r="E149" s="3">
        <v>12.0</v>
      </c>
      <c r="F149" s="9">
        <f t="shared" ref="F149:F150" si="86">E149*$B$36</f>
        <v>18</v>
      </c>
      <c r="G149" s="3">
        <v>12.0</v>
      </c>
      <c r="H149" s="9">
        <f t="shared" ref="H149:H150" si="87">G149*$B$36</f>
        <v>18</v>
      </c>
      <c r="I149" s="9">
        <v>13.0</v>
      </c>
      <c r="J149" s="9">
        <f t="shared" ref="J149:J150" si="88">I149*$B$36</f>
        <v>19.5</v>
      </c>
      <c r="K149" s="9">
        <v>9.0</v>
      </c>
      <c r="L149" s="9">
        <f t="shared" ref="L149:L150" si="89">K149*$B$36</f>
        <v>13.5</v>
      </c>
    </row>
    <row r="150" hidden="1">
      <c r="B150" s="2"/>
      <c r="C150" s="2"/>
      <c r="D150" s="3" t="s">
        <v>73</v>
      </c>
      <c r="E150" s="3">
        <v>12.0</v>
      </c>
      <c r="F150" s="9">
        <f t="shared" si="86"/>
        <v>18</v>
      </c>
      <c r="G150" s="3">
        <v>12.0</v>
      </c>
      <c r="H150" s="9">
        <f t="shared" si="87"/>
        <v>18</v>
      </c>
      <c r="I150" s="9">
        <v>13.0</v>
      </c>
      <c r="J150" s="9">
        <f t="shared" si="88"/>
        <v>19.5</v>
      </c>
      <c r="K150" s="9">
        <v>9.0</v>
      </c>
      <c r="L150" s="9">
        <f t="shared" si="89"/>
        <v>13.5</v>
      </c>
    </row>
    <row r="151" hidden="1">
      <c r="A151" s="72" t="s">
        <v>15</v>
      </c>
      <c r="B151" s="69">
        <v>7.0</v>
      </c>
      <c r="C151" s="2"/>
    </row>
    <row r="152" hidden="1">
      <c r="A152" s="19" t="s">
        <v>17</v>
      </c>
      <c r="B152" s="20">
        <v>0.0</v>
      </c>
      <c r="C152" s="2"/>
      <c r="D152" s="3"/>
      <c r="E152" s="3"/>
      <c r="F152" s="9"/>
      <c r="G152" s="3"/>
      <c r="H152" s="9"/>
      <c r="I152" s="9"/>
      <c r="J152" s="9"/>
      <c r="K152" s="9"/>
      <c r="L152" s="9"/>
    </row>
    <row r="153" hidden="1">
      <c r="A153" s="71" t="s">
        <v>18</v>
      </c>
      <c r="B153" s="24">
        <f>SUM(B151:B152)</f>
        <v>7</v>
      </c>
      <c r="C153" s="2"/>
      <c r="D153" s="3"/>
      <c r="E153" s="3"/>
      <c r="F153" s="9"/>
      <c r="G153" s="3"/>
      <c r="H153" s="9"/>
      <c r="I153" s="9"/>
      <c r="J153" s="9"/>
      <c r="K153" s="9"/>
      <c r="L153" s="9"/>
    </row>
    <row r="154" hidden="1">
      <c r="B154" s="2"/>
      <c r="C154" s="2"/>
      <c r="K154" s="2"/>
      <c r="L154" s="9"/>
    </row>
    <row r="155" hidden="1">
      <c r="A155" s="68" t="s">
        <v>12</v>
      </c>
      <c r="B155" s="82">
        <f>B147*B153</f>
        <v>350000</v>
      </c>
      <c r="C155" s="2"/>
      <c r="D155" s="7" t="s">
        <v>4</v>
      </c>
      <c r="E155" s="7" t="s">
        <v>20</v>
      </c>
      <c r="F155" s="7" t="s">
        <v>25</v>
      </c>
      <c r="G155" s="7" t="s">
        <v>26</v>
      </c>
      <c r="H155" s="7" t="s">
        <v>27</v>
      </c>
      <c r="I155" s="7" t="s">
        <v>28</v>
      </c>
      <c r="J155" s="2"/>
      <c r="K155" s="2"/>
      <c r="L155" s="2"/>
    </row>
    <row r="156" hidden="1">
      <c r="A156" s="83" t="s">
        <v>21</v>
      </c>
      <c r="B156" s="18">
        <f>B155*B148</f>
        <v>175000</v>
      </c>
      <c r="C156" s="2"/>
      <c r="D156" s="3" t="s">
        <v>79</v>
      </c>
      <c r="E156" s="3">
        <v>3000.0</v>
      </c>
      <c r="F156" s="3">
        <f t="shared" ref="F156:F157" si="90">F149*E156</f>
        <v>54000</v>
      </c>
      <c r="G156" s="2">
        <f t="shared" ref="G156:G157" si="91">H149*E156</f>
        <v>54000</v>
      </c>
      <c r="H156" s="2">
        <f t="shared" ref="H156:H157" si="92">J149*E156</f>
        <v>58500</v>
      </c>
      <c r="I156" s="2">
        <f t="shared" ref="I156:I157" si="93">L149*E156</f>
        <v>40500</v>
      </c>
      <c r="J156" s="57">
        <f t="shared" ref="J156:J158" si="94">SUM(F156:I156)</f>
        <v>207000</v>
      </c>
      <c r="K156" s="96"/>
      <c r="L156" s="2"/>
    </row>
    <row r="157" hidden="1">
      <c r="A157" s="19" t="s">
        <v>66</v>
      </c>
      <c r="B157" s="88">
        <f>(J157)*1.288</f>
        <v>244398</v>
      </c>
      <c r="C157" s="2"/>
      <c r="D157" s="90" t="s">
        <v>73</v>
      </c>
      <c r="E157" s="90">
        <v>2750.0</v>
      </c>
      <c r="F157" s="3">
        <f t="shared" si="90"/>
        <v>49500</v>
      </c>
      <c r="G157" s="2">
        <f t="shared" si="91"/>
        <v>49500</v>
      </c>
      <c r="H157" s="2">
        <f t="shared" si="92"/>
        <v>53625</v>
      </c>
      <c r="I157" s="2">
        <f t="shared" si="93"/>
        <v>37125</v>
      </c>
      <c r="J157" s="57">
        <f t="shared" si="94"/>
        <v>189750</v>
      </c>
      <c r="K157" s="3"/>
      <c r="L157" s="2"/>
    </row>
    <row r="158" hidden="1">
      <c r="A158" s="71" t="s">
        <v>22</v>
      </c>
      <c r="B158" s="89">
        <f>B155-(B157+B156)</f>
        <v>-69398</v>
      </c>
      <c r="C158" s="2"/>
      <c r="D158" s="7" t="s">
        <v>18</v>
      </c>
      <c r="E158" s="2"/>
      <c r="F158" s="2">
        <f t="shared" ref="F158:I158" si="95">SUM(F156:F157)</f>
        <v>103500</v>
      </c>
      <c r="G158" s="2">
        <f t="shared" si="95"/>
        <v>103500</v>
      </c>
      <c r="H158" s="2">
        <f t="shared" si="95"/>
        <v>112125</v>
      </c>
      <c r="I158" s="2">
        <f t="shared" si="95"/>
        <v>77625</v>
      </c>
      <c r="J158" s="3">
        <f t="shared" si="94"/>
        <v>396750</v>
      </c>
      <c r="L158" s="2"/>
    </row>
    <row r="161">
      <c r="A161" s="86" t="s">
        <v>78</v>
      </c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</row>
    <row r="162">
      <c r="A162" s="68" t="s">
        <v>3</v>
      </c>
      <c r="B162" s="69">
        <v>50000.0</v>
      </c>
      <c r="C162" s="2"/>
    </row>
    <row r="163">
      <c r="A163" s="19" t="s">
        <v>21</v>
      </c>
      <c r="B163" s="70">
        <v>0.5</v>
      </c>
      <c r="C163" s="2"/>
      <c r="D163" s="7" t="s">
        <v>4</v>
      </c>
      <c r="E163" s="7" t="s">
        <v>5</v>
      </c>
      <c r="F163" s="7" t="s">
        <v>38</v>
      </c>
      <c r="G163" s="7" t="s">
        <v>5</v>
      </c>
      <c r="H163" s="7" t="s">
        <v>39</v>
      </c>
      <c r="I163" s="7" t="s">
        <v>5</v>
      </c>
      <c r="J163" s="7" t="s">
        <v>40</v>
      </c>
      <c r="K163" s="7" t="s">
        <v>5</v>
      </c>
      <c r="L163" s="7" t="s">
        <v>41</v>
      </c>
    </row>
    <row r="164">
      <c r="A164" s="71" t="s">
        <v>23</v>
      </c>
      <c r="B164" s="24">
        <v>1.5</v>
      </c>
      <c r="C164" s="2"/>
      <c r="D164" s="3" t="s">
        <v>79</v>
      </c>
      <c r="E164" s="3">
        <v>0.0</v>
      </c>
      <c r="F164" s="9">
        <f t="shared" ref="F164:F166" si="96">E164*$B$36</f>
        <v>0</v>
      </c>
      <c r="G164" s="3">
        <v>0.0</v>
      </c>
      <c r="H164" s="9">
        <f t="shared" ref="H164:H166" si="97">G164*$B$36</f>
        <v>0</v>
      </c>
      <c r="I164" s="9">
        <v>0.0</v>
      </c>
      <c r="J164" s="9">
        <f t="shared" ref="J164:J166" si="98">I164*$B$36</f>
        <v>0</v>
      </c>
      <c r="K164" s="9">
        <v>0.0</v>
      </c>
      <c r="L164" s="9">
        <f t="shared" ref="L164:L166" si="99">K164*$B$36</f>
        <v>0</v>
      </c>
    </row>
    <row r="165">
      <c r="C165" s="2"/>
      <c r="D165" s="3" t="s">
        <v>80</v>
      </c>
      <c r="E165" s="3">
        <v>0.0</v>
      </c>
      <c r="F165" s="9">
        <f t="shared" si="96"/>
        <v>0</v>
      </c>
      <c r="G165" s="3">
        <v>0.0</v>
      </c>
      <c r="H165" s="9">
        <f t="shared" si="97"/>
        <v>0</v>
      </c>
      <c r="I165" s="9">
        <v>0.0</v>
      </c>
      <c r="J165" s="9">
        <f t="shared" si="98"/>
        <v>0</v>
      </c>
      <c r="K165" s="9">
        <v>0.0</v>
      </c>
      <c r="L165" s="9">
        <f t="shared" si="99"/>
        <v>0</v>
      </c>
    </row>
    <row r="166">
      <c r="A166" s="72" t="s">
        <v>15</v>
      </c>
      <c r="B166" s="69">
        <v>2.0</v>
      </c>
      <c r="C166" s="2"/>
      <c r="D166" s="3" t="s">
        <v>73</v>
      </c>
      <c r="E166" s="3">
        <v>9.0</v>
      </c>
      <c r="F166" s="9">
        <f t="shared" si="96"/>
        <v>13.5</v>
      </c>
      <c r="G166" s="3">
        <v>8.0</v>
      </c>
      <c r="H166" s="9">
        <f t="shared" si="97"/>
        <v>12</v>
      </c>
      <c r="I166" s="9">
        <v>10.0</v>
      </c>
      <c r="J166" s="9">
        <f t="shared" si="98"/>
        <v>15</v>
      </c>
      <c r="K166" s="9">
        <v>8.0</v>
      </c>
      <c r="L166" s="9">
        <f t="shared" si="99"/>
        <v>12</v>
      </c>
    </row>
    <row r="167">
      <c r="A167" s="19" t="s">
        <v>17</v>
      </c>
      <c r="B167" s="20">
        <v>0.0</v>
      </c>
      <c r="C167" s="2"/>
      <c r="D167" s="3"/>
      <c r="E167" s="3"/>
      <c r="F167" s="9"/>
      <c r="G167" s="3"/>
      <c r="H167" s="9"/>
      <c r="I167" s="9"/>
      <c r="J167" s="9"/>
      <c r="K167" s="9"/>
      <c r="L167" s="9"/>
    </row>
    <row r="168">
      <c r="A168" s="71" t="s">
        <v>18</v>
      </c>
      <c r="B168" s="24">
        <f>SUM(B166:B167)</f>
        <v>2</v>
      </c>
      <c r="C168" s="2"/>
      <c r="D168" s="3"/>
      <c r="E168" s="3"/>
      <c r="F168" s="9"/>
      <c r="G168" s="3"/>
      <c r="H168" s="9"/>
      <c r="I168" s="9"/>
      <c r="J168" s="9"/>
      <c r="K168" s="9"/>
      <c r="L168" s="9"/>
    </row>
    <row r="169">
      <c r="C169" s="2"/>
      <c r="D169" s="7" t="s">
        <v>4</v>
      </c>
      <c r="E169" s="7" t="s">
        <v>20</v>
      </c>
      <c r="F169" s="7" t="s">
        <v>38</v>
      </c>
      <c r="G169" s="7" t="s">
        <v>39</v>
      </c>
      <c r="H169" s="7" t="s">
        <v>40</v>
      </c>
      <c r="I169" s="7" t="s">
        <v>41</v>
      </c>
      <c r="J169" s="2"/>
      <c r="K169" s="9"/>
      <c r="L169" s="9"/>
    </row>
    <row r="170">
      <c r="A170" s="68" t="s">
        <v>12</v>
      </c>
      <c r="B170" s="82">
        <f>(B166*B162)+(B167*(B162/2))</f>
        <v>100000</v>
      </c>
      <c r="C170" s="2"/>
      <c r="D170" s="3" t="s">
        <v>79</v>
      </c>
      <c r="E170" s="3">
        <v>3000.0</v>
      </c>
      <c r="F170" s="3">
        <f>F164*E170</f>
        <v>0</v>
      </c>
      <c r="G170" s="2">
        <f>H164*E170</f>
        <v>0</v>
      </c>
      <c r="H170" s="2">
        <f>J164*E170</f>
        <v>0</v>
      </c>
      <c r="I170" s="2">
        <f>L164*E170</f>
        <v>0</v>
      </c>
      <c r="J170" s="57">
        <f>SUM(F170:I170)</f>
        <v>0</v>
      </c>
      <c r="K170" s="2"/>
      <c r="L170" s="2"/>
    </row>
    <row r="171">
      <c r="A171" s="83" t="s">
        <v>21</v>
      </c>
      <c r="B171" s="18">
        <f>B170*B163</f>
        <v>50000</v>
      </c>
      <c r="C171" s="2"/>
      <c r="D171" s="92"/>
      <c r="E171" s="92"/>
      <c r="F171" s="92"/>
      <c r="G171" s="94"/>
      <c r="H171" s="94"/>
      <c r="I171" s="94"/>
      <c r="J171" s="95"/>
      <c r="K171" s="2"/>
      <c r="L171" s="2"/>
    </row>
    <row r="172">
      <c r="A172" s="19" t="s">
        <v>66</v>
      </c>
      <c r="B172" s="88">
        <f>(J172)*1.288</f>
        <v>192717</v>
      </c>
      <c r="C172" s="2"/>
      <c r="D172" s="3" t="s">
        <v>73</v>
      </c>
      <c r="E172" s="3">
        <v>2850.0</v>
      </c>
      <c r="F172" s="3">
        <f>F166*E172</f>
        <v>38475</v>
      </c>
      <c r="G172" s="2">
        <f>H166*E172</f>
        <v>34200</v>
      </c>
      <c r="H172" s="2">
        <f>J166*E172</f>
        <v>42750</v>
      </c>
      <c r="I172" s="2">
        <f>L166*E172</f>
        <v>34200</v>
      </c>
      <c r="J172" s="2">
        <f t="shared" ref="J172:J173" si="101">SUM(F172:I172)</f>
        <v>149625</v>
      </c>
      <c r="K172" s="3"/>
      <c r="L172" s="2"/>
    </row>
    <row r="173">
      <c r="A173" s="71" t="s">
        <v>22</v>
      </c>
      <c r="B173" s="89">
        <f>B170-(B172+B171)</f>
        <v>-142717</v>
      </c>
      <c r="C173" s="2"/>
      <c r="D173" s="7" t="s">
        <v>18</v>
      </c>
      <c r="E173" s="2"/>
      <c r="F173" s="2">
        <f>SUM(F170:F171)</f>
        <v>0</v>
      </c>
      <c r="G173" s="2">
        <f t="shared" ref="G173:I173" si="100">SUM(G170:G172)</f>
        <v>34200</v>
      </c>
      <c r="H173" s="2">
        <f t="shared" si="100"/>
        <v>42750</v>
      </c>
      <c r="I173" s="2">
        <f t="shared" si="100"/>
        <v>34200</v>
      </c>
      <c r="J173" s="3">
        <f t="shared" si="101"/>
        <v>111150</v>
      </c>
      <c r="K173" s="3"/>
      <c r="L173" s="2"/>
    </row>
    <row r="176">
      <c r="A176" s="66" t="s">
        <v>70</v>
      </c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</row>
    <row r="177">
      <c r="A177" s="68" t="s">
        <v>3</v>
      </c>
      <c r="B177" s="69">
        <v>50000.0</v>
      </c>
      <c r="C177" s="2"/>
    </row>
    <row r="178">
      <c r="A178" s="19" t="s">
        <v>21</v>
      </c>
      <c r="B178" s="70">
        <v>0.5</v>
      </c>
      <c r="C178" s="2"/>
      <c r="D178" s="7" t="s">
        <v>4</v>
      </c>
      <c r="E178" s="7" t="s">
        <v>5</v>
      </c>
      <c r="F178" s="7" t="s">
        <v>6</v>
      </c>
      <c r="G178" s="7" t="s">
        <v>5</v>
      </c>
      <c r="H178" s="7" t="s">
        <v>7</v>
      </c>
      <c r="I178" s="7" t="s">
        <v>5</v>
      </c>
      <c r="J178" s="7" t="s">
        <v>8</v>
      </c>
      <c r="K178" s="7" t="s">
        <v>5</v>
      </c>
      <c r="L178" s="7" t="s">
        <v>9</v>
      </c>
    </row>
    <row r="179">
      <c r="A179" s="71" t="s">
        <v>23</v>
      </c>
      <c r="B179" s="24">
        <v>1.5</v>
      </c>
      <c r="C179" s="2"/>
      <c r="D179" s="97" t="s">
        <v>79</v>
      </c>
      <c r="E179" s="97">
        <v>0.0</v>
      </c>
      <c r="F179" s="98">
        <f t="shared" ref="F179:F180" si="102">E179*$B$36</f>
        <v>0</v>
      </c>
      <c r="G179" s="97">
        <v>0.0</v>
      </c>
      <c r="H179" s="98">
        <f t="shared" ref="H179:H180" si="103">G179*$B$36</f>
        <v>0</v>
      </c>
      <c r="I179" s="98">
        <v>0.0</v>
      </c>
      <c r="J179" s="98">
        <f t="shared" ref="J179:J180" si="104">I179*$B$36</f>
        <v>0</v>
      </c>
      <c r="K179" s="98">
        <v>0.0</v>
      </c>
      <c r="L179" s="98">
        <f t="shared" ref="L179:L180" si="105">K179*$B$36</f>
        <v>0</v>
      </c>
    </row>
    <row r="180">
      <c r="C180" s="2"/>
      <c r="D180" s="3" t="s">
        <v>73</v>
      </c>
      <c r="E180" s="3">
        <v>0.0</v>
      </c>
      <c r="F180" s="9">
        <f t="shared" si="102"/>
        <v>0</v>
      </c>
      <c r="G180" s="3">
        <v>0.0</v>
      </c>
      <c r="H180" s="9">
        <f t="shared" si="103"/>
        <v>0</v>
      </c>
      <c r="I180" s="9">
        <v>0.0</v>
      </c>
      <c r="J180" s="9">
        <f t="shared" si="104"/>
        <v>0</v>
      </c>
      <c r="K180" s="9">
        <v>0.0</v>
      </c>
      <c r="L180" s="9">
        <f t="shared" si="105"/>
        <v>0</v>
      </c>
    </row>
    <row r="181">
      <c r="A181" s="72" t="s">
        <v>15</v>
      </c>
      <c r="B181" s="69">
        <v>0.0</v>
      </c>
      <c r="C181" s="2"/>
    </row>
    <row r="182">
      <c r="A182" s="19" t="s">
        <v>17</v>
      </c>
      <c r="B182" s="20">
        <v>0.0</v>
      </c>
      <c r="C182" s="2"/>
      <c r="D182" s="3"/>
      <c r="E182" s="3"/>
      <c r="F182" s="9"/>
      <c r="G182" s="3"/>
      <c r="H182" s="9"/>
      <c r="I182" s="9"/>
      <c r="J182" s="9"/>
      <c r="K182" s="9"/>
      <c r="L182" s="9"/>
    </row>
    <row r="183">
      <c r="A183" s="71" t="s">
        <v>18</v>
      </c>
      <c r="B183" s="24">
        <v>0.0</v>
      </c>
      <c r="C183" s="2"/>
      <c r="K183" s="9"/>
      <c r="L183" s="9"/>
    </row>
    <row r="184">
      <c r="C184" s="2"/>
      <c r="K184" s="9"/>
      <c r="L184" s="9"/>
    </row>
    <row r="185">
      <c r="A185" s="68" t="s">
        <v>12</v>
      </c>
      <c r="B185" s="73">
        <f>(B181*B177)+(B182*(B177/2))</f>
        <v>0</v>
      </c>
      <c r="C185" s="2"/>
      <c r="D185" s="7" t="s">
        <v>4</v>
      </c>
      <c r="E185" s="7" t="s">
        <v>20</v>
      </c>
      <c r="F185" s="7" t="s">
        <v>6</v>
      </c>
      <c r="G185" s="7" t="s">
        <v>7</v>
      </c>
      <c r="H185" s="7" t="s">
        <v>8</v>
      </c>
      <c r="I185" s="7" t="s">
        <v>9</v>
      </c>
      <c r="J185" s="2"/>
      <c r="K185" s="2"/>
      <c r="L185" s="2"/>
    </row>
    <row r="186">
      <c r="A186" s="83" t="s">
        <v>21</v>
      </c>
      <c r="B186" s="91">
        <f>(B177*B178)*(B181+(B182/2))</f>
        <v>0</v>
      </c>
      <c r="C186" s="2"/>
      <c r="D186" s="3" t="s">
        <v>79</v>
      </c>
      <c r="E186" s="3">
        <v>3000.0</v>
      </c>
      <c r="F186" s="3">
        <f t="shared" ref="F186:F187" si="106">F179*E186</f>
        <v>0</v>
      </c>
      <c r="G186" s="2">
        <f t="shared" ref="G186:G187" si="107">H179*E186</f>
        <v>0</v>
      </c>
      <c r="H186" s="2">
        <f t="shared" ref="H186:H187" si="108">J179*E186</f>
        <v>0</v>
      </c>
      <c r="I186" s="2">
        <f t="shared" ref="I186:I187" si="109">L179*E186</f>
        <v>0</v>
      </c>
      <c r="J186" s="2">
        <f t="shared" ref="J186:J188" si="110">SUM(F186:I186)</f>
        <v>0</v>
      </c>
      <c r="K186" s="2"/>
      <c r="L186" s="2"/>
    </row>
    <row r="187">
      <c r="A187" s="19" t="s">
        <v>66</v>
      </c>
      <c r="B187" s="75">
        <f>(J188)*1.288</f>
        <v>0</v>
      </c>
      <c r="C187" s="2"/>
      <c r="D187" s="3" t="s">
        <v>73</v>
      </c>
      <c r="E187" s="3">
        <v>3000.0</v>
      </c>
      <c r="F187" s="3">
        <f t="shared" si="106"/>
        <v>0</v>
      </c>
      <c r="G187" s="2">
        <f t="shared" si="107"/>
        <v>0</v>
      </c>
      <c r="H187" s="2">
        <f t="shared" si="108"/>
        <v>0</v>
      </c>
      <c r="I187" s="2">
        <f t="shared" si="109"/>
        <v>0</v>
      </c>
      <c r="J187" s="2">
        <f t="shared" si="110"/>
        <v>0</v>
      </c>
      <c r="K187" s="3"/>
      <c r="L187" s="2"/>
    </row>
    <row r="188">
      <c r="A188" s="71" t="s">
        <v>22</v>
      </c>
      <c r="B188" s="76">
        <f>B185-(B187+B186)</f>
        <v>0</v>
      </c>
      <c r="C188" s="2"/>
      <c r="D188" s="46" t="s">
        <v>18</v>
      </c>
      <c r="E188" s="41"/>
      <c r="F188" s="41">
        <f t="shared" ref="F188:I188" si="111">SUM(F186:F187)</f>
        <v>0</v>
      </c>
      <c r="G188" s="41">
        <f t="shared" si="111"/>
        <v>0</v>
      </c>
      <c r="H188" s="41">
        <f t="shared" si="111"/>
        <v>0</v>
      </c>
      <c r="I188" s="41">
        <f t="shared" si="111"/>
        <v>0</v>
      </c>
      <c r="J188" s="40">
        <f t="shared" si="110"/>
        <v>0</v>
      </c>
      <c r="K188" s="3"/>
      <c r="L188" s="2"/>
    </row>
  </sheetData>
  <mergeCells count="1">
    <mergeCell ref="A1:C1"/>
  </mergeCells>
  <conditionalFormatting sqref="B17 B31 B45 B63 B78 B93 B110 B125 B140 B158 B173 B188">
    <cfRule type="cellIs" dxfId="0" priority="1" operator="lessThan">
      <formula>0</formula>
    </cfRule>
  </conditionalFormatting>
  <conditionalFormatting sqref="B17 B31 B45 B63 B78 B93 B110 B125 B140 B158 B173 B188">
    <cfRule type="cellIs" dxfId="1" priority="2" operator="greaterThanOr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</cols>
  <sheetData>
    <row r="1">
      <c r="A1" s="99" t="s">
        <v>81</v>
      </c>
    </row>
    <row r="3">
      <c r="A3" s="78">
        <v>2022.0</v>
      </c>
    </row>
    <row r="5">
      <c r="A5" s="79" t="s">
        <v>76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hidden="1">
      <c r="A6" s="68" t="s">
        <v>3</v>
      </c>
      <c r="B6" s="69">
        <v>45000.0</v>
      </c>
      <c r="C6" s="2"/>
    </row>
    <row r="7" hidden="1">
      <c r="A7" s="19" t="s">
        <v>21</v>
      </c>
      <c r="B7" s="70">
        <v>0.5</v>
      </c>
      <c r="C7" s="2"/>
      <c r="D7" s="7" t="s">
        <v>4</v>
      </c>
      <c r="E7" s="7" t="s">
        <v>5</v>
      </c>
      <c r="F7" s="7" t="s">
        <v>25</v>
      </c>
      <c r="G7" s="7" t="s">
        <v>5</v>
      </c>
      <c r="H7" s="7" t="s">
        <v>26</v>
      </c>
      <c r="I7" s="7" t="s">
        <v>5</v>
      </c>
      <c r="J7" s="7" t="s">
        <v>27</v>
      </c>
      <c r="K7" s="7" t="s">
        <v>5</v>
      </c>
      <c r="L7" s="7" t="s">
        <v>28</v>
      </c>
      <c r="M7" s="81" t="s">
        <v>77</v>
      </c>
    </row>
    <row r="8" hidden="1">
      <c r="A8" s="71" t="s">
        <v>23</v>
      </c>
      <c r="B8" s="24">
        <v>1.5</v>
      </c>
      <c r="C8" s="2"/>
      <c r="D8" s="40" t="s">
        <v>29</v>
      </c>
      <c r="E8" s="40">
        <v>8.0</v>
      </c>
      <c r="F8" s="100">
        <f t="shared" ref="F8:F9" si="1">E8*$B$8</f>
        <v>12</v>
      </c>
      <c r="G8" s="40">
        <v>8.0</v>
      </c>
      <c r="H8" s="100">
        <f t="shared" ref="H8:H9" si="2">G8*$B$8</f>
        <v>12</v>
      </c>
      <c r="I8" s="100">
        <v>10.0</v>
      </c>
      <c r="J8" s="100">
        <f t="shared" ref="J8:J9" si="3">I8*$B$8</f>
        <v>15</v>
      </c>
      <c r="K8" s="100">
        <v>8.0</v>
      </c>
      <c r="L8" s="100">
        <f t="shared" ref="L8:L9" si="4">K8*$B$8</f>
        <v>12</v>
      </c>
      <c r="M8" s="57">
        <f>F8+H8+J8+L8</f>
        <v>51</v>
      </c>
    </row>
    <row r="9" hidden="1">
      <c r="C9" s="2"/>
      <c r="D9" s="3" t="s">
        <v>32</v>
      </c>
      <c r="E9" s="3">
        <v>0.0</v>
      </c>
      <c r="F9" s="9">
        <f t="shared" si="1"/>
        <v>0</v>
      </c>
      <c r="G9" s="3">
        <v>0.0</v>
      </c>
      <c r="H9" s="9">
        <f t="shared" si="2"/>
        <v>0</v>
      </c>
      <c r="I9" s="9">
        <v>0.0</v>
      </c>
      <c r="J9" s="9">
        <f t="shared" si="3"/>
        <v>0</v>
      </c>
      <c r="K9" s="9">
        <v>0.0</v>
      </c>
      <c r="L9" s="9">
        <f t="shared" si="4"/>
        <v>0</v>
      </c>
    </row>
    <row r="10" hidden="1">
      <c r="A10" s="72" t="s">
        <v>15</v>
      </c>
      <c r="B10" s="69">
        <v>9.0</v>
      </c>
      <c r="C10" s="2"/>
      <c r="D10" s="3"/>
      <c r="E10" s="3"/>
      <c r="F10" s="9"/>
      <c r="G10" s="3"/>
      <c r="H10" s="9"/>
      <c r="I10" s="9"/>
      <c r="J10" s="9"/>
      <c r="K10" s="9"/>
      <c r="L10" s="9"/>
    </row>
    <row r="11" hidden="1">
      <c r="A11" s="19" t="s">
        <v>17</v>
      </c>
      <c r="B11" s="20">
        <v>3.0</v>
      </c>
      <c r="C11" s="2"/>
      <c r="D11" s="3"/>
      <c r="E11" s="3"/>
      <c r="F11" s="9"/>
      <c r="G11" s="3"/>
      <c r="H11" s="9"/>
      <c r="I11" s="9"/>
      <c r="J11" s="9"/>
      <c r="K11" s="9"/>
      <c r="L11" s="9"/>
    </row>
    <row r="12" hidden="1">
      <c r="A12" s="71" t="s">
        <v>18</v>
      </c>
      <c r="B12" s="24">
        <f>SUM(B10:B11)</f>
        <v>12</v>
      </c>
      <c r="C12" s="2"/>
      <c r="D12" s="3"/>
      <c r="E12" s="3"/>
      <c r="F12" s="9"/>
      <c r="G12" s="3"/>
      <c r="H12" s="9"/>
      <c r="I12" s="9"/>
      <c r="J12" s="9"/>
      <c r="K12" s="9"/>
      <c r="L12" s="9"/>
    </row>
    <row r="13" hidden="1">
      <c r="C13" s="2"/>
      <c r="D13" s="3"/>
      <c r="E13" s="3"/>
      <c r="F13" s="9"/>
      <c r="G13" s="3"/>
      <c r="H13" s="9"/>
      <c r="I13" s="9"/>
      <c r="J13" s="9"/>
      <c r="K13" s="9"/>
      <c r="L13" s="9"/>
    </row>
    <row r="14" hidden="1">
      <c r="A14" s="68" t="s">
        <v>12</v>
      </c>
      <c r="B14" s="82">
        <f>(B10*B6)+(B11*(B6/2))</f>
        <v>472500</v>
      </c>
      <c r="C14" s="2"/>
      <c r="D14" s="7" t="s">
        <v>4</v>
      </c>
      <c r="E14" s="7" t="s">
        <v>20</v>
      </c>
      <c r="F14" s="7" t="s">
        <v>25</v>
      </c>
      <c r="G14" s="7" t="s">
        <v>26</v>
      </c>
      <c r="H14" s="7" t="s">
        <v>27</v>
      </c>
      <c r="I14" s="7" t="s">
        <v>28</v>
      </c>
      <c r="J14" s="2"/>
      <c r="K14" s="2"/>
      <c r="L14" s="2"/>
    </row>
    <row r="15" hidden="1">
      <c r="A15" s="83" t="s">
        <v>21</v>
      </c>
      <c r="B15" s="84">
        <f>(B6*B7)*(B10+(B11/2))</f>
        <v>236250</v>
      </c>
      <c r="C15" s="2"/>
      <c r="D15" s="3" t="s">
        <v>29</v>
      </c>
      <c r="E15" s="3">
        <v>2400.0</v>
      </c>
      <c r="F15" s="3">
        <f t="shared" ref="F15:F16" si="5">F8*E15</f>
        <v>28800</v>
      </c>
      <c r="G15" s="2">
        <f t="shared" ref="G15:G16" si="6">H8*E15</f>
        <v>28800</v>
      </c>
      <c r="H15" s="2">
        <f t="shared" ref="H15:H16" si="7">J8*E15</f>
        <v>36000</v>
      </c>
      <c r="I15" s="2">
        <f t="shared" ref="I15:I16" si="8">L8*E15</f>
        <v>28800</v>
      </c>
      <c r="J15" s="2"/>
      <c r="K15" s="2"/>
      <c r="L15" s="2"/>
    </row>
    <row r="16" hidden="1">
      <c r="A16" s="19" t="s">
        <v>66</v>
      </c>
      <c r="B16" s="88">
        <f>(J17)*1.288</f>
        <v>157651.2</v>
      </c>
      <c r="C16" s="2"/>
      <c r="D16" s="45" t="s">
        <v>32</v>
      </c>
      <c r="E16" s="45">
        <v>2400.0</v>
      </c>
      <c r="F16" s="45">
        <f t="shared" si="5"/>
        <v>0</v>
      </c>
      <c r="G16" s="49">
        <f t="shared" si="6"/>
        <v>0</v>
      </c>
      <c r="H16" s="49">
        <f t="shared" si="7"/>
        <v>0</v>
      </c>
      <c r="I16" s="49">
        <f t="shared" si="8"/>
        <v>0</v>
      </c>
      <c r="J16" s="2"/>
      <c r="K16" s="3"/>
      <c r="L16" s="2"/>
    </row>
    <row r="17" hidden="1">
      <c r="A17" s="71" t="s">
        <v>22</v>
      </c>
      <c r="B17" s="89">
        <f>B14-(B16+B15)</f>
        <v>78598.8</v>
      </c>
      <c r="C17" s="2"/>
      <c r="D17" s="7" t="s">
        <v>18</v>
      </c>
      <c r="E17" s="2"/>
      <c r="F17" s="2">
        <f t="shared" ref="F17:I17" si="9">SUM(F15:F16)</f>
        <v>28800</v>
      </c>
      <c r="G17" s="2">
        <f t="shared" si="9"/>
        <v>28800</v>
      </c>
      <c r="H17" s="2">
        <f t="shared" si="9"/>
        <v>36000</v>
      </c>
      <c r="I17" s="2">
        <f t="shared" si="9"/>
        <v>28800</v>
      </c>
      <c r="J17" s="3">
        <f>SUM(F17:I17)</f>
        <v>122400</v>
      </c>
      <c r="K17" s="3"/>
      <c r="L17" s="2"/>
    </row>
    <row r="18">
      <c r="C18" s="2"/>
      <c r="K18" s="3"/>
      <c r="L18" s="2"/>
    </row>
    <row r="19">
      <c r="A19" s="86" t="s">
        <v>78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hidden="1">
      <c r="A20" s="101" t="s">
        <v>3</v>
      </c>
      <c r="B20" s="102">
        <v>45000.0</v>
      </c>
      <c r="C20" s="103"/>
      <c r="D20" s="104"/>
      <c r="E20" s="104"/>
      <c r="F20" s="104"/>
      <c r="G20" s="104"/>
      <c r="H20" s="104"/>
      <c r="I20" s="104"/>
      <c r="J20" s="104"/>
      <c r="K20" s="104"/>
      <c r="L20" s="104"/>
    </row>
    <row r="21" hidden="1">
      <c r="A21" s="105" t="s">
        <v>21</v>
      </c>
      <c r="B21" s="106">
        <v>0.5</v>
      </c>
      <c r="C21" s="103"/>
      <c r="D21" s="107" t="s">
        <v>4</v>
      </c>
      <c r="E21" s="107" t="s">
        <v>5</v>
      </c>
      <c r="F21" s="107" t="s">
        <v>38</v>
      </c>
      <c r="G21" s="107" t="s">
        <v>5</v>
      </c>
      <c r="H21" s="107" t="s">
        <v>39</v>
      </c>
      <c r="I21" s="107" t="s">
        <v>5</v>
      </c>
      <c r="J21" s="107" t="s">
        <v>40</v>
      </c>
      <c r="K21" s="107" t="s">
        <v>5</v>
      </c>
      <c r="L21" s="107" t="s">
        <v>41</v>
      </c>
    </row>
    <row r="22" hidden="1">
      <c r="A22" s="108" t="s">
        <v>23</v>
      </c>
      <c r="B22" s="109">
        <v>1.5</v>
      </c>
      <c r="C22" s="103"/>
      <c r="D22" s="110" t="s">
        <v>29</v>
      </c>
      <c r="E22" s="110">
        <v>0.0</v>
      </c>
      <c r="F22" s="111">
        <f t="shared" ref="F22:F23" si="10">E22*$B$8</f>
        <v>0</v>
      </c>
      <c r="G22" s="110">
        <v>0.0</v>
      </c>
      <c r="H22" s="111">
        <f t="shared" ref="H22:H23" si="11">G22*$B$8</f>
        <v>0</v>
      </c>
      <c r="I22" s="111">
        <v>0.0</v>
      </c>
      <c r="J22" s="111">
        <f t="shared" ref="J22:J23" si="12">I22*$B$8</f>
        <v>0</v>
      </c>
      <c r="K22" s="111">
        <v>0.0</v>
      </c>
      <c r="L22" s="111">
        <f t="shared" ref="L22:L23" si="13">K22*$B$8</f>
        <v>0</v>
      </c>
    </row>
    <row r="23" hidden="1">
      <c r="A23" s="104"/>
      <c r="B23" s="104"/>
      <c r="C23" s="103"/>
      <c r="D23" s="97" t="s">
        <v>32</v>
      </c>
      <c r="E23" s="97">
        <v>0.0</v>
      </c>
      <c r="F23" s="98">
        <f t="shared" si="10"/>
        <v>0</v>
      </c>
      <c r="G23" s="97">
        <v>0.0</v>
      </c>
      <c r="H23" s="98">
        <f t="shared" si="11"/>
        <v>0</v>
      </c>
      <c r="I23" s="98">
        <v>0.0</v>
      </c>
      <c r="J23" s="98">
        <f t="shared" si="12"/>
        <v>0</v>
      </c>
      <c r="K23" s="98">
        <v>0.0</v>
      </c>
      <c r="L23" s="98">
        <f t="shared" si="13"/>
        <v>0</v>
      </c>
    </row>
    <row r="24" hidden="1">
      <c r="A24" s="112" t="s">
        <v>15</v>
      </c>
      <c r="B24" s="102">
        <v>0.0</v>
      </c>
      <c r="C24" s="103"/>
      <c r="D24" s="97"/>
      <c r="E24" s="97"/>
      <c r="F24" s="98"/>
      <c r="G24" s="97"/>
      <c r="H24" s="98"/>
      <c r="I24" s="98"/>
      <c r="J24" s="98"/>
      <c r="K24" s="98"/>
      <c r="L24" s="98"/>
    </row>
    <row r="25" hidden="1">
      <c r="A25" s="105" t="s">
        <v>17</v>
      </c>
      <c r="B25" s="113">
        <v>0.0</v>
      </c>
      <c r="C25" s="103"/>
      <c r="D25" s="97"/>
      <c r="E25" s="97"/>
      <c r="F25" s="98"/>
      <c r="G25" s="97"/>
      <c r="H25" s="98"/>
      <c r="I25" s="98"/>
      <c r="J25" s="98"/>
      <c r="K25" s="98"/>
      <c r="L25" s="98"/>
    </row>
    <row r="26" hidden="1">
      <c r="A26" s="108" t="s">
        <v>18</v>
      </c>
      <c r="B26" s="109">
        <f>SUM(B24:B25)</f>
        <v>0</v>
      </c>
      <c r="C26" s="103"/>
      <c r="D26" s="97"/>
      <c r="E26" s="97"/>
      <c r="F26" s="98"/>
      <c r="G26" s="97"/>
      <c r="H26" s="98"/>
      <c r="I26" s="98"/>
      <c r="J26" s="98"/>
      <c r="K26" s="98"/>
      <c r="L26" s="98"/>
    </row>
    <row r="27" hidden="1">
      <c r="A27" s="104"/>
      <c r="B27" s="104"/>
      <c r="C27" s="103"/>
      <c r="D27" s="97"/>
      <c r="E27" s="97"/>
      <c r="F27" s="98"/>
      <c r="G27" s="97"/>
      <c r="H27" s="98"/>
      <c r="I27" s="98"/>
      <c r="J27" s="98"/>
      <c r="K27" s="98"/>
      <c r="L27" s="98"/>
    </row>
    <row r="28" hidden="1">
      <c r="A28" s="101" t="s">
        <v>12</v>
      </c>
      <c r="B28" s="114">
        <f>(B24*B20)+(B25*(B20/2))</f>
        <v>0</v>
      </c>
      <c r="C28" s="103"/>
      <c r="D28" s="107" t="s">
        <v>4</v>
      </c>
      <c r="E28" s="107" t="s">
        <v>20</v>
      </c>
      <c r="F28" s="107" t="s">
        <v>38</v>
      </c>
      <c r="G28" s="107" t="s">
        <v>39</v>
      </c>
      <c r="H28" s="107" t="s">
        <v>40</v>
      </c>
      <c r="I28" s="107" t="s">
        <v>41</v>
      </c>
      <c r="J28" s="103"/>
      <c r="K28" s="103"/>
      <c r="L28" s="103"/>
    </row>
    <row r="29" hidden="1">
      <c r="A29" s="115" t="s">
        <v>21</v>
      </c>
      <c r="B29" s="116">
        <f>(B20*B21)*B24</f>
        <v>0</v>
      </c>
      <c r="C29" s="103"/>
      <c r="D29" s="97" t="s">
        <v>29</v>
      </c>
      <c r="E29" s="97">
        <v>2200.0</v>
      </c>
      <c r="F29" s="97">
        <f t="shared" ref="F29:F30" si="14">F22*E29</f>
        <v>0</v>
      </c>
      <c r="G29" s="103">
        <f t="shared" ref="G29:G30" si="15">H22*E29</f>
        <v>0</v>
      </c>
      <c r="H29" s="103">
        <f t="shared" ref="H29:H30" si="16">J22*E29</f>
        <v>0</v>
      </c>
      <c r="I29" s="103">
        <f t="shared" ref="I29:I30" si="17">L22*E29</f>
        <v>0</v>
      </c>
      <c r="J29" s="103"/>
      <c r="K29" s="103"/>
      <c r="L29" s="103"/>
    </row>
    <row r="30" hidden="1">
      <c r="A30" s="105" t="s">
        <v>66</v>
      </c>
      <c r="B30" s="113">
        <f>J31</f>
        <v>0</v>
      </c>
      <c r="C30" s="103"/>
      <c r="D30" s="117" t="s">
        <v>32</v>
      </c>
      <c r="E30" s="117">
        <v>2200.0</v>
      </c>
      <c r="F30" s="117">
        <f t="shared" si="14"/>
        <v>0</v>
      </c>
      <c r="G30" s="118">
        <f t="shared" si="15"/>
        <v>0</v>
      </c>
      <c r="H30" s="118">
        <f t="shared" si="16"/>
        <v>0</v>
      </c>
      <c r="I30" s="118">
        <f t="shared" si="17"/>
        <v>0</v>
      </c>
      <c r="J30" s="103"/>
      <c r="K30" s="97"/>
      <c r="L30" s="103"/>
    </row>
    <row r="31" hidden="1">
      <c r="A31" s="108" t="s">
        <v>22</v>
      </c>
      <c r="B31" s="109">
        <f>B28-(B30+B29)</f>
        <v>0</v>
      </c>
      <c r="C31" s="103"/>
      <c r="D31" s="107" t="s">
        <v>18</v>
      </c>
      <c r="E31" s="103"/>
      <c r="F31" s="103">
        <f t="shared" ref="F31:I31" si="18">SUM(F29:F30)</f>
        <v>0</v>
      </c>
      <c r="G31" s="103">
        <f t="shared" si="18"/>
        <v>0</v>
      </c>
      <c r="H31" s="103">
        <f t="shared" si="18"/>
        <v>0</v>
      </c>
      <c r="I31" s="103">
        <f t="shared" si="18"/>
        <v>0</v>
      </c>
      <c r="J31" s="97">
        <f>SUM(F31:I31)</f>
        <v>0</v>
      </c>
      <c r="K31" s="97"/>
      <c r="L31" s="103"/>
    </row>
    <row r="33">
      <c r="A33" s="66" t="s">
        <v>70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hidden="1">
      <c r="A34" s="68" t="s">
        <v>3</v>
      </c>
      <c r="B34" s="69">
        <v>45000.0</v>
      </c>
      <c r="C34" s="2"/>
    </row>
    <row r="35" hidden="1">
      <c r="A35" s="19" t="s">
        <v>21</v>
      </c>
      <c r="B35" s="70">
        <v>0.5</v>
      </c>
      <c r="C35" s="2"/>
      <c r="D35" s="7" t="s">
        <v>4</v>
      </c>
      <c r="E35" s="7" t="s">
        <v>5</v>
      </c>
      <c r="F35" s="7" t="s">
        <v>6</v>
      </c>
      <c r="G35" s="7" t="s">
        <v>5</v>
      </c>
      <c r="H35" s="7" t="s">
        <v>7</v>
      </c>
      <c r="I35" s="7" t="s">
        <v>5</v>
      </c>
      <c r="J35" s="7" t="s">
        <v>8</v>
      </c>
      <c r="K35" s="7" t="s">
        <v>5</v>
      </c>
      <c r="L35" s="7" t="s">
        <v>9</v>
      </c>
    </row>
    <row r="36" hidden="1">
      <c r="A36" s="71" t="s">
        <v>23</v>
      </c>
      <c r="B36" s="24">
        <v>1.5</v>
      </c>
      <c r="C36" s="2"/>
      <c r="D36" s="40" t="s">
        <v>29</v>
      </c>
      <c r="E36" s="40">
        <v>9.0</v>
      </c>
      <c r="F36" s="100">
        <f>E36*$B$36</f>
        <v>13.5</v>
      </c>
      <c r="G36" s="40">
        <v>9.0</v>
      </c>
      <c r="H36" s="100">
        <f t="shared" ref="H36:H37" si="19">G36*$B$8</f>
        <v>13.5</v>
      </c>
      <c r="I36" s="100">
        <v>9.0</v>
      </c>
      <c r="J36" s="100">
        <f t="shared" ref="J36:J37" si="20">I36*$B$8</f>
        <v>13.5</v>
      </c>
      <c r="K36" s="100">
        <v>6.0</v>
      </c>
      <c r="L36" s="100">
        <f t="shared" ref="L36:L37" si="21">K36*$B$8</f>
        <v>9</v>
      </c>
    </row>
    <row r="37" hidden="1">
      <c r="C37" s="2"/>
      <c r="D37" s="3" t="s">
        <v>32</v>
      </c>
      <c r="E37" s="3">
        <v>0.0</v>
      </c>
      <c r="F37" s="9">
        <f>E37*$B$8</f>
        <v>0</v>
      </c>
      <c r="G37" s="3">
        <v>0.0</v>
      </c>
      <c r="H37" s="9">
        <f t="shared" si="19"/>
        <v>0</v>
      </c>
      <c r="I37" s="9">
        <v>0.0</v>
      </c>
      <c r="J37" s="9">
        <f t="shared" si="20"/>
        <v>0</v>
      </c>
      <c r="K37" s="9">
        <v>0.0</v>
      </c>
      <c r="L37" s="9">
        <f t="shared" si="21"/>
        <v>0</v>
      </c>
    </row>
    <row r="38" hidden="1">
      <c r="A38" s="72" t="s">
        <v>15</v>
      </c>
      <c r="B38" s="69">
        <v>19.0</v>
      </c>
      <c r="C38" s="2"/>
      <c r="D38" s="3"/>
      <c r="E38" s="3"/>
      <c r="F38" s="9"/>
      <c r="G38" s="3"/>
      <c r="H38" s="9"/>
      <c r="I38" s="9"/>
      <c r="J38" s="9"/>
      <c r="K38" s="9"/>
      <c r="L38" s="9"/>
    </row>
    <row r="39" hidden="1">
      <c r="A39" s="19" t="s">
        <v>17</v>
      </c>
      <c r="B39" s="20">
        <v>1.0</v>
      </c>
      <c r="C39" s="2"/>
      <c r="D39" s="3"/>
      <c r="E39" s="3"/>
      <c r="F39" s="9"/>
      <c r="G39" s="3"/>
      <c r="H39" s="9"/>
      <c r="I39" s="9"/>
      <c r="J39" s="9"/>
      <c r="K39" s="9"/>
      <c r="L39" s="9"/>
    </row>
    <row r="40" hidden="1">
      <c r="A40" s="71" t="s">
        <v>18</v>
      </c>
      <c r="B40" s="24">
        <f>SUM(B38:B39)</f>
        <v>20</v>
      </c>
      <c r="C40" s="2"/>
      <c r="D40" s="3"/>
      <c r="E40" s="3"/>
      <c r="F40" s="9"/>
      <c r="G40" s="3"/>
      <c r="H40" s="9"/>
      <c r="I40" s="9"/>
      <c r="J40" s="9"/>
      <c r="K40" s="9"/>
      <c r="L40" s="9"/>
    </row>
    <row r="41" hidden="1">
      <c r="C41" s="2"/>
      <c r="D41" s="3"/>
      <c r="E41" s="3"/>
      <c r="F41" s="9"/>
      <c r="G41" s="3"/>
      <c r="H41" s="9"/>
      <c r="I41" s="9"/>
      <c r="J41" s="9"/>
      <c r="K41" s="9"/>
      <c r="L41" s="9"/>
    </row>
    <row r="42" hidden="1">
      <c r="A42" s="68" t="s">
        <v>12</v>
      </c>
      <c r="B42" s="82">
        <f>(B38*B34)+(B39*(B34/2))</f>
        <v>877500</v>
      </c>
      <c r="C42" s="2"/>
      <c r="J42" s="2"/>
      <c r="K42" s="2"/>
      <c r="L42" s="2"/>
    </row>
    <row r="43" hidden="1">
      <c r="A43" s="83" t="s">
        <v>21</v>
      </c>
      <c r="B43" s="84">
        <f>(B34*B35)*B38</f>
        <v>427500</v>
      </c>
      <c r="C43" s="2"/>
      <c r="D43" s="7" t="s">
        <v>4</v>
      </c>
      <c r="E43" s="7" t="s">
        <v>20</v>
      </c>
      <c r="F43" s="7" t="s">
        <v>6</v>
      </c>
      <c r="G43" s="7" t="s">
        <v>7</v>
      </c>
      <c r="H43" s="7" t="s">
        <v>8</v>
      </c>
      <c r="I43" s="7" t="s">
        <v>9</v>
      </c>
      <c r="J43" s="2"/>
      <c r="K43" s="2"/>
      <c r="L43" s="2"/>
    </row>
    <row r="44" hidden="1">
      <c r="A44" s="19" t="s">
        <v>66</v>
      </c>
      <c r="B44" s="20">
        <f>J45*1.288</f>
        <v>159390</v>
      </c>
      <c r="C44" s="2"/>
      <c r="D44" s="3" t="s">
        <v>29</v>
      </c>
      <c r="E44" s="3">
        <v>2500.0</v>
      </c>
      <c r="F44" s="3">
        <f>F36*E44</f>
        <v>33750</v>
      </c>
      <c r="G44" s="2">
        <f>H36*E44</f>
        <v>33750</v>
      </c>
      <c r="H44" s="2">
        <f>J36*E44</f>
        <v>33750</v>
      </c>
      <c r="I44" s="2">
        <f>L36*E44</f>
        <v>22500</v>
      </c>
      <c r="J44" s="2"/>
      <c r="K44" s="3"/>
      <c r="L44" s="2"/>
    </row>
    <row r="45" hidden="1">
      <c r="A45" s="71" t="s">
        <v>22</v>
      </c>
      <c r="B45" s="85">
        <f>B42-(B44+B43)</f>
        <v>290610</v>
      </c>
      <c r="C45" s="2"/>
      <c r="D45" s="46" t="s">
        <v>18</v>
      </c>
      <c r="E45" s="41"/>
      <c r="F45" s="41">
        <f t="shared" ref="F45:I45" si="22">SUM(F44)</f>
        <v>33750</v>
      </c>
      <c r="G45" s="41">
        <f t="shared" si="22"/>
        <v>33750</v>
      </c>
      <c r="H45" s="41">
        <f t="shared" si="22"/>
        <v>33750</v>
      </c>
      <c r="I45" s="41">
        <f t="shared" si="22"/>
        <v>22500</v>
      </c>
      <c r="J45" s="40">
        <f>SUM(F45:I45)</f>
        <v>123750</v>
      </c>
      <c r="K45" s="3"/>
      <c r="L45" s="2"/>
    </row>
    <row r="47">
      <c r="A47" s="78">
        <v>2023.0</v>
      </c>
    </row>
    <row r="49">
      <c r="A49" s="79" t="s">
        <v>76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hidden="1">
      <c r="A50" s="68" t="s">
        <v>3</v>
      </c>
      <c r="B50" s="69">
        <v>45000.0</v>
      </c>
      <c r="C50" s="2"/>
    </row>
    <row r="51" hidden="1">
      <c r="A51" s="19" t="s">
        <v>21</v>
      </c>
      <c r="B51" s="70">
        <v>0.5</v>
      </c>
      <c r="C51" s="2"/>
      <c r="D51" s="7" t="s">
        <v>4</v>
      </c>
      <c r="E51" s="7" t="s">
        <v>5</v>
      </c>
      <c r="F51" s="7" t="s">
        <v>25</v>
      </c>
      <c r="G51" s="7" t="s">
        <v>5</v>
      </c>
      <c r="H51" s="7" t="s">
        <v>26</v>
      </c>
      <c r="I51" s="7" t="s">
        <v>5</v>
      </c>
      <c r="J51" s="7" t="s">
        <v>27</v>
      </c>
      <c r="K51" s="7" t="s">
        <v>5</v>
      </c>
      <c r="L51" s="7" t="s">
        <v>28</v>
      </c>
    </row>
    <row r="52" hidden="1">
      <c r="A52" s="71" t="s">
        <v>23</v>
      </c>
      <c r="B52" s="24">
        <v>1.5</v>
      </c>
      <c r="C52" s="2"/>
      <c r="D52" s="40" t="s">
        <v>29</v>
      </c>
      <c r="E52" s="40">
        <v>9.0</v>
      </c>
      <c r="F52" s="100">
        <f>E52*$B$36</f>
        <v>13.5</v>
      </c>
      <c r="G52" s="40">
        <v>9.0</v>
      </c>
      <c r="H52" s="100">
        <f t="shared" ref="H52:H53" si="23">G52*$B$8</f>
        <v>13.5</v>
      </c>
      <c r="I52" s="100">
        <v>9.0</v>
      </c>
      <c r="J52" s="100">
        <f t="shared" ref="J52:J53" si="24">I52*$B$8</f>
        <v>13.5</v>
      </c>
      <c r="K52" s="100">
        <v>8.0</v>
      </c>
      <c r="L52" s="100">
        <f t="shared" ref="L52:L53" si="25">K52*$B$8</f>
        <v>12</v>
      </c>
    </row>
    <row r="53" hidden="1">
      <c r="C53" s="2"/>
      <c r="D53" s="3" t="s">
        <v>82</v>
      </c>
      <c r="E53" s="3">
        <v>0.0</v>
      </c>
      <c r="F53" s="9">
        <f>E53*$B$8</f>
        <v>0</v>
      </c>
      <c r="G53" s="3">
        <v>0.0</v>
      </c>
      <c r="H53" s="9">
        <f t="shared" si="23"/>
        <v>0</v>
      </c>
      <c r="I53" s="9">
        <v>0.0</v>
      </c>
      <c r="J53" s="9">
        <f t="shared" si="24"/>
        <v>0</v>
      </c>
      <c r="K53" s="9">
        <v>0.0</v>
      </c>
      <c r="L53" s="9">
        <f t="shared" si="25"/>
        <v>0</v>
      </c>
    </row>
    <row r="54" hidden="1">
      <c r="A54" s="72" t="s">
        <v>15</v>
      </c>
      <c r="B54" s="69">
        <v>13.0</v>
      </c>
      <c r="C54" s="2"/>
      <c r="D54" s="3"/>
      <c r="E54" s="3"/>
      <c r="F54" s="9"/>
      <c r="G54" s="3"/>
      <c r="H54" s="9"/>
      <c r="I54" s="9"/>
      <c r="J54" s="9"/>
      <c r="K54" s="9"/>
      <c r="L54" s="9"/>
    </row>
    <row r="55" hidden="1">
      <c r="A55" s="19" t="s">
        <v>17</v>
      </c>
      <c r="B55" s="20">
        <v>0.0</v>
      </c>
      <c r="C55" s="2"/>
      <c r="D55" s="3"/>
      <c r="E55" s="3"/>
      <c r="F55" s="9"/>
      <c r="G55" s="3"/>
      <c r="H55" s="9"/>
      <c r="I55" s="9"/>
      <c r="J55" s="9"/>
      <c r="K55" s="9"/>
      <c r="L55" s="9"/>
    </row>
    <row r="56" hidden="1">
      <c r="A56" s="71" t="s">
        <v>18</v>
      </c>
      <c r="B56" s="24">
        <f>SUM(B54:B55)</f>
        <v>13</v>
      </c>
      <c r="C56" s="2"/>
      <c r="K56" s="9"/>
      <c r="L56" s="9"/>
    </row>
    <row r="57" hidden="1">
      <c r="C57" s="2"/>
      <c r="D57" s="7" t="s">
        <v>4</v>
      </c>
      <c r="E57" s="7" t="s">
        <v>20</v>
      </c>
      <c r="F57" s="7" t="s">
        <v>25</v>
      </c>
      <c r="G57" s="7" t="s">
        <v>26</v>
      </c>
      <c r="H57" s="7" t="s">
        <v>27</v>
      </c>
      <c r="I57" s="7" t="s">
        <v>28</v>
      </c>
      <c r="J57" s="2"/>
      <c r="K57" s="9"/>
      <c r="L57" s="9"/>
    </row>
    <row r="58" hidden="1">
      <c r="A58" s="68" t="s">
        <v>12</v>
      </c>
      <c r="B58" s="82">
        <f>(B54*B50)+(B55*(B50/2))</f>
        <v>585000</v>
      </c>
      <c r="C58" s="2"/>
      <c r="D58" s="3" t="s">
        <v>29</v>
      </c>
      <c r="E58" s="3">
        <v>2700.0</v>
      </c>
      <c r="F58" s="3">
        <f>F52*E58</f>
        <v>36450</v>
      </c>
      <c r="G58" s="2">
        <f>H52*E58</f>
        <v>36450</v>
      </c>
      <c r="H58" s="2">
        <f>J52*E58</f>
        <v>36450</v>
      </c>
      <c r="I58" s="2">
        <f>L52*E58</f>
        <v>32400</v>
      </c>
      <c r="J58" s="2"/>
      <c r="K58" s="2"/>
      <c r="L58" s="2"/>
    </row>
    <row r="59" hidden="1">
      <c r="A59" s="83" t="s">
        <v>21</v>
      </c>
      <c r="B59" s="84">
        <f>(B50*B51)*B54</f>
        <v>292500</v>
      </c>
      <c r="C59" s="2"/>
      <c r="D59" s="46" t="s">
        <v>18</v>
      </c>
      <c r="E59" s="41"/>
      <c r="F59" s="41">
        <f t="shared" ref="F59:I59" si="26">SUM(F58)</f>
        <v>36450</v>
      </c>
      <c r="G59" s="41">
        <f t="shared" si="26"/>
        <v>36450</v>
      </c>
      <c r="H59" s="41">
        <f t="shared" si="26"/>
        <v>36450</v>
      </c>
      <c r="I59" s="41">
        <f t="shared" si="26"/>
        <v>32400</v>
      </c>
      <c r="J59" s="40">
        <f>SUM(F59:I59)</f>
        <v>141750</v>
      </c>
      <c r="K59" s="2"/>
      <c r="L59" s="2"/>
    </row>
    <row r="60" hidden="1">
      <c r="A60" s="19" t="s">
        <v>66</v>
      </c>
      <c r="B60" s="20">
        <f>J59*1.288</f>
        <v>182574</v>
      </c>
      <c r="C60" s="2"/>
      <c r="K60" s="3"/>
      <c r="L60" s="2"/>
    </row>
    <row r="61" hidden="1">
      <c r="A61" s="71" t="s">
        <v>22</v>
      </c>
      <c r="B61" s="85">
        <f>B58-(B60+B59)</f>
        <v>109926</v>
      </c>
      <c r="C61" s="2"/>
      <c r="K61" s="3"/>
      <c r="L61" s="2"/>
    </row>
    <row r="63">
      <c r="A63" s="86" t="s">
        <v>78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</row>
    <row r="64" hidden="1">
      <c r="A64" s="68" t="s">
        <v>3</v>
      </c>
      <c r="B64" s="69">
        <v>45000.0</v>
      </c>
      <c r="C64" s="2"/>
    </row>
    <row r="65" hidden="1">
      <c r="A65" s="19" t="s">
        <v>21</v>
      </c>
      <c r="B65" s="70">
        <v>0.5</v>
      </c>
      <c r="C65" s="2"/>
      <c r="D65" s="7" t="s">
        <v>4</v>
      </c>
      <c r="E65" s="7" t="s">
        <v>5</v>
      </c>
      <c r="F65" s="7" t="s">
        <v>38</v>
      </c>
      <c r="G65" s="7" t="s">
        <v>5</v>
      </c>
      <c r="H65" s="7" t="s">
        <v>39</v>
      </c>
      <c r="I65" s="7" t="s">
        <v>5</v>
      </c>
      <c r="J65" s="7" t="s">
        <v>40</v>
      </c>
      <c r="K65" s="7" t="s">
        <v>5</v>
      </c>
      <c r="L65" s="7" t="s">
        <v>41</v>
      </c>
    </row>
    <row r="66" hidden="1">
      <c r="A66" s="71" t="s">
        <v>23</v>
      </c>
      <c r="B66" s="24">
        <v>1.5</v>
      </c>
      <c r="C66" s="2"/>
      <c r="D66" s="40" t="s">
        <v>29</v>
      </c>
      <c r="E66" s="40">
        <v>9.0</v>
      </c>
      <c r="F66" s="100">
        <f>E66*$B$36</f>
        <v>13.5</v>
      </c>
      <c r="G66" s="40">
        <v>8.0</v>
      </c>
      <c r="H66" s="100">
        <f t="shared" ref="H66:H67" si="27">G66*$B$8</f>
        <v>12</v>
      </c>
      <c r="I66" s="100">
        <v>9.0</v>
      </c>
      <c r="J66" s="100">
        <f t="shared" ref="J66:J67" si="28">I66*$B$8</f>
        <v>13.5</v>
      </c>
      <c r="K66" s="100">
        <v>10.0</v>
      </c>
      <c r="L66" s="100">
        <f t="shared" ref="L66:L67" si="29">K66*$B$8</f>
        <v>15</v>
      </c>
    </row>
    <row r="67" hidden="1">
      <c r="C67" s="2"/>
      <c r="D67" s="3" t="s">
        <v>82</v>
      </c>
      <c r="E67" s="3">
        <v>0.0</v>
      </c>
      <c r="F67" s="9">
        <f>E67*$B$8</f>
        <v>0</v>
      </c>
      <c r="G67" s="3">
        <v>0.0</v>
      </c>
      <c r="H67" s="9">
        <f t="shared" si="27"/>
        <v>0</v>
      </c>
      <c r="I67" s="9">
        <v>0.0</v>
      </c>
      <c r="J67" s="9">
        <f t="shared" si="28"/>
        <v>0</v>
      </c>
      <c r="K67" s="9">
        <v>0.0</v>
      </c>
      <c r="L67" s="9">
        <f t="shared" si="29"/>
        <v>0</v>
      </c>
    </row>
    <row r="68" hidden="1">
      <c r="A68" s="72" t="s">
        <v>15</v>
      </c>
      <c r="B68" s="69">
        <v>3.0</v>
      </c>
      <c r="C68" s="2"/>
      <c r="D68" s="3"/>
      <c r="E68" s="3"/>
      <c r="F68" s="9"/>
      <c r="G68" s="3"/>
      <c r="H68" s="9"/>
      <c r="I68" s="9"/>
      <c r="J68" s="9"/>
      <c r="K68" s="9"/>
      <c r="L68" s="9"/>
    </row>
    <row r="69" hidden="1">
      <c r="A69" s="19" t="s">
        <v>17</v>
      </c>
      <c r="B69" s="20">
        <v>0.0</v>
      </c>
      <c r="C69" s="2"/>
      <c r="D69" s="3"/>
      <c r="E69" s="3"/>
      <c r="F69" s="9"/>
      <c r="G69" s="3"/>
      <c r="H69" s="9"/>
      <c r="I69" s="9"/>
      <c r="J69" s="9"/>
      <c r="K69" s="9"/>
      <c r="L69" s="9"/>
    </row>
    <row r="70" hidden="1">
      <c r="A70" s="71" t="s">
        <v>18</v>
      </c>
      <c r="B70" s="24">
        <f>SUM(B68:B69)</f>
        <v>3</v>
      </c>
      <c r="C70" s="2"/>
      <c r="D70" s="3"/>
      <c r="E70" s="3"/>
      <c r="F70" s="9"/>
      <c r="G70" s="3"/>
      <c r="H70" s="9"/>
      <c r="I70" s="9"/>
      <c r="J70" s="9"/>
      <c r="K70" s="9"/>
      <c r="L70" s="9"/>
    </row>
    <row r="71" hidden="1">
      <c r="C71" s="2"/>
      <c r="D71" s="7" t="s">
        <v>4</v>
      </c>
      <c r="E71" s="7" t="s">
        <v>20</v>
      </c>
      <c r="F71" s="7" t="s">
        <v>38</v>
      </c>
      <c r="G71" s="7" t="s">
        <v>39</v>
      </c>
      <c r="H71" s="7" t="s">
        <v>40</v>
      </c>
      <c r="I71" s="7" t="s">
        <v>41</v>
      </c>
      <c r="J71" s="2"/>
      <c r="K71" s="9"/>
      <c r="L71" s="9"/>
    </row>
    <row r="72" hidden="1">
      <c r="A72" s="68" t="s">
        <v>12</v>
      </c>
      <c r="B72" s="82">
        <f>(B68*B64)+(B69*(B64/2))</f>
        <v>135000</v>
      </c>
      <c r="C72" s="2"/>
      <c r="D72" s="3" t="s">
        <v>29</v>
      </c>
      <c r="E72" s="3">
        <v>2700.0</v>
      </c>
      <c r="F72" s="3">
        <f>F66*E72</f>
        <v>36450</v>
      </c>
      <c r="G72" s="2">
        <f>H66*E72</f>
        <v>32400</v>
      </c>
      <c r="H72" s="2">
        <f>J66*E72</f>
        <v>36450</v>
      </c>
      <c r="I72" s="2">
        <f>L66*E72</f>
        <v>40500</v>
      </c>
      <c r="J72" s="2"/>
      <c r="K72" s="2"/>
      <c r="L72" s="2"/>
    </row>
    <row r="73" hidden="1">
      <c r="A73" s="83" t="s">
        <v>21</v>
      </c>
      <c r="B73" s="84">
        <f>(B64*B65)*B68</f>
        <v>67500</v>
      </c>
      <c r="C73" s="2"/>
      <c r="D73" s="46" t="s">
        <v>18</v>
      </c>
      <c r="E73" s="41"/>
      <c r="F73" s="41">
        <f t="shared" ref="F73:I73" si="30">SUM(F72)</f>
        <v>36450</v>
      </c>
      <c r="G73" s="41">
        <f t="shared" si="30"/>
        <v>32400</v>
      </c>
      <c r="H73" s="41">
        <f t="shared" si="30"/>
        <v>36450</v>
      </c>
      <c r="I73" s="41">
        <f t="shared" si="30"/>
        <v>40500</v>
      </c>
      <c r="J73" s="40">
        <f>SUM(F73:I73)</f>
        <v>145800</v>
      </c>
      <c r="K73" s="2"/>
      <c r="L73" s="2"/>
    </row>
    <row r="74" hidden="1">
      <c r="A74" s="19" t="s">
        <v>66</v>
      </c>
      <c r="B74" s="20">
        <f>J73*1.288</f>
        <v>187790.4</v>
      </c>
      <c r="C74" s="2"/>
      <c r="K74" s="3"/>
      <c r="L74" s="2"/>
    </row>
    <row r="75" hidden="1">
      <c r="A75" s="71" t="s">
        <v>22</v>
      </c>
      <c r="B75" s="85">
        <f>B72-(B74+B73)</f>
        <v>-120290.4</v>
      </c>
      <c r="C75" s="2"/>
      <c r="K75" s="3"/>
      <c r="L75" s="2"/>
    </row>
    <row r="77">
      <c r="A77" s="66" t="s">
        <v>70</v>
      </c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</row>
    <row r="78" hidden="1">
      <c r="A78" s="68" t="s">
        <v>3</v>
      </c>
      <c r="B78" s="69">
        <v>50000.0</v>
      </c>
      <c r="C78" s="2"/>
    </row>
    <row r="79" hidden="1">
      <c r="A79" s="19" t="s">
        <v>21</v>
      </c>
      <c r="B79" s="70">
        <v>0.5</v>
      </c>
      <c r="C79" s="2"/>
      <c r="D79" s="7" t="s">
        <v>4</v>
      </c>
      <c r="E79" s="7" t="s">
        <v>5</v>
      </c>
      <c r="F79" s="7" t="s">
        <v>6</v>
      </c>
      <c r="G79" s="7" t="s">
        <v>5</v>
      </c>
      <c r="H79" s="7" t="s">
        <v>7</v>
      </c>
      <c r="I79" s="7" t="s">
        <v>5</v>
      </c>
      <c r="J79" s="7" t="s">
        <v>8</v>
      </c>
      <c r="K79" s="7" t="s">
        <v>5</v>
      </c>
      <c r="L79" s="7" t="s">
        <v>9</v>
      </c>
    </row>
    <row r="80" hidden="1">
      <c r="A80" s="71" t="s">
        <v>23</v>
      </c>
      <c r="B80" s="24">
        <v>1.5</v>
      </c>
      <c r="C80" s="2"/>
      <c r="D80" s="40" t="s">
        <v>29</v>
      </c>
      <c r="E80" s="40">
        <v>8.0</v>
      </c>
      <c r="F80" s="100">
        <f>E80*$B$36</f>
        <v>12</v>
      </c>
      <c r="G80" s="40">
        <v>9.0</v>
      </c>
      <c r="H80" s="100">
        <f t="shared" ref="H80:H81" si="31">G80*$B$8</f>
        <v>13.5</v>
      </c>
      <c r="I80" s="100">
        <v>9.0</v>
      </c>
      <c r="J80" s="100">
        <f t="shared" ref="J80:J81" si="32">I80*$B$8</f>
        <v>13.5</v>
      </c>
      <c r="K80" s="100">
        <v>6.0</v>
      </c>
      <c r="L80" s="100">
        <f t="shared" ref="L80:L81" si="33">K80*$B$8</f>
        <v>9</v>
      </c>
    </row>
    <row r="81" hidden="1">
      <c r="C81" s="2"/>
      <c r="D81" s="3" t="s">
        <v>79</v>
      </c>
      <c r="E81" s="3">
        <v>0.0</v>
      </c>
      <c r="F81" s="9">
        <f>E81*$B$8</f>
        <v>0</v>
      </c>
      <c r="G81" s="3">
        <v>3.0</v>
      </c>
      <c r="H81" s="9">
        <f t="shared" si="31"/>
        <v>4.5</v>
      </c>
      <c r="I81" s="9">
        <v>9.0</v>
      </c>
      <c r="J81" s="9">
        <f t="shared" si="32"/>
        <v>13.5</v>
      </c>
      <c r="K81" s="9">
        <v>0.0</v>
      </c>
      <c r="L81" s="9">
        <f t="shared" si="33"/>
        <v>0</v>
      </c>
    </row>
    <row r="82" hidden="1">
      <c r="A82" s="72" t="s">
        <v>15</v>
      </c>
      <c r="B82" s="69">
        <v>16.0</v>
      </c>
      <c r="C82" s="2"/>
      <c r="D82" s="3"/>
      <c r="E82" s="3"/>
      <c r="F82" s="9"/>
      <c r="G82" s="3"/>
      <c r="H82" s="9"/>
      <c r="I82" s="9"/>
      <c r="J82" s="9"/>
      <c r="K82" s="9"/>
      <c r="L82" s="9"/>
    </row>
    <row r="83" hidden="1">
      <c r="A83" s="19" t="s">
        <v>17</v>
      </c>
      <c r="B83" s="20">
        <v>0.0</v>
      </c>
      <c r="C83" s="2"/>
      <c r="D83" s="3"/>
      <c r="E83" s="3"/>
      <c r="F83" s="9"/>
      <c r="G83" s="3"/>
      <c r="H83" s="9"/>
      <c r="I83" s="9"/>
      <c r="J83" s="9"/>
      <c r="K83" s="9"/>
      <c r="L83" s="9"/>
    </row>
    <row r="84" hidden="1">
      <c r="A84" s="71" t="s">
        <v>18</v>
      </c>
      <c r="B84" s="24">
        <f>SUM(B82:B83)</f>
        <v>16</v>
      </c>
      <c r="C84" s="2"/>
      <c r="D84" s="3"/>
      <c r="E84" s="3"/>
      <c r="F84" s="9"/>
      <c r="G84" s="3"/>
      <c r="H84" s="9"/>
      <c r="I84" s="9"/>
      <c r="J84" s="9"/>
      <c r="K84" s="9"/>
      <c r="L84" s="9"/>
    </row>
    <row r="85" hidden="1">
      <c r="C85" s="2"/>
      <c r="D85" s="7" t="s">
        <v>4</v>
      </c>
      <c r="E85" s="7" t="s">
        <v>20</v>
      </c>
      <c r="F85" s="7" t="s">
        <v>6</v>
      </c>
      <c r="G85" s="7" t="s">
        <v>7</v>
      </c>
      <c r="H85" s="7" t="s">
        <v>8</v>
      </c>
      <c r="I85" s="7" t="s">
        <v>9</v>
      </c>
      <c r="J85" s="2"/>
      <c r="K85" s="9"/>
      <c r="L85" s="9"/>
    </row>
    <row r="86" hidden="1">
      <c r="A86" s="68" t="s">
        <v>12</v>
      </c>
      <c r="B86" s="73">
        <f>(B82*B78)+(B83*(B78/2))</f>
        <v>800000</v>
      </c>
      <c r="C86" s="2"/>
      <c r="D86" s="3" t="s">
        <v>29</v>
      </c>
      <c r="E86" s="3">
        <v>2700.0</v>
      </c>
      <c r="F86" s="3">
        <f>F80*E86</f>
        <v>32400</v>
      </c>
      <c r="G86" s="2">
        <f>H80*E86</f>
        <v>36450</v>
      </c>
      <c r="H86" s="2">
        <f>J80*E86</f>
        <v>36450</v>
      </c>
      <c r="I86" s="2">
        <f>L80*E86</f>
        <v>24300</v>
      </c>
      <c r="J86" s="2"/>
      <c r="K86" s="2"/>
      <c r="L86" s="2"/>
    </row>
    <row r="87" hidden="1">
      <c r="A87" s="83" t="s">
        <v>21</v>
      </c>
      <c r="B87" s="91">
        <f>(B78*B79)*B82</f>
        <v>400000</v>
      </c>
      <c r="C87" s="2"/>
      <c r="D87" s="46" t="s">
        <v>18</v>
      </c>
      <c r="E87" s="41"/>
      <c r="F87" s="41">
        <f t="shared" ref="F87:I87" si="34">SUM(F86)</f>
        <v>32400</v>
      </c>
      <c r="G87" s="41">
        <f t="shared" si="34"/>
        <v>36450</v>
      </c>
      <c r="H87" s="41">
        <f t="shared" si="34"/>
        <v>36450</v>
      </c>
      <c r="I87" s="41">
        <f t="shared" si="34"/>
        <v>24300</v>
      </c>
      <c r="J87" s="40">
        <f>SUM(F87:I87)</f>
        <v>129600</v>
      </c>
      <c r="K87" s="2"/>
      <c r="L87" s="2"/>
    </row>
    <row r="88" hidden="1">
      <c r="A88" s="19" t="s">
        <v>66</v>
      </c>
      <c r="B88" s="75">
        <f>J87*1.288</f>
        <v>166924.8</v>
      </c>
      <c r="C88" s="2"/>
      <c r="K88" s="3"/>
      <c r="L88" s="2"/>
    </row>
    <row r="89" hidden="1">
      <c r="A89" s="71" t="s">
        <v>22</v>
      </c>
      <c r="B89" s="76">
        <f>B86-(B88+B87)</f>
        <v>233075.2</v>
      </c>
      <c r="C89" s="2"/>
      <c r="K89" s="3"/>
      <c r="L89" s="2"/>
    </row>
    <row r="92">
      <c r="A92" s="78">
        <v>2024.0</v>
      </c>
    </row>
    <row r="94">
      <c r="A94" s="79" t="s">
        <v>76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hidden="1">
      <c r="A95" s="68" t="s">
        <v>3</v>
      </c>
      <c r="B95" s="69">
        <v>50000.0</v>
      </c>
      <c r="C95" s="2"/>
    </row>
    <row r="96" hidden="1">
      <c r="A96" s="19" t="s">
        <v>21</v>
      </c>
      <c r="B96" s="70">
        <v>0.5</v>
      </c>
      <c r="C96" s="2"/>
      <c r="D96" s="7" t="s">
        <v>4</v>
      </c>
      <c r="E96" s="7" t="s">
        <v>5</v>
      </c>
      <c r="F96" s="7" t="s">
        <v>25</v>
      </c>
      <c r="G96" s="7" t="s">
        <v>5</v>
      </c>
      <c r="H96" s="7" t="s">
        <v>26</v>
      </c>
      <c r="I96" s="7" t="s">
        <v>5</v>
      </c>
      <c r="J96" s="7" t="s">
        <v>27</v>
      </c>
      <c r="K96" s="7" t="s">
        <v>5</v>
      </c>
      <c r="L96" s="7" t="s">
        <v>28</v>
      </c>
    </row>
    <row r="97" hidden="1">
      <c r="A97" s="71" t="s">
        <v>23</v>
      </c>
      <c r="B97" s="24">
        <v>1.5</v>
      </c>
      <c r="C97" s="2"/>
      <c r="D97" s="40" t="s">
        <v>29</v>
      </c>
      <c r="E97" s="40">
        <v>8.0</v>
      </c>
      <c r="F97" s="100">
        <f>E97*$B$36</f>
        <v>12</v>
      </c>
      <c r="G97" s="40">
        <v>9.0</v>
      </c>
      <c r="H97" s="100">
        <f t="shared" ref="H97:H98" si="35">G97*$B$8</f>
        <v>13.5</v>
      </c>
      <c r="I97" s="100">
        <v>8.0</v>
      </c>
      <c r="J97" s="100">
        <f t="shared" ref="J97:J98" si="36">I97*$B$8</f>
        <v>12</v>
      </c>
      <c r="K97" s="100">
        <v>9.0</v>
      </c>
      <c r="L97" s="100">
        <f t="shared" ref="L97:L98" si="37">K97*$B$8</f>
        <v>13.5</v>
      </c>
    </row>
    <row r="98" hidden="1">
      <c r="C98" s="2"/>
      <c r="D98" s="9" t="s">
        <v>82</v>
      </c>
      <c r="E98" s="3">
        <v>0.0</v>
      </c>
      <c r="F98" s="9">
        <f>E98*$B$8</f>
        <v>0</v>
      </c>
      <c r="G98" s="3">
        <v>0.0</v>
      </c>
      <c r="H98" s="9">
        <f t="shared" si="35"/>
        <v>0</v>
      </c>
      <c r="I98" s="9">
        <v>0.0</v>
      </c>
      <c r="J98" s="9">
        <f t="shared" si="36"/>
        <v>0</v>
      </c>
      <c r="K98" s="9">
        <v>0.0</v>
      </c>
      <c r="L98" s="9">
        <f t="shared" si="37"/>
        <v>0</v>
      </c>
    </row>
    <row r="99" hidden="1">
      <c r="A99" s="72" t="s">
        <v>15</v>
      </c>
      <c r="B99" s="69">
        <v>14.0</v>
      </c>
      <c r="C99" s="2"/>
      <c r="D99" s="3"/>
      <c r="E99" s="3"/>
      <c r="F99" s="9"/>
      <c r="G99" s="3"/>
      <c r="H99" s="9"/>
      <c r="I99" s="9"/>
      <c r="J99" s="9"/>
      <c r="K99" s="9"/>
      <c r="L99" s="9"/>
    </row>
    <row r="100" hidden="1">
      <c r="A100" s="19" t="s">
        <v>17</v>
      </c>
      <c r="B100" s="20">
        <v>0.0</v>
      </c>
      <c r="C100" s="2"/>
      <c r="D100" s="3"/>
      <c r="E100" s="3"/>
      <c r="F100" s="9"/>
      <c r="G100" s="3"/>
      <c r="H100" s="9"/>
      <c r="I100" s="9"/>
      <c r="J100" s="9"/>
      <c r="K100" s="9"/>
      <c r="L100" s="9"/>
    </row>
    <row r="101" hidden="1">
      <c r="A101" s="71" t="s">
        <v>18</v>
      </c>
      <c r="B101" s="24">
        <f>SUM(B99:B100)</f>
        <v>14</v>
      </c>
      <c r="C101" s="2"/>
      <c r="K101" s="9"/>
      <c r="L101" s="9"/>
    </row>
    <row r="102" hidden="1">
      <c r="C102" s="2"/>
      <c r="K102" s="9"/>
      <c r="L102" s="9"/>
    </row>
    <row r="103" hidden="1">
      <c r="A103" s="68" t="s">
        <v>12</v>
      </c>
      <c r="B103" s="119">
        <f>(B99*B95)+(B100*(B95/2))</f>
        <v>700000</v>
      </c>
      <c r="C103" s="2"/>
      <c r="D103" s="7" t="s">
        <v>4</v>
      </c>
      <c r="E103" s="7" t="s">
        <v>20</v>
      </c>
      <c r="F103" s="7" t="s">
        <v>25</v>
      </c>
      <c r="G103" s="7" t="s">
        <v>26</v>
      </c>
      <c r="H103" s="7" t="s">
        <v>27</v>
      </c>
      <c r="I103" s="7" t="s">
        <v>28</v>
      </c>
      <c r="J103" s="2"/>
      <c r="K103" s="2"/>
      <c r="L103" s="2"/>
    </row>
    <row r="104" hidden="1">
      <c r="A104" s="83" t="s">
        <v>21</v>
      </c>
      <c r="B104" s="120">
        <f>(B95*B96)*B99</f>
        <v>350000</v>
      </c>
      <c r="C104" s="2"/>
      <c r="D104" s="3" t="s">
        <v>29</v>
      </c>
      <c r="E104" s="3">
        <v>3250.0</v>
      </c>
      <c r="F104" s="3">
        <f>F97*E104</f>
        <v>39000</v>
      </c>
      <c r="G104" s="2">
        <f>H97*E104</f>
        <v>43875</v>
      </c>
      <c r="H104" s="2">
        <f>J97*E104</f>
        <v>39000</v>
      </c>
      <c r="I104" s="2">
        <f>L97*E104</f>
        <v>43875</v>
      </c>
      <c r="J104" s="2"/>
      <c r="K104" s="2"/>
      <c r="L104" s="2"/>
    </row>
    <row r="105" hidden="1">
      <c r="A105" s="19" t="s">
        <v>66</v>
      </c>
      <c r="B105" s="88">
        <f>J105*1.288</f>
        <v>213486</v>
      </c>
      <c r="C105" s="2"/>
      <c r="D105" s="46" t="s">
        <v>18</v>
      </c>
      <c r="E105" s="41"/>
      <c r="F105" s="41">
        <f t="shared" ref="F105:I105" si="38">SUM(F104)</f>
        <v>39000</v>
      </c>
      <c r="G105" s="41">
        <f t="shared" si="38"/>
        <v>43875</v>
      </c>
      <c r="H105" s="41">
        <f t="shared" si="38"/>
        <v>39000</v>
      </c>
      <c r="I105" s="41">
        <f t="shared" si="38"/>
        <v>43875</v>
      </c>
      <c r="J105" s="40">
        <f>SUM(F105:I105)</f>
        <v>165750</v>
      </c>
      <c r="K105" s="3"/>
      <c r="L105" s="2"/>
    </row>
    <row r="106" hidden="1">
      <c r="A106" s="71" t="s">
        <v>22</v>
      </c>
      <c r="B106" s="89">
        <f>B103-(B105+B104)</f>
        <v>136514</v>
      </c>
      <c r="C106" s="2"/>
      <c r="K106" s="3"/>
      <c r="L106" s="2"/>
    </row>
    <row r="108">
      <c r="A108" s="86" t="s">
        <v>78</v>
      </c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</row>
    <row r="109" hidden="1">
      <c r="A109" s="68" t="s">
        <v>3</v>
      </c>
      <c r="B109" s="69">
        <v>50000.0</v>
      </c>
      <c r="C109" s="2"/>
    </row>
    <row r="110" hidden="1">
      <c r="A110" s="19" t="s">
        <v>21</v>
      </c>
      <c r="B110" s="70">
        <v>0.5</v>
      </c>
      <c r="C110" s="2"/>
      <c r="D110" s="7" t="s">
        <v>4</v>
      </c>
      <c r="E110" s="7" t="s">
        <v>5</v>
      </c>
      <c r="F110" s="7" t="s">
        <v>38</v>
      </c>
      <c r="G110" s="7" t="s">
        <v>5</v>
      </c>
      <c r="H110" s="7" t="s">
        <v>39</v>
      </c>
      <c r="I110" s="7" t="s">
        <v>5</v>
      </c>
      <c r="J110" s="7" t="s">
        <v>40</v>
      </c>
      <c r="K110" s="7" t="s">
        <v>5</v>
      </c>
      <c r="L110" s="7" t="s">
        <v>41</v>
      </c>
    </row>
    <row r="111" hidden="1">
      <c r="A111" s="71" t="s">
        <v>23</v>
      </c>
      <c r="B111" s="24">
        <v>1.5</v>
      </c>
      <c r="C111" s="2"/>
      <c r="D111" s="40" t="s">
        <v>29</v>
      </c>
      <c r="E111" s="40">
        <v>9.0</v>
      </c>
      <c r="F111" s="100">
        <f>E111*$B$36</f>
        <v>13.5</v>
      </c>
      <c r="G111" s="40">
        <v>8.0</v>
      </c>
      <c r="H111" s="100">
        <f t="shared" ref="H111:H112" si="39">G111*$B$8</f>
        <v>12</v>
      </c>
      <c r="I111" s="100">
        <v>9.0</v>
      </c>
      <c r="J111" s="100">
        <f t="shared" ref="J111:J112" si="40">I111*$B$8</f>
        <v>13.5</v>
      </c>
      <c r="K111" s="100">
        <v>9.0</v>
      </c>
      <c r="L111" s="100">
        <f t="shared" ref="L111:L112" si="41">K111*$B$8</f>
        <v>13.5</v>
      </c>
    </row>
    <row r="112" hidden="1">
      <c r="C112" s="2"/>
      <c r="D112" s="9" t="s">
        <v>82</v>
      </c>
      <c r="E112" s="3">
        <v>0.0</v>
      </c>
      <c r="F112" s="9">
        <f>E112*$B$8</f>
        <v>0</v>
      </c>
      <c r="G112" s="3">
        <v>0.0</v>
      </c>
      <c r="H112" s="9">
        <f t="shared" si="39"/>
        <v>0</v>
      </c>
      <c r="I112" s="9">
        <v>0.0</v>
      </c>
      <c r="J112" s="9">
        <f t="shared" si="40"/>
        <v>0</v>
      </c>
      <c r="K112" s="9">
        <v>0.0</v>
      </c>
      <c r="L112" s="9">
        <f t="shared" si="41"/>
        <v>0</v>
      </c>
    </row>
    <row r="113" hidden="1">
      <c r="A113" s="72" t="s">
        <v>15</v>
      </c>
      <c r="B113" s="69">
        <v>5.0</v>
      </c>
      <c r="C113" s="2"/>
      <c r="D113" s="3"/>
      <c r="E113" s="3"/>
      <c r="F113" s="9"/>
      <c r="G113" s="3"/>
      <c r="H113" s="9"/>
      <c r="I113" s="9"/>
      <c r="J113" s="9"/>
      <c r="K113" s="9"/>
      <c r="L113" s="9"/>
    </row>
    <row r="114" hidden="1">
      <c r="A114" s="19" t="s">
        <v>17</v>
      </c>
      <c r="B114" s="20">
        <v>0.0</v>
      </c>
      <c r="C114" s="2"/>
      <c r="D114" s="3"/>
      <c r="E114" s="3"/>
      <c r="F114" s="9"/>
      <c r="G114" s="3"/>
      <c r="H114" s="9"/>
      <c r="I114" s="9"/>
      <c r="J114" s="9"/>
      <c r="K114" s="9"/>
      <c r="L114" s="9"/>
    </row>
    <row r="115" hidden="1">
      <c r="A115" s="71" t="s">
        <v>18</v>
      </c>
      <c r="B115" s="24">
        <f>SUM(B113:B114)</f>
        <v>5</v>
      </c>
      <c r="C115" s="2"/>
      <c r="D115" s="3"/>
      <c r="E115" s="3"/>
      <c r="F115" s="9"/>
      <c r="G115" s="3"/>
      <c r="H115" s="9"/>
      <c r="I115" s="9"/>
      <c r="J115" s="9"/>
      <c r="K115" s="9"/>
      <c r="L115" s="9"/>
    </row>
    <row r="116" hidden="1">
      <c r="C116" s="2"/>
      <c r="K116" s="9"/>
      <c r="L116" s="9"/>
    </row>
    <row r="117" hidden="1">
      <c r="A117" s="68" t="s">
        <v>12</v>
      </c>
      <c r="B117" s="82">
        <f>(B113*B109)+(B114*(B109/2))</f>
        <v>250000</v>
      </c>
      <c r="C117" s="2"/>
      <c r="D117" s="7" t="s">
        <v>4</v>
      </c>
      <c r="E117" s="7" t="s">
        <v>20</v>
      </c>
      <c r="F117" s="7" t="s">
        <v>38</v>
      </c>
      <c r="G117" s="7" t="s">
        <v>39</v>
      </c>
      <c r="H117" s="7" t="s">
        <v>40</v>
      </c>
      <c r="I117" s="7" t="s">
        <v>41</v>
      </c>
      <c r="J117" s="2"/>
      <c r="K117" s="2"/>
      <c r="L117" s="2"/>
    </row>
    <row r="118" hidden="1">
      <c r="A118" s="83" t="s">
        <v>21</v>
      </c>
      <c r="B118" s="84">
        <f>(B109*B110)*B113</f>
        <v>125000</v>
      </c>
      <c r="C118" s="2"/>
      <c r="D118" s="3" t="s">
        <v>29</v>
      </c>
      <c r="E118" s="3">
        <v>3250.0</v>
      </c>
      <c r="F118" s="3">
        <f>F111*E118</f>
        <v>43875</v>
      </c>
      <c r="G118" s="2">
        <f>H111*E118</f>
        <v>39000</v>
      </c>
      <c r="H118" s="2">
        <f>J111*E118</f>
        <v>43875</v>
      </c>
      <c r="I118" s="2">
        <f>L111*E118</f>
        <v>43875</v>
      </c>
      <c r="J118" s="2"/>
      <c r="K118" s="2"/>
      <c r="L118" s="2"/>
    </row>
    <row r="119" hidden="1">
      <c r="A119" s="19" t="s">
        <v>66</v>
      </c>
      <c r="B119" s="20">
        <f>J119*1.288</f>
        <v>219765</v>
      </c>
      <c r="C119" s="2"/>
      <c r="D119" s="46" t="s">
        <v>18</v>
      </c>
      <c r="E119" s="41"/>
      <c r="F119" s="41">
        <f t="shared" ref="F119:I119" si="42">SUM(F118)</f>
        <v>43875</v>
      </c>
      <c r="G119" s="41">
        <f t="shared" si="42"/>
        <v>39000</v>
      </c>
      <c r="H119" s="41">
        <f t="shared" si="42"/>
        <v>43875</v>
      </c>
      <c r="I119" s="41">
        <f t="shared" si="42"/>
        <v>43875</v>
      </c>
      <c r="J119" s="40">
        <f>SUM(F119:I119)</f>
        <v>170625</v>
      </c>
      <c r="K119" s="3"/>
      <c r="L119" s="2"/>
    </row>
    <row r="120" hidden="1">
      <c r="A120" s="71" t="s">
        <v>22</v>
      </c>
      <c r="B120" s="85">
        <f>B117-(B119+B118)</f>
        <v>-94765</v>
      </c>
      <c r="C120" s="2"/>
      <c r="K120" s="3"/>
      <c r="L120" s="2"/>
    </row>
    <row r="122">
      <c r="A122" s="66" t="s">
        <v>70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</row>
    <row r="123" hidden="1">
      <c r="A123" s="68" t="s">
        <v>3</v>
      </c>
      <c r="B123" s="69">
        <v>50000.0</v>
      </c>
      <c r="C123" s="2"/>
    </row>
    <row r="124" hidden="1">
      <c r="A124" s="19" t="s">
        <v>21</v>
      </c>
      <c r="B124" s="70">
        <v>0.5</v>
      </c>
      <c r="C124" s="2"/>
      <c r="D124" s="7" t="s">
        <v>4</v>
      </c>
      <c r="E124" s="7" t="s">
        <v>5</v>
      </c>
      <c r="F124" s="7" t="s">
        <v>6</v>
      </c>
      <c r="G124" s="7" t="s">
        <v>5</v>
      </c>
      <c r="H124" s="7" t="s">
        <v>7</v>
      </c>
      <c r="I124" s="7" t="s">
        <v>5</v>
      </c>
      <c r="J124" s="7" t="s">
        <v>8</v>
      </c>
      <c r="K124" s="7" t="s">
        <v>5</v>
      </c>
      <c r="L124" s="7" t="s">
        <v>9</v>
      </c>
    </row>
    <row r="125" hidden="1">
      <c r="A125" s="71" t="s">
        <v>23</v>
      </c>
      <c r="B125" s="24">
        <v>1.5</v>
      </c>
      <c r="C125" s="2"/>
      <c r="D125" s="40" t="s">
        <v>29</v>
      </c>
      <c r="E125" s="40">
        <v>8.0</v>
      </c>
      <c r="F125" s="100">
        <f>E125*$B$36</f>
        <v>12</v>
      </c>
      <c r="G125" s="40">
        <v>9.0</v>
      </c>
      <c r="H125" s="100">
        <f>G125*$B$8</f>
        <v>13.5</v>
      </c>
      <c r="I125" s="100">
        <v>8.0</v>
      </c>
      <c r="J125" s="100">
        <f>I125*$B$8</f>
        <v>12</v>
      </c>
      <c r="K125" s="100">
        <v>6.0</v>
      </c>
      <c r="L125" s="100">
        <f>K125*$B$8</f>
        <v>9</v>
      </c>
    </row>
    <row r="126" hidden="1">
      <c r="C126" s="2"/>
      <c r="D126" s="9"/>
      <c r="E126" s="3"/>
      <c r="F126" s="9"/>
      <c r="G126" s="3"/>
      <c r="H126" s="9"/>
      <c r="I126" s="9"/>
      <c r="J126" s="9"/>
      <c r="K126" s="9"/>
      <c r="L126" s="9"/>
    </row>
    <row r="127" hidden="1">
      <c r="A127" s="72" t="s">
        <v>15</v>
      </c>
      <c r="B127" s="69">
        <v>17.0</v>
      </c>
      <c r="C127" s="2"/>
      <c r="D127" s="3"/>
      <c r="E127" s="3"/>
      <c r="F127" s="9"/>
      <c r="G127" s="3"/>
      <c r="H127" s="9"/>
      <c r="I127" s="9"/>
      <c r="J127" s="9"/>
      <c r="K127" s="9"/>
      <c r="L127" s="9"/>
    </row>
    <row r="128" hidden="1">
      <c r="A128" s="19" t="s">
        <v>17</v>
      </c>
      <c r="B128" s="20">
        <v>3.0</v>
      </c>
      <c r="C128" s="2"/>
      <c r="D128" s="3"/>
      <c r="E128" s="3"/>
      <c r="F128" s="9"/>
      <c r="G128" s="3"/>
      <c r="H128" s="9"/>
      <c r="I128" s="9"/>
      <c r="J128" s="9"/>
      <c r="K128" s="9"/>
      <c r="L128" s="9"/>
    </row>
    <row r="129" hidden="1">
      <c r="A129" s="71" t="s">
        <v>18</v>
      </c>
      <c r="B129" s="24">
        <f>SUM(B127:B128)</f>
        <v>20</v>
      </c>
      <c r="C129" s="2"/>
      <c r="D129" s="3"/>
      <c r="E129" s="3"/>
      <c r="F129" s="9"/>
      <c r="G129" s="3"/>
      <c r="H129" s="9"/>
      <c r="I129" s="9"/>
      <c r="J129" s="9"/>
      <c r="K129" s="9"/>
      <c r="L129" s="9"/>
    </row>
    <row r="130" hidden="1">
      <c r="C130" s="2"/>
      <c r="K130" s="9"/>
      <c r="L130" s="9"/>
    </row>
    <row r="131" hidden="1">
      <c r="A131" s="68" t="s">
        <v>12</v>
      </c>
      <c r="B131" s="73">
        <f>(B127*B123)+(B128*(B123/2))</f>
        <v>925000</v>
      </c>
      <c r="C131" s="2"/>
      <c r="K131" s="2"/>
      <c r="L131" s="2"/>
    </row>
    <row r="132" hidden="1">
      <c r="A132" s="83" t="s">
        <v>21</v>
      </c>
      <c r="B132" s="91">
        <f>(B123*B124)*B127</f>
        <v>425000</v>
      </c>
      <c r="C132" s="2"/>
      <c r="D132" s="7" t="s">
        <v>4</v>
      </c>
      <c r="E132" s="7" t="s">
        <v>20</v>
      </c>
      <c r="F132" s="7" t="s">
        <v>6</v>
      </c>
      <c r="G132" s="7" t="s">
        <v>7</v>
      </c>
      <c r="H132" s="7" t="s">
        <v>8</v>
      </c>
      <c r="I132" s="7" t="s">
        <v>9</v>
      </c>
      <c r="J132" s="2"/>
      <c r="K132" s="2"/>
      <c r="L132" s="2"/>
    </row>
    <row r="133" hidden="1">
      <c r="A133" s="19" t="s">
        <v>66</v>
      </c>
      <c r="B133" s="75">
        <f>J134*1.288</f>
        <v>194649</v>
      </c>
      <c r="C133" s="2"/>
      <c r="D133" s="3" t="s">
        <v>29</v>
      </c>
      <c r="E133" s="3">
        <v>3250.0</v>
      </c>
      <c r="F133" s="3">
        <f>F125*E133</f>
        <v>39000</v>
      </c>
      <c r="G133" s="2">
        <f>H125*E133</f>
        <v>43875</v>
      </c>
      <c r="H133" s="2">
        <f>J125*E133</f>
        <v>39000</v>
      </c>
      <c r="I133" s="2">
        <f>L125*E133</f>
        <v>29250</v>
      </c>
      <c r="J133" s="2"/>
      <c r="K133" s="3"/>
      <c r="L133" s="2"/>
    </row>
    <row r="134" hidden="1">
      <c r="A134" s="71" t="s">
        <v>22</v>
      </c>
      <c r="B134" s="76">
        <f>B131-(B133+B132)</f>
        <v>305351</v>
      </c>
      <c r="C134" s="2"/>
      <c r="D134" s="46" t="s">
        <v>18</v>
      </c>
      <c r="E134" s="41"/>
      <c r="F134" s="41">
        <f t="shared" ref="F134:I134" si="43">SUM(F133)</f>
        <v>39000</v>
      </c>
      <c r="G134" s="41">
        <f t="shared" si="43"/>
        <v>43875</v>
      </c>
      <c r="H134" s="41">
        <f t="shared" si="43"/>
        <v>39000</v>
      </c>
      <c r="I134" s="41">
        <f t="shared" si="43"/>
        <v>29250</v>
      </c>
      <c r="J134" s="40">
        <f>SUM(F134:I134)</f>
        <v>151125</v>
      </c>
      <c r="K134" s="3"/>
      <c r="L134" s="2"/>
    </row>
    <row r="137">
      <c r="A137" s="78">
        <v>2025.0</v>
      </c>
    </row>
    <row r="139">
      <c r="A139" s="79" t="s">
        <v>76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</row>
    <row r="140" hidden="1">
      <c r="A140" s="68" t="s">
        <v>3</v>
      </c>
      <c r="B140" s="69">
        <v>50000.0</v>
      </c>
      <c r="C140" s="2"/>
    </row>
    <row r="141" hidden="1">
      <c r="A141" s="19" t="s">
        <v>21</v>
      </c>
      <c r="B141" s="70">
        <v>0.5</v>
      </c>
      <c r="C141" s="2"/>
      <c r="D141" s="7" t="s">
        <v>4</v>
      </c>
      <c r="E141" s="7" t="s">
        <v>5</v>
      </c>
      <c r="F141" s="7" t="s">
        <v>25</v>
      </c>
      <c r="G141" s="7" t="s">
        <v>5</v>
      </c>
      <c r="H141" s="7" t="s">
        <v>26</v>
      </c>
      <c r="I141" s="7" t="s">
        <v>5</v>
      </c>
      <c r="J141" s="7" t="s">
        <v>27</v>
      </c>
      <c r="K141" s="7" t="s">
        <v>5</v>
      </c>
      <c r="L141" s="7" t="s">
        <v>28</v>
      </c>
    </row>
    <row r="142" hidden="1">
      <c r="A142" s="71" t="s">
        <v>23</v>
      </c>
      <c r="B142" s="24">
        <v>1.5</v>
      </c>
      <c r="C142" s="2"/>
      <c r="D142" s="40" t="s">
        <v>71</v>
      </c>
      <c r="E142" s="40">
        <v>8.0</v>
      </c>
      <c r="F142" s="100">
        <f>E142*$B$36</f>
        <v>12</v>
      </c>
      <c r="G142" s="40">
        <v>8.0</v>
      </c>
      <c r="H142" s="100">
        <f t="shared" ref="H142:H143" si="44">G142*$B$8</f>
        <v>12</v>
      </c>
      <c r="I142" s="100">
        <v>8.0</v>
      </c>
      <c r="J142" s="100">
        <f t="shared" ref="J142:J143" si="45">I142*$B$8</f>
        <v>12</v>
      </c>
      <c r="K142" s="100">
        <v>9.0</v>
      </c>
      <c r="L142" s="100">
        <f t="shared" ref="L142:L143" si="46">K142*$B$8</f>
        <v>13.5</v>
      </c>
    </row>
    <row r="143" hidden="1">
      <c r="B143" s="2"/>
      <c r="C143" s="2"/>
      <c r="D143" s="9" t="s">
        <v>82</v>
      </c>
      <c r="E143" s="3">
        <v>0.0</v>
      </c>
      <c r="F143" s="9">
        <f>E143*$B$8</f>
        <v>0</v>
      </c>
      <c r="G143" s="3">
        <v>0.0</v>
      </c>
      <c r="H143" s="9">
        <f t="shared" si="44"/>
        <v>0</v>
      </c>
      <c r="I143" s="9">
        <v>0.0</v>
      </c>
      <c r="J143" s="9">
        <f t="shared" si="45"/>
        <v>0</v>
      </c>
      <c r="K143" s="9">
        <v>0.0</v>
      </c>
      <c r="L143" s="9">
        <f t="shared" si="46"/>
        <v>0</v>
      </c>
    </row>
    <row r="144" hidden="1">
      <c r="A144" s="72" t="s">
        <v>15</v>
      </c>
      <c r="B144" s="69">
        <v>13.0</v>
      </c>
      <c r="C144" s="2"/>
      <c r="D144" s="3"/>
      <c r="E144" s="3"/>
      <c r="F144" s="9"/>
      <c r="G144" s="3"/>
      <c r="H144" s="9"/>
      <c r="I144" s="9"/>
      <c r="J144" s="9"/>
      <c r="K144" s="9"/>
      <c r="L144" s="9"/>
    </row>
    <row r="145" hidden="1">
      <c r="A145" s="19" t="s">
        <v>17</v>
      </c>
      <c r="B145" s="20">
        <v>1.0</v>
      </c>
      <c r="C145" s="2"/>
      <c r="D145" s="3"/>
      <c r="E145" s="3"/>
      <c r="F145" s="9"/>
      <c r="G145" s="3"/>
      <c r="H145" s="9"/>
      <c r="I145" s="9"/>
      <c r="J145" s="9"/>
      <c r="K145" s="9"/>
      <c r="L145" s="9"/>
    </row>
    <row r="146" hidden="1">
      <c r="A146" s="71" t="s">
        <v>18</v>
      </c>
      <c r="B146" s="24">
        <f>SUM(B144:B145)</f>
        <v>14</v>
      </c>
      <c r="C146" s="2"/>
      <c r="K146" s="9"/>
      <c r="L146" s="9"/>
    </row>
    <row r="147" hidden="1">
      <c r="B147" s="2"/>
      <c r="C147" s="2"/>
      <c r="K147" s="9"/>
      <c r="L147" s="9"/>
    </row>
    <row r="148" hidden="1">
      <c r="A148" s="68" t="s">
        <v>12</v>
      </c>
      <c r="B148" s="119">
        <f>(B144*B140)+(B145*(B140/2))</f>
        <v>675000</v>
      </c>
      <c r="C148" s="2"/>
      <c r="D148" s="7" t="s">
        <v>4</v>
      </c>
      <c r="E148" s="7" t="s">
        <v>20</v>
      </c>
      <c r="F148" s="7" t="s">
        <v>25</v>
      </c>
      <c r="G148" s="7" t="s">
        <v>26</v>
      </c>
      <c r="H148" s="7" t="s">
        <v>27</v>
      </c>
      <c r="I148" s="7" t="s">
        <v>28</v>
      </c>
      <c r="J148" s="2"/>
      <c r="K148" s="2"/>
      <c r="L148" s="2"/>
    </row>
    <row r="149" hidden="1">
      <c r="A149" s="83" t="s">
        <v>21</v>
      </c>
      <c r="B149" s="121">
        <f>B148*B141</f>
        <v>337500</v>
      </c>
      <c r="C149" s="2"/>
      <c r="D149" s="3" t="s">
        <v>71</v>
      </c>
      <c r="E149" s="3">
        <v>3250.0</v>
      </c>
      <c r="F149" s="3">
        <f>F142*E149</f>
        <v>39000</v>
      </c>
      <c r="G149" s="2">
        <f>H142*E149</f>
        <v>39000</v>
      </c>
      <c r="H149" s="2">
        <f>J142*E149</f>
        <v>39000</v>
      </c>
      <c r="I149" s="2">
        <f>L142*E149</f>
        <v>43875</v>
      </c>
      <c r="J149" s="2"/>
      <c r="K149" s="2"/>
      <c r="L149" s="2"/>
    </row>
    <row r="150" hidden="1">
      <c r="A150" s="19" t="s">
        <v>66</v>
      </c>
      <c r="B150" s="88">
        <f>J150*1.288</f>
        <v>207207</v>
      </c>
      <c r="C150" s="2"/>
      <c r="D150" s="46" t="s">
        <v>18</v>
      </c>
      <c r="E150" s="41"/>
      <c r="F150" s="41">
        <f t="shared" ref="F150:I150" si="47">SUM(F149)</f>
        <v>39000</v>
      </c>
      <c r="G150" s="41">
        <f t="shared" si="47"/>
        <v>39000</v>
      </c>
      <c r="H150" s="41">
        <f t="shared" si="47"/>
        <v>39000</v>
      </c>
      <c r="I150" s="41">
        <f t="shared" si="47"/>
        <v>43875</v>
      </c>
      <c r="J150" s="40">
        <f>SUM(F150:I150)</f>
        <v>160875</v>
      </c>
      <c r="K150" s="3"/>
      <c r="L150" s="2"/>
    </row>
    <row r="151" hidden="1">
      <c r="A151" s="71" t="s">
        <v>22</v>
      </c>
      <c r="B151" s="89">
        <f>B148-(B150+B149)</f>
        <v>130293</v>
      </c>
      <c r="C151" s="2"/>
      <c r="K151" s="3"/>
      <c r="L151" s="2"/>
    </row>
    <row r="153">
      <c r="A153" s="86" t="s">
        <v>78</v>
      </c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</row>
    <row r="154">
      <c r="A154" s="68" t="s">
        <v>3</v>
      </c>
      <c r="B154" s="69">
        <v>50000.0</v>
      </c>
      <c r="C154" s="2"/>
    </row>
    <row r="155">
      <c r="A155" s="19" t="s">
        <v>21</v>
      </c>
      <c r="B155" s="70">
        <v>0.5</v>
      </c>
      <c r="C155" s="2"/>
      <c r="D155" s="7" t="s">
        <v>4</v>
      </c>
      <c r="E155" s="7" t="s">
        <v>5</v>
      </c>
      <c r="F155" s="7" t="s">
        <v>38</v>
      </c>
      <c r="G155" s="7" t="s">
        <v>5</v>
      </c>
      <c r="H155" s="7" t="s">
        <v>39</v>
      </c>
      <c r="I155" s="7" t="s">
        <v>5</v>
      </c>
      <c r="J155" s="7" t="s">
        <v>40</v>
      </c>
      <c r="K155" s="7" t="s">
        <v>5</v>
      </c>
      <c r="L155" s="7" t="s">
        <v>41</v>
      </c>
    </row>
    <row r="156">
      <c r="A156" s="71" t="s">
        <v>23</v>
      </c>
      <c r="B156" s="24">
        <v>1.5</v>
      </c>
      <c r="C156" s="2"/>
      <c r="D156" s="40" t="s">
        <v>29</v>
      </c>
      <c r="E156" s="40">
        <v>9.0</v>
      </c>
      <c r="F156" s="100">
        <f>E156*$B$36</f>
        <v>13.5</v>
      </c>
      <c r="G156" s="40">
        <v>8.0</v>
      </c>
      <c r="H156" s="100">
        <f t="shared" ref="H156:H157" si="48">G156*$B$8</f>
        <v>12</v>
      </c>
      <c r="I156" s="100">
        <v>10.0</v>
      </c>
      <c r="J156" s="100">
        <f t="shared" ref="J156:J157" si="49">I156*$B$8</f>
        <v>15</v>
      </c>
      <c r="K156" s="100">
        <v>8.0</v>
      </c>
      <c r="L156" s="100">
        <f t="shared" ref="L156:L157" si="50">K156*$B$8</f>
        <v>12</v>
      </c>
    </row>
    <row r="157">
      <c r="C157" s="2"/>
      <c r="D157" s="9" t="s">
        <v>82</v>
      </c>
      <c r="E157" s="3">
        <v>0.0</v>
      </c>
      <c r="F157" s="9">
        <f>E157*$B$8</f>
        <v>0</v>
      </c>
      <c r="G157" s="3">
        <v>0.0</v>
      </c>
      <c r="H157" s="9">
        <f t="shared" si="48"/>
        <v>0</v>
      </c>
      <c r="I157" s="9">
        <v>0.0</v>
      </c>
      <c r="J157" s="9">
        <f t="shared" si="49"/>
        <v>0</v>
      </c>
      <c r="K157" s="9">
        <v>0.0</v>
      </c>
      <c r="L157" s="9">
        <f t="shared" si="50"/>
        <v>0</v>
      </c>
    </row>
    <row r="158">
      <c r="A158" s="72" t="s">
        <v>15</v>
      </c>
      <c r="B158" s="69">
        <v>2.0</v>
      </c>
      <c r="C158" s="2"/>
      <c r="D158" s="3"/>
      <c r="E158" s="3"/>
      <c r="F158" s="9"/>
      <c r="G158" s="3"/>
      <c r="H158" s="9"/>
      <c r="I158" s="9"/>
      <c r="J158" s="9"/>
      <c r="K158" s="9"/>
      <c r="L158" s="9"/>
    </row>
    <row r="159">
      <c r="A159" s="19" t="s">
        <v>17</v>
      </c>
      <c r="B159" s="20">
        <v>0.0</v>
      </c>
      <c r="C159" s="2"/>
      <c r="D159" s="3"/>
      <c r="E159" s="3"/>
      <c r="F159" s="9"/>
      <c r="G159" s="3"/>
      <c r="H159" s="9"/>
      <c r="I159" s="9"/>
      <c r="J159" s="9"/>
      <c r="K159" s="9"/>
      <c r="L159" s="9"/>
    </row>
    <row r="160">
      <c r="A160" s="71" t="s">
        <v>18</v>
      </c>
      <c r="B160" s="24">
        <f>SUM(B158:B159)</f>
        <v>2</v>
      </c>
      <c r="C160" s="2"/>
      <c r="D160" s="3"/>
      <c r="E160" s="3"/>
      <c r="F160" s="9"/>
      <c r="G160" s="3"/>
      <c r="H160" s="9"/>
      <c r="I160" s="9"/>
      <c r="J160" s="9"/>
      <c r="K160" s="9"/>
      <c r="L160" s="9"/>
    </row>
    <row r="161">
      <c r="C161" s="2"/>
      <c r="K161" s="9"/>
      <c r="L161" s="9"/>
    </row>
    <row r="162">
      <c r="A162" s="68" t="s">
        <v>12</v>
      </c>
      <c r="B162" s="82">
        <f>(B158*B154)+(B159*(B154/2))</f>
        <v>100000</v>
      </c>
      <c r="C162" s="2"/>
      <c r="D162" s="7" t="s">
        <v>4</v>
      </c>
      <c r="E162" s="7" t="s">
        <v>20</v>
      </c>
      <c r="F162" s="7" t="s">
        <v>38</v>
      </c>
      <c r="G162" s="7" t="s">
        <v>39</v>
      </c>
      <c r="H162" s="7" t="s">
        <v>40</v>
      </c>
      <c r="I162" s="7" t="s">
        <v>41</v>
      </c>
      <c r="J162" s="2"/>
      <c r="K162" s="2"/>
      <c r="L162" s="2"/>
    </row>
    <row r="163">
      <c r="A163" s="83" t="s">
        <v>21</v>
      </c>
      <c r="B163" s="84">
        <f>(B154*B155)*B158</f>
        <v>50000</v>
      </c>
      <c r="C163" s="2"/>
      <c r="D163" s="3" t="s">
        <v>29</v>
      </c>
      <c r="E163" s="3">
        <v>3250.0</v>
      </c>
      <c r="F163" s="3">
        <f>F156*E163</f>
        <v>43875</v>
      </c>
      <c r="G163" s="2">
        <f>H156*E163</f>
        <v>39000</v>
      </c>
      <c r="H163" s="2">
        <f>J156*E163</f>
        <v>48750</v>
      </c>
      <c r="I163" s="2">
        <f>L156*E163</f>
        <v>39000</v>
      </c>
      <c r="J163" s="2"/>
      <c r="K163" s="2"/>
      <c r="L163" s="2"/>
    </row>
    <row r="164">
      <c r="A164" s="19" t="s">
        <v>66</v>
      </c>
      <c r="B164" s="20">
        <f>J164*1.288</f>
        <v>219765</v>
      </c>
      <c r="C164" s="2"/>
      <c r="D164" s="46" t="s">
        <v>18</v>
      </c>
      <c r="E164" s="41"/>
      <c r="F164" s="41">
        <f t="shared" ref="F164:I164" si="51">SUM(F163)</f>
        <v>43875</v>
      </c>
      <c r="G164" s="41">
        <f t="shared" si="51"/>
        <v>39000</v>
      </c>
      <c r="H164" s="41">
        <f t="shared" si="51"/>
        <v>48750</v>
      </c>
      <c r="I164" s="41">
        <f t="shared" si="51"/>
        <v>39000</v>
      </c>
      <c r="J164" s="40">
        <f>SUM(F164:I164)</f>
        <v>170625</v>
      </c>
      <c r="K164" s="3"/>
      <c r="L164" s="2"/>
    </row>
    <row r="165">
      <c r="A165" s="71" t="s">
        <v>22</v>
      </c>
      <c r="B165" s="85">
        <f>B162-(B164+B163)</f>
        <v>-169765</v>
      </c>
      <c r="C165" s="2"/>
      <c r="K165" s="3"/>
      <c r="L165" s="2"/>
    </row>
    <row r="167">
      <c r="A167" s="66" t="s">
        <v>70</v>
      </c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</row>
    <row r="168">
      <c r="A168" s="68" t="s">
        <v>3</v>
      </c>
      <c r="B168" s="69">
        <v>50000.0</v>
      </c>
      <c r="C168" s="2"/>
    </row>
    <row r="169">
      <c r="A169" s="19" t="s">
        <v>21</v>
      </c>
      <c r="B169" s="70">
        <v>0.5</v>
      </c>
      <c r="C169" s="2"/>
      <c r="D169" s="7" t="s">
        <v>4</v>
      </c>
      <c r="E169" s="7" t="s">
        <v>5</v>
      </c>
      <c r="F169" s="7" t="s">
        <v>6</v>
      </c>
      <c r="G169" s="7" t="s">
        <v>5</v>
      </c>
      <c r="H169" s="7" t="s">
        <v>7</v>
      </c>
      <c r="I169" s="7" t="s">
        <v>5</v>
      </c>
      <c r="J169" s="7" t="s">
        <v>8</v>
      </c>
      <c r="K169" s="7" t="s">
        <v>5</v>
      </c>
      <c r="L169" s="7" t="s">
        <v>9</v>
      </c>
    </row>
    <row r="170">
      <c r="A170" s="71" t="s">
        <v>23</v>
      </c>
      <c r="B170" s="24">
        <v>1.5</v>
      </c>
      <c r="C170" s="2"/>
      <c r="D170" s="40" t="s">
        <v>29</v>
      </c>
      <c r="E170" s="40">
        <v>0.0</v>
      </c>
      <c r="F170" s="100">
        <f>E170*$B$36</f>
        <v>0</v>
      </c>
      <c r="G170" s="40">
        <v>0.0</v>
      </c>
      <c r="H170" s="100">
        <f>G170*$B$8</f>
        <v>0</v>
      </c>
      <c r="I170" s="100">
        <v>0.0</v>
      </c>
      <c r="J170" s="100">
        <f>I170*$B$8</f>
        <v>0</v>
      </c>
      <c r="K170" s="100">
        <v>0.0</v>
      </c>
      <c r="L170" s="100">
        <f>K170*$B$8</f>
        <v>0</v>
      </c>
    </row>
    <row r="171">
      <c r="C171" s="2"/>
      <c r="D171" s="9"/>
      <c r="E171" s="3"/>
      <c r="F171" s="9"/>
      <c r="G171" s="3"/>
      <c r="H171" s="9"/>
      <c r="I171" s="9"/>
      <c r="J171" s="9"/>
      <c r="K171" s="9"/>
      <c r="L171" s="9"/>
    </row>
    <row r="172">
      <c r="A172" s="72" t="s">
        <v>15</v>
      </c>
      <c r="B172" s="69">
        <v>0.0</v>
      </c>
      <c r="C172" s="2"/>
      <c r="D172" s="3"/>
      <c r="E172" s="3"/>
      <c r="F172" s="9"/>
      <c r="G172" s="3"/>
      <c r="H172" s="9"/>
      <c r="I172" s="9"/>
      <c r="J172" s="9"/>
      <c r="K172" s="9"/>
      <c r="L172" s="9"/>
    </row>
    <row r="173">
      <c r="A173" s="19" t="s">
        <v>17</v>
      </c>
      <c r="B173" s="20">
        <v>0.0</v>
      </c>
      <c r="C173" s="2"/>
      <c r="D173" s="3"/>
      <c r="E173" s="3"/>
      <c r="F173" s="9"/>
      <c r="G173" s="3"/>
      <c r="H173" s="9"/>
      <c r="I173" s="9"/>
      <c r="J173" s="9"/>
      <c r="K173" s="9"/>
      <c r="L173" s="9"/>
    </row>
    <row r="174">
      <c r="A174" s="71" t="s">
        <v>18</v>
      </c>
      <c r="B174" s="24">
        <f>SUM(B172:B173)</f>
        <v>0</v>
      </c>
      <c r="C174" s="2"/>
      <c r="D174" s="3"/>
      <c r="E174" s="3"/>
      <c r="F174" s="9"/>
      <c r="G174" s="3"/>
      <c r="H174" s="9"/>
      <c r="I174" s="9"/>
      <c r="J174" s="9"/>
      <c r="K174" s="9"/>
      <c r="L174" s="9"/>
    </row>
    <row r="175">
      <c r="C175" s="2"/>
      <c r="K175" s="9"/>
      <c r="L175" s="9"/>
    </row>
    <row r="176">
      <c r="A176" s="68" t="s">
        <v>12</v>
      </c>
      <c r="B176" s="73">
        <f>(B172*B168)+(B173*(B168/2))</f>
        <v>0</v>
      </c>
      <c r="C176" s="2"/>
      <c r="K176" s="2"/>
      <c r="L176" s="2"/>
    </row>
    <row r="177">
      <c r="A177" s="83" t="s">
        <v>21</v>
      </c>
      <c r="B177" s="91">
        <f>(B168*B169)*B172</f>
        <v>0</v>
      </c>
      <c r="C177" s="2"/>
      <c r="D177" s="7" t="s">
        <v>4</v>
      </c>
      <c r="E177" s="7" t="s">
        <v>20</v>
      </c>
      <c r="F177" s="7" t="s">
        <v>6</v>
      </c>
      <c r="G177" s="7" t="s">
        <v>7</v>
      </c>
      <c r="H177" s="7" t="s">
        <v>8</v>
      </c>
      <c r="I177" s="7" t="s">
        <v>9</v>
      </c>
      <c r="J177" s="2"/>
      <c r="K177" s="2"/>
      <c r="L177" s="2"/>
    </row>
    <row r="178">
      <c r="A178" s="19" t="s">
        <v>66</v>
      </c>
      <c r="B178" s="75">
        <f>J179*1.288</f>
        <v>0</v>
      </c>
      <c r="C178" s="2"/>
      <c r="D178" s="3" t="s">
        <v>29</v>
      </c>
      <c r="E178" s="3">
        <v>3250.0</v>
      </c>
      <c r="F178" s="3">
        <f>F170*E178</f>
        <v>0</v>
      </c>
      <c r="G178" s="2">
        <f>H170*E178</f>
        <v>0</v>
      </c>
      <c r="H178" s="2">
        <f>J170*E178</f>
        <v>0</v>
      </c>
      <c r="I178" s="2">
        <f>L170*E178</f>
        <v>0</v>
      </c>
      <c r="J178" s="2"/>
      <c r="K178" s="3"/>
      <c r="L178" s="2"/>
    </row>
    <row r="179">
      <c r="A179" s="71" t="s">
        <v>22</v>
      </c>
      <c r="B179" s="76">
        <f>B176-(B178+B177)</f>
        <v>0</v>
      </c>
      <c r="C179" s="2"/>
      <c r="D179" s="46" t="s">
        <v>18</v>
      </c>
      <c r="E179" s="41"/>
      <c r="F179" s="41">
        <f t="shared" ref="F179:I179" si="52">SUM(F178)</f>
        <v>0</v>
      </c>
      <c r="G179" s="41">
        <f t="shared" si="52"/>
        <v>0</v>
      </c>
      <c r="H179" s="41">
        <f t="shared" si="52"/>
        <v>0</v>
      </c>
      <c r="I179" s="41">
        <f t="shared" si="52"/>
        <v>0</v>
      </c>
      <c r="J179" s="40">
        <f>SUM(F179:I179)</f>
        <v>0</v>
      </c>
      <c r="K179" s="3"/>
      <c r="L179" s="2"/>
    </row>
  </sheetData>
  <mergeCells count="1">
    <mergeCell ref="A1:C1"/>
  </mergeCells>
  <conditionalFormatting sqref="B17 B31 B45 B61 B75 B89 B106 B120 B134 B151 B165 B179">
    <cfRule type="cellIs" dxfId="0" priority="1" operator="lessThan">
      <formula>0</formula>
    </cfRule>
  </conditionalFormatting>
  <conditionalFormatting sqref="B17 B31 B45 B61 B75 B89 B106 B120 B134 B151 B165 B179">
    <cfRule type="cellIs" dxfId="1" priority="2" operator="greaterThanOrEqual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A1" s="122" t="s">
        <v>83</v>
      </c>
    </row>
    <row r="3">
      <c r="A3" s="78">
        <v>2022.0</v>
      </c>
    </row>
    <row r="5">
      <c r="A5" s="79" t="s">
        <v>76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hidden="1">
      <c r="A6" s="68" t="s">
        <v>3</v>
      </c>
      <c r="B6" s="69">
        <v>45000.0</v>
      </c>
      <c r="C6" s="2"/>
    </row>
    <row r="7" hidden="1">
      <c r="A7" s="19" t="s">
        <v>21</v>
      </c>
      <c r="B7" s="70">
        <v>0.5</v>
      </c>
      <c r="C7" s="2"/>
      <c r="D7" s="7" t="s">
        <v>4</v>
      </c>
      <c r="E7" s="7" t="s">
        <v>5</v>
      </c>
      <c r="F7" s="7" t="s">
        <v>25</v>
      </c>
      <c r="G7" s="7" t="s">
        <v>5</v>
      </c>
      <c r="H7" s="7" t="s">
        <v>26</v>
      </c>
      <c r="I7" s="7" t="s">
        <v>5</v>
      </c>
      <c r="J7" s="7" t="s">
        <v>27</v>
      </c>
      <c r="K7" s="7" t="s">
        <v>5</v>
      </c>
      <c r="L7" s="7" t="s">
        <v>28</v>
      </c>
      <c r="M7" s="81" t="s">
        <v>77</v>
      </c>
    </row>
    <row r="8" hidden="1">
      <c r="A8" s="71" t="s">
        <v>23</v>
      </c>
      <c r="B8" s="24">
        <v>1.5</v>
      </c>
      <c r="C8" s="2"/>
      <c r="D8" s="3" t="s">
        <v>29</v>
      </c>
      <c r="E8" s="3">
        <v>8.0</v>
      </c>
      <c r="F8" s="9">
        <f t="shared" ref="F8:F9" si="1">E8*$B$8</f>
        <v>12</v>
      </c>
      <c r="G8" s="3">
        <v>8.0</v>
      </c>
      <c r="H8" s="9">
        <f t="shared" ref="H8:H9" si="2">G8*$B$8</f>
        <v>12</v>
      </c>
      <c r="I8" s="9">
        <v>10.0</v>
      </c>
      <c r="J8" s="9">
        <f t="shared" ref="J8:J9" si="3">I8*$B$8</f>
        <v>15</v>
      </c>
      <c r="K8" s="9">
        <v>8.0</v>
      </c>
      <c r="L8" s="9">
        <f t="shared" ref="L8:L9" si="4">K8*$B$8</f>
        <v>12</v>
      </c>
      <c r="M8" s="57">
        <f>F8+H8+J8+L8</f>
        <v>51</v>
      </c>
    </row>
    <row r="9" hidden="1">
      <c r="C9" s="2"/>
      <c r="D9" s="3" t="s">
        <v>32</v>
      </c>
      <c r="E9" s="3">
        <v>0.0</v>
      </c>
      <c r="F9" s="9">
        <f t="shared" si="1"/>
        <v>0</v>
      </c>
      <c r="G9" s="3">
        <v>0.0</v>
      </c>
      <c r="H9" s="9">
        <f t="shared" si="2"/>
        <v>0</v>
      </c>
      <c r="I9" s="9">
        <v>0.0</v>
      </c>
      <c r="J9" s="9">
        <f t="shared" si="3"/>
        <v>0</v>
      </c>
      <c r="K9" s="9">
        <v>0.0</v>
      </c>
      <c r="L9" s="9">
        <f t="shared" si="4"/>
        <v>0</v>
      </c>
    </row>
    <row r="10" hidden="1">
      <c r="A10" s="72" t="s">
        <v>15</v>
      </c>
      <c r="B10" s="69">
        <v>5.0</v>
      </c>
      <c r="C10" s="2"/>
      <c r="D10" s="3"/>
      <c r="E10" s="3"/>
      <c r="F10" s="9"/>
      <c r="G10" s="3"/>
      <c r="H10" s="9"/>
      <c r="I10" s="9"/>
      <c r="J10" s="9"/>
      <c r="K10" s="9"/>
      <c r="L10" s="9"/>
    </row>
    <row r="11" hidden="1">
      <c r="A11" s="19" t="s">
        <v>17</v>
      </c>
      <c r="B11" s="20">
        <v>1.0</v>
      </c>
      <c r="C11" s="2"/>
      <c r="D11" s="3"/>
      <c r="E11" s="3"/>
      <c r="F11" s="9"/>
      <c r="G11" s="3"/>
      <c r="H11" s="9"/>
      <c r="I11" s="9"/>
      <c r="J11" s="9"/>
      <c r="K11" s="9"/>
      <c r="L11" s="9"/>
    </row>
    <row r="12" hidden="1">
      <c r="A12" s="71" t="s">
        <v>18</v>
      </c>
      <c r="B12" s="24">
        <f>SUM(B10:B11)</f>
        <v>6</v>
      </c>
      <c r="C12" s="2"/>
      <c r="D12" s="3"/>
      <c r="E12" s="3"/>
      <c r="F12" s="9"/>
      <c r="G12" s="3"/>
      <c r="H12" s="9"/>
      <c r="I12" s="9"/>
      <c r="J12" s="9"/>
      <c r="K12" s="9"/>
      <c r="L12" s="9"/>
    </row>
    <row r="13" hidden="1">
      <c r="C13" s="2"/>
      <c r="D13" s="3"/>
      <c r="E13" s="3"/>
      <c r="F13" s="9"/>
      <c r="G13" s="3"/>
      <c r="H13" s="9"/>
      <c r="I13" s="9"/>
      <c r="J13" s="9"/>
      <c r="K13" s="9"/>
      <c r="L13" s="9"/>
    </row>
    <row r="14" hidden="1">
      <c r="A14" s="68" t="s">
        <v>12</v>
      </c>
      <c r="B14" s="82">
        <f>(B10*B6)+(B11*(B6/2))</f>
        <v>247500</v>
      </c>
      <c r="C14" s="2"/>
      <c r="D14" s="7" t="s">
        <v>4</v>
      </c>
      <c r="E14" s="7" t="s">
        <v>20</v>
      </c>
      <c r="F14" s="7" t="s">
        <v>6</v>
      </c>
      <c r="G14" s="7" t="s">
        <v>7</v>
      </c>
      <c r="H14" s="7" t="s">
        <v>8</v>
      </c>
      <c r="I14" s="7" t="s">
        <v>9</v>
      </c>
      <c r="J14" s="2"/>
      <c r="K14" s="2"/>
      <c r="L14" s="2"/>
    </row>
    <row r="15" hidden="1">
      <c r="A15" s="83" t="s">
        <v>21</v>
      </c>
      <c r="B15" s="84">
        <f>(B6*B7)*(B10+(B11/2))</f>
        <v>123750</v>
      </c>
      <c r="C15" s="2"/>
      <c r="D15" s="3" t="s">
        <v>29</v>
      </c>
      <c r="E15" s="3">
        <v>2400.0</v>
      </c>
      <c r="F15" s="3">
        <f t="shared" ref="F15:F16" si="5">F8*E15</f>
        <v>28800</v>
      </c>
      <c r="G15" s="2">
        <f t="shared" ref="G15:G16" si="6">H8*E15</f>
        <v>28800</v>
      </c>
      <c r="H15" s="2">
        <f t="shared" ref="H15:H16" si="7">J8*E15</f>
        <v>36000</v>
      </c>
      <c r="I15" s="2">
        <f t="shared" ref="I15:I16" si="8">L8*E15</f>
        <v>28800</v>
      </c>
      <c r="J15" s="2"/>
      <c r="K15" s="2"/>
      <c r="L15" s="2"/>
    </row>
    <row r="16" hidden="1">
      <c r="A16" s="19" t="s">
        <v>66</v>
      </c>
      <c r="B16" s="20">
        <f>(J17)*1.288</f>
        <v>157651.2</v>
      </c>
      <c r="C16" s="2"/>
      <c r="D16" s="3" t="s">
        <v>32</v>
      </c>
      <c r="E16" s="3">
        <v>2400.0</v>
      </c>
      <c r="F16" s="3">
        <f t="shared" si="5"/>
        <v>0</v>
      </c>
      <c r="G16" s="2">
        <f t="shared" si="6"/>
        <v>0</v>
      </c>
      <c r="H16" s="2">
        <f t="shared" si="7"/>
        <v>0</v>
      </c>
      <c r="I16" s="2">
        <f t="shared" si="8"/>
        <v>0</v>
      </c>
      <c r="J16" s="2"/>
      <c r="K16" s="3"/>
      <c r="L16" s="2"/>
    </row>
    <row r="17" hidden="1">
      <c r="A17" s="71" t="s">
        <v>22</v>
      </c>
      <c r="B17" s="85">
        <f>B14-(B16+B15)</f>
        <v>-33901.2</v>
      </c>
      <c r="C17" s="2"/>
      <c r="D17" s="7" t="s">
        <v>18</v>
      </c>
      <c r="E17" s="2"/>
      <c r="F17" s="2">
        <f t="shared" ref="F17:I17" si="9">SUM(F15:F16)</f>
        <v>28800</v>
      </c>
      <c r="G17" s="2">
        <f t="shared" si="9"/>
        <v>28800</v>
      </c>
      <c r="H17" s="2">
        <f t="shared" si="9"/>
        <v>36000</v>
      </c>
      <c r="I17" s="2">
        <f t="shared" si="9"/>
        <v>28800</v>
      </c>
      <c r="J17" s="3">
        <f>SUM(F17:I17)</f>
        <v>122400</v>
      </c>
      <c r="K17" s="3"/>
      <c r="L17" s="2"/>
    </row>
    <row r="18">
      <c r="C18" s="2"/>
      <c r="K18" s="3"/>
      <c r="L18" s="2"/>
    </row>
    <row r="19">
      <c r="A19" s="86" t="s">
        <v>78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hidden="1">
      <c r="A20" s="68" t="s">
        <v>3</v>
      </c>
      <c r="B20" s="69">
        <v>45000.0</v>
      </c>
      <c r="C20" s="2"/>
    </row>
    <row r="21" hidden="1">
      <c r="A21" s="19" t="s">
        <v>21</v>
      </c>
      <c r="B21" s="70">
        <v>0.5</v>
      </c>
      <c r="C21" s="2"/>
      <c r="D21" s="7" t="s">
        <v>4</v>
      </c>
      <c r="E21" s="7" t="s">
        <v>5</v>
      </c>
      <c r="F21" s="7" t="s">
        <v>38</v>
      </c>
      <c r="G21" s="7" t="s">
        <v>5</v>
      </c>
      <c r="H21" s="7" t="s">
        <v>39</v>
      </c>
      <c r="I21" s="7" t="s">
        <v>5</v>
      </c>
      <c r="J21" s="7" t="s">
        <v>40</v>
      </c>
      <c r="K21" s="7" t="s">
        <v>5</v>
      </c>
      <c r="L21" s="7" t="s">
        <v>41</v>
      </c>
    </row>
    <row r="22" hidden="1">
      <c r="A22" s="71" t="s">
        <v>23</v>
      </c>
      <c r="B22" s="24">
        <v>2.0</v>
      </c>
      <c r="C22" s="2"/>
      <c r="D22" s="3" t="s">
        <v>29</v>
      </c>
      <c r="E22" s="3">
        <v>9.0</v>
      </c>
      <c r="F22" s="9">
        <f t="shared" ref="F22:F23" si="10">E22*$B$8</f>
        <v>13.5</v>
      </c>
      <c r="G22" s="3">
        <v>7.0</v>
      </c>
      <c r="H22" s="9">
        <f t="shared" ref="H22:H23" si="11">G22*$B$8</f>
        <v>10.5</v>
      </c>
      <c r="I22" s="9">
        <v>7.0</v>
      </c>
      <c r="J22" s="9">
        <f t="shared" ref="J22:J23" si="12">I22*$B$8</f>
        <v>10.5</v>
      </c>
      <c r="K22" s="9">
        <v>9.0</v>
      </c>
      <c r="L22" s="9">
        <f t="shared" ref="L22:L23" si="13">K22*$B$8</f>
        <v>13.5</v>
      </c>
    </row>
    <row r="23" hidden="1">
      <c r="C23" s="2"/>
      <c r="D23" s="3" t="s">
        <v>32</v>
      </c>
      <c r="E23" s="3">
        <v>0.0</v>
      </c>
      <c r="F23" s="9">
        <f t="shared" si="10"/>
        <v>0</v>
      </c>
      <c r="G23" s="3">
        <v>0.0</v>
      </c>
      <c r="H23" s="9">
        <f t="shared" si="11"/>
        <v>0</v>
      </c>
      <c r="I23" s="9">
        <v>0.0</v>
      </c>
      <c r="J23" s="9">
        <f t="shared" si="12"/>
        <v>0</v>
      </c>
      <c r="K23" s="9">
        <v>0.0</v>
      </c>
      <c r="L23" s="9">
        <f t="shared" si="13"/>
        <v>0</v>
      </c>
    </row>
    <row r="24" hidden="1">
      <c r="A24" s="72" t="s">
        <v>15</v>
      </c>
      <c r="B24" s="69">
        <v>4.0</v>
      </c>
      <c r="C24" s="2"/>
      <c r="D24" s="3"/>
      <c r="E24" s="3"/>
      <c r="F24" s="9"/>
      <c r="G24" s="3"/>
      <c r="H24" s="9"/>
      <c r="I24" s="9"/>
      <c r="J24" s="9"/>
      <c r="K24" s="9"/>
      <c r="L24" s="9"/>
    </row>
    <row r="25" hidden="1">
      <c r="A25" s="19" t="s">
        <v>17</v>
      </c>
      <c r="B25" s="20">
        <v>0.0</v>
      </c>
      <c r="C25" s="2"/>
      <c r="D25" s="3"/>
      <c r="E25" s="3"/>
      <c r="F25" s="9"/>
      <c r="G25" s="3"/>
      <c r="H25" s="9"/>
      <c r="I25" s="9"/>
      <c r="J25" s="9"/>
      <c r="K25" s="9"/>
      <c r="L25" s="9"/>
    </row>
    <row r="26" hidden="1">
      <c r="A26" s="71" t="s">
        <v>18</v>
      </c>
      <c r="B26" s="24">
        <f>SUM(B24:B25)</f>
        <v>4</v>
      </c>
      <c r="C26" s="2"/>
      <c r="D26" s="3"/>
      <c r="E26" s="3"/>
      <c r="F26" s="9"/>
      <c r="G26" s="3"/>
      <c r="H26" s="9"/>
      <c r="I26" s="9"/>
      <c r="J26" s="9"/>
      <c r="K26" s="9"/>
      <c r="L26" s="9"/>
    </row>
    <row r="27" hidden="1">
      <c r="C27" s="2"/>
      <c r="D27" s="3"/>
      <c r="E27" s="3"/>
      <c r="F27" s="9"/>
      <c r="G27" s="3"/>
      <c r="H27" s="9"/>
      <c r="I27" s="9"/>
      <c r="J27" s="9"/>
      <c r="K27" s="9"/>
      <c r="L27" s="9"/>
    </row>
    <row r="28" hidden="1">
      <c r="A28" s="68" t="s">
        <v>12</v>
      </c>
      <c r="B28" s="82">
        <f>(B24*B20)+(B25*(B20/2))</f>
        <v>180000</v>
      </c>
      <c r="C28" s="2"/>
      <c r="D28" s="7" t="s">
        <v>4</v>
      </c>
      <c r="E28" s="7" t="s">
        <v>20</v>
      </c>
      <c r="F28" s="7" t="s">
        <v>6</v>
      </c>
      <c r="G28" s="7" t="s">
        <v>7</v>
      </c>
      <c r="H28" s="7" t="s">
        <v>8</v>
      </c>
      <c r="I28" s="7" t="s">
        <v>9</v>
      </c>
      <c r="J28" s="2"/>
      <c r="K28" s="2"/>
      <c r="L28" s="2"/>
    </row>
    <row r="29" hidden="1">
      <c r="A29" s="83" t="s">
        <v>21</v>
      </c>
      <c r="B29" s="84">
        <f>(B20*B21)*B24</f>
        <v>90000</v>
      </c>
      <c r="C29" s="2"/>
      <c r="D29" s="3" t="s">
        <v>29</v>
      </c>
      <c r="E29" s="3">
        <v>2400.0</v>
      </c>
      <c r="F29" s="3">
        <f t="shared" ref="F29:F30" si="14">F22*E29</f>
        <v>32400</v>
      </c>
      <c r="G29" s="2">
        <f t="shared" ref="G29:G30" si="15">H22*E29</f>
        <v>25200</v>
      </c>
      <c r="H29" s="2">
        <f t="shared" ref="H29:H30" si="16">J22*E29</f>
        <v>25200</v>
      </c>
      <c r="I29" s="2">
        <f t="shared" ref="I29:I30" si="17">L22*E29</f>
        <v>32400</v>
      </c>
      <c r="J29" s="2"/>
      <c r="K29" s="2"/>
      <c r="L29" s="2"/>
    </row>
    <row r="30" hidden="1">
      <c r="A30" s="19" t="s">
        <v>66</v>
      </c>
      <c r="B30" s="88">
        <f>(J31)*1.288</f>
        <v>148377.6</v>
      </c>
      <c r="C30" s="2"/>
      <c r="D30" s="3" t="s">
        <v>32</v>
      </c>
      <c r="E30" s="3">
        <v>2400.0</v>
      </c>
      <c r="F30" s="3">
        <f t="shared" si="14"/>
        <v>0</v>
      </c>
      <c r="G30" s="2">
        <f t="shared" si="15"/>
        <v>0</v>
      </c>
      <c r="H30" s="2">
        <f t="shared" si="16"/>
        <v>0</v>
      </c>
      <c r="I30" s="2">
        <f t="shared" si="17"/>
        <v>0</v>
      </c>
      <c r="J30" s="2"/>
      <c r="K30" s="3"/>
      <c r="L30" s="2"/>
    </row>
    <row r="31" hidden="1">
      <c r="A31" s="71" t="s">
        <v>22</v>
      </c>
      <c r="B31" s="89">
        <f>B28-(B30+B29)</f>
        <v>-58377.6</v>
      </c>
      <c r="C31" s="2"/>
      <c r="D31" s="7" t="s">
        <v>18</v>
      </c>
      <c r="E31" s="2"/>
      <c r="F31" s="2">
        <f t="shared" ref="F31:I31" si="18">SUM(F29:F30)</f>
        <v>32400</v>
      </c>
      <c r="G31" s="2">
        <f t="shared" si="18"/>
        <v>25200</v>
      </c>
      <c r="H31" s="2">
        <f t="shared" si="18"/>
        <v>25200</v>
      </c>
      <c r="I31" s="2">
        <f t="shared" si="18"/>
        <v>32400</v>
      </c>
      <c r="J31" s="3">
        <f>SUM(F31:I31)</f>
        <v>115200</v>
      </c>
      <c r="K31" s="3"/>
      <c r="L31" s="2"/>
    </row>
    <row r="33">
      <c r="A33" s="66" t="s">
        <v>70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hidden="1">
      <c r="A34" s="68" t="s">
        <v>3</v>
      </c>
      <c r="B34" s="69">
        <v>45000.0</v>
      </c>
      <c r="C34" s="2"/>
    </row>
    <row r="35" hidden="1">
      <c r="A35" s="90" t="s">
        <v>84</v>
      </c>
      <c r="B35" s="123">
        <v>56500.0</v>
      </c>
      <c r="C35" s="2"/>
      <c r="D35" s="7" t="s">
        <v>4</v>
      </c>
      <c r="E35" s="7" t="s">
        <v>5</v>
      </c>
      <c r="F35" s="7" t="s">
        <v>6</v>
      </c>
      <c r="G35" s="7" t="s">
        <v>5</v>
      </c>
      <c r="H35" s="7" t="s">
        <v>7</v>
      </c>
      <c r="I35" s="7" t="s">
        <v>5</v>
      </c>
      <c r="J35" s="7" t="s">
        <v>8</v>
      </c>
      <c r="K35" s="7" t="s">
        <v>5</v>
      </c>
      <c r="L35" s="7" t="s">
        <v>9</v>
      </c>
    </row>
    <row r="36" hidden="1">
      <c r="A36" s="19" t="s">
        <v>21</v>
      </c>
      <c r="B36" s="70">
        <v>0.5</v>
      </c>
      <c r="C36" s="2"/>
      <c r="D36" s="3" t="s">
        <v>29</v>
      </c>
      <c r="E36" s="3">
        <v>9.0</v>
      </c>
      <c r="F36" s="9">
        <f>E36*$B$37</f>
        <v>18</v>
      </c>
      <c r="G36" s="3">
        <v>8.0</v>
      </c>
      <c r="H36" s="9">
        <f>G36*B37</f>
        <v>16</v>
      </c>
      <c r="I36" s="9">
        <v>9.0</v>
      </c>
      <c r="J36" s="9">
        <f>I36*B37</f>
        <v>18</v>
      </c>
      <c r="K36" s="9">
        <v>7.0</v>
      </c>
      <c r="L36" s="9">
        <f>K36*B37</f>
        <v>14</v>
      </c>
    </row>
    <row r="37" hidden="1">
      <c r="A37" s="71" t="s">
        <v>23</v>
      </c>
      <c r="B37" s="24">
        <v>2.0</v>
      </c>
      <c r="C37" s="2"/>
      <c r="D37" s="3" t="s">
        <v>32</v>
      </c>
      <c r="E37" s="3">
        <v>0.0</v>
      </c>
      <c r="F37" s="9">
        <f>E37*$B$8</f>
        <v>0</v>
      </c>
      <c r="G37" s="3">
        <v>0.0</v>
      </c>
      <c r="H37" s="9">
        <f>G37*$B$8</f>
        <v>0</v>
      </c>
      <c r="I37" s="9">
        <v>0.0</v>
      </c>
      <c r="J37" s="9">
        <f>I37*$B$8</f>
        <v>0</v>
      </c>
      <c r="K37" s="9">
        <v>0.0</v>
      </c>
      <c r="L37" s="9">
        <f>K37*$B$8</f>
        <v>0</v>
      </c>
    </row>
    <row r="38" hidden="1">
      <c r="C38" s="2"/>
      <c r="D38" s="3"/>
      <c r="E38" s="3"/>
      <c r="F38" s="9"/>
      <c r="G38" s="3"/>
      <c r="H38" s="9"/>
      <c r="I38" s="9"/>
      <c r="J38" s="9"/>
      <c r="K38" s="9"/>
      <c r="L38" s="9"/>
    </row>
    <row r="39" hidden="1">
      <c r="A39" s="72" t="s">
        <v>15</v>
      </c>
      <c r="B39" s="69">
        <v>4.0</v>
      </c>
      <c r="C39" s="2"/>
      <c r="D39" s="3"/>
      <c r="E39" s="3"/>
      <c r="F39" s="9"/>
      <c r="G39" s="3"/>
      <c r="H39" s="9"/>
      <c r="I39" s="9"/>
      <c r="J39" s="9"/>
      <c r="K39" s="9"/>
      <c r="L39" s="9"/>
    </row>
    <row r="40" hidden="1">
      <c r="A40" s="19" t="s">
        <v>17</v>
      </c>
      <c r="B40" s="20">
        <v>0.0</v>
      </c>
      <c r="C40" s="2"/>
      <c r="D40" s="3"/>
      <c r="E40" s="3"/>
      <c r="F40" s="9"/>
      <c r="G40" s="3"/>
      <c r="H40" s="9"/>
      <c r="I40" s="9"/>
      <c r="J40" s="9"/>
      <c r="K40" s="9"/>
      <c r="L40" s="9"/>
    </row>
    <row r="41" hidden="1">
      <c r="A41" s="19" t="s">
        <v>85</v>
      </c>
      <c r="B41" s="20">
        <v>1.0</v>
      </c>
      <c r="C41" s="2"/>
      <c r="D41" s="3"/>
      <c r="E41" s="3"/>
      <c r="F41" s="9"/>
      <c r="G41" s="3"/>
      <c r="H41" s="9"/>
      <c r="I41" s="9"/>
      <c r="J41" s="9"/>
      <c r="K41" s="9"/>
      <c r="L41" s="9"/>
    </row>
    <row r="42" hidden="1">
      <c r="A42" s="124" t="s">
        <v>18</v>
      </c>
      <c r="B42" s="125">
        <f>SUM(B39:B41)</f>
        <v>5</v>
      </c>
      <c r="C42" s="2"/>
      <c r="J42" s="2"/>
      <c r="K42" s="2"/>
      <c r="L42" s="2"/>
    </row>
    <row r="43" hidden="1">
      <c r="K43" s="2"/>
      <c r="L43" s="2"/>
    </row>
    <row r="44" hidden="1">
      <c r="A44" s="68" t="s">
        <v>12</v>
      </c>
      <c r="B44" s="82">
        <f>(B39*B34)+(B40*(B34/2))+(B41*B34)</f>
        <v>225000</v>
      </c>
      <c r="C44" s="2"/>
      <c r="D44" s="7" t="s">
        <v>4</v>
      </c>
      <c r="E44" s="7" t="s">
        <v>20</v>
      </c>
      <c r="F44" s="7" t="s">
        <v>6</v>
      </c>
      <c r="G44" s="7" t="s">
        <v>7</v>
      </c>
      <c r="H44" s="7" t="s">
        <v>8</v>
      </c>
      <c r="I44" s="7" t="s">
        <v>9</v>
      </c>
      <c r="J44" s="2"/>
      <c r="K44" s="3"/>
      <c r="L44" s="2"/>
    </row>
    <row r="45" hidden="1">
      <c r="A45" s="83" t="s">
        <v>21</v>
      </c>
      <c r="B45" s="84">
        <f>(B34*B36)*(B39+(B40/2))+(B41*(B35-B34))</f>
        <v>101500</v>
      </c>
      <c r="C45" s="2"/>
      <c r="D45" s="3" t="s">
        <v>29</v>
      </c>
      <c r="E45" s="3">
        <v>2500.0</v>
      </c>
      <c r="F45" s="3">
        <f>F36*E45</f>
        <v>45000</v>
      </c>
      <c r="G45" s="2">
        <f>H36*E45</f>
        <v>40000</v>
      </c>
      <c r="H45" s="2">
        <f>J36*E45</f>
        <v>45000</v>
      </c>
      <c r="I45" s="2">
        <f>L36*E45</f>
        <v>35000</v>
      </c>
      <c r="J45" s="2"/>
      <c r="K45" s="3"/>
      <c r="L45" s="2"/>
    </row>
    <row r="46" hidden="1">
      <c r="A46" s="19" t="s">
        <v>66</v>
      </c>
      <c r="B46" s="20">
        <f>J46*1.288</f>
        <v>212520</v>
      </c>
      <c r="C46" s="2"/>
      <c r="D46" s="46" t="s">
        <v>18</v>
      </c>
      <c r="E46" s="41"/>
      <c r="F46" s="41">
        <f t="shared" ref="F46:I46" si="19">SUM(F45)</f>
        <v>45000</v>
      </c>
      <c r="G46" s="41">
        <f t="shared" si="19"/>
        <v>40000</v>
      </c>
      <c r="H46" s="41">
        <f t="shared" si="19"/>
        <v>45000</v>
      </c>
      <c r="I46" s="41">
        <f t="shared" si="19"/>
        <v>35000</v>
      </c>
      <c r="J46" s="40">
        <f>SUM(F46:I46)</f>
        <v>165000</v>
      </c>
    </row>
    <row r="47" hidden="1">
      <c r="A47" s="71" t="s">
        <v>22</v>
      </c>
      <c r="B47" s="85">
        <f>B44-(B46+B45)</f>
        <v>-89020</v>
      </c>
    </row>
    <row r="49">
      <c r="A49" s="78">
        <v>2023.0</v>
      </c>
    </row>
    <row r="51">
      <c r="A51" s="79" t="s">
        <v>76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hidden="1">
      <c r="A52" s="68" t="s">
        <v>3</v>
      </c>
      <c r="B52" s="69">
        <v>45000.0</v>
      </c>
      <c r="C52" s="2"/>
    </row>
    <row r="53" hidden="1">
      <c r="A53" s="90" t="s">
        <v>84</v>
      </c>
      <c r="B53" s="123">
        <v>56500.0</v>
      </c>
      <c r="C53" s="2"/>
      <c r="D53" s="7" t="s">
        <v>4</v>
      </c>
      <c r="E53" s="7" t="s">
        <v>5</v>
      </c>
      <c r="F53" s="7" t="s">
        <v>25</v>
      </c>
      <c r="G53" s="7" t="s">
        <v>5</v>
      </c>
      <c r="H53" s="7" t="s">
        <v>26</v>
      </c>
      <c r="I53" s="7" t="s">
        <v>5</v>
      </c>
      <c r="J53" s="7" t="s">
        <v>27</v>
      </c>
      <c r="K53" s="7" t="s">
        <v>5</v>
      </c>
      <c r="L53" s="7" t="s">
        <v>28</v>
      </c>
    </row>
    <row r="54" hidden="1">
      <c r="A54" s="19" t="s">
        <v>21</v>
      </c>
      <c r="B54" s="70">
        <v>0.5</v>
      </c>
      <c r="C54" s="2"/>
      <c r="D54" s="3" t="s">
        <v>29</v>
      </c>
      <c r="E54" s="3">
        <v>9.0</v>
      </c>
      <c r="F54" s="9">
        <f>E54*$B$37</f>
        <v>18</v>
      </c>
      <c r="G54" s="3">
        <v>9.0</v>
      </c>
      <c r="H54" s="9">
        <f>G54*B55</f>
        <v>18</v>
      </c>
      <c r="I54" s="9">
        <v>9.0</v>
      </c>
      <c r="J54" s="9">
        <f>I54*B55</f>
        <v>18</v>
      </c>
      <c r="K54" s="9">
        <v>8.0</v>
      </c>
      <c r="L54" s="9">
        <f>K54*B55</f>
        <v>16</v>
      </c>
    </row>
    <row r="55" hidden="1">
      <c r="A55" s="71" t="s">
        <v>23</v>
      </c>
      <c r="B55" s="24">
        <v>2.0</v>
      </c>
      <c r="C55" s="2"/>
      <c r="D55" s="3" t="s">
        <v>82</v>
      </c>
      <c r="E55" s="3">
        <v>0.0</v>
      </c>
      <c r="F55" s="9">
        <f>E55*$B$8</f>
        <v>0</v>
      </c>
      <c r="G55" s="3">
        <v>0.0</v>
      </c>
      <c r="H55" s="9">
        <f>G55*$B$8</f>
        <v>0</v>
      </c>
      <c r="I55" s="9">
        <v>0.0</v>
      </c>
      <c r="J55" s="9">
        <f>I55*$B$8</f>
        <v>0</v>
      </c>
      <c r="K55" s="9">
        <v>0.0</v>
      </c>
      <c r="L55" s="9">
        <f>K55*$B$8</f>
        <v>0</v>
      </c>
    </row>
    <row r="56" hidden="1">
      <c r="C56" s="2"/>
      <c r="D56" s="3"/>
      <c r="E56" s="3"/>
      <c r="F56" s="9"/>
      <c r="G56" s="3"/>
      <c r="H56" s="9"/>
      <c r="I56" s="9"/>
      <c r="J56" s="9"/>
      <c r="K56" s="9"/>
      <c r="L56" s="9"/>
    </row>
    <row r="57" hidden="1">
      <c r="A57" s="72" t="s">
        <v>15</v>
      </c>
      <c r="B57" s="69">
        <v>9.0</v>
      </c>
      <c r="C57" s="2"/>
      <c r="D57" s="3"/>
      <c r="E57" s="3"/>
      <c r="F57" s="9"/>
      <c r="G57" s="3"/>
      <c r="H57" s="9"/>
      <c r="I57" s="9"/>
      <c r="J57" s="9"/>
      <c r="K57" s="9"/>
      <c r="L57" s="9"/>
    </row>
    <row r="58" hidden="1">
      <c r="A58" s="19" t="s">
        <v>17</v>
      </c>
      <c r="B58" s="20">
        <v>1.0</v>
      </c>
      <c r="C58" s="2"/>
      <c r="D58" s="3"/>
      <c r="E58" s="3"/>
      <c r="F58" s="9"/>
      <c r="G58" s="3"/>
      <c r="H58" s="9"/>
      <c r="I58" s="9"/>
      <c r="J58" s="9"/>
      <c r="K58" s="9"/>
      <c r="L58" s="9"/>
    </row>
    <row r="59" hidden="1">
      <c r="A59" s="19" t="s">
        <v>85</v>
      </c>
      <c r="B59" s="20">
        <v>5.0</v>
      </c>
      <c r="C59" s="2"/>
      <c r="D59" s="3"/>
      <c r="E59" s="3"/>
      <c r="F59" s="9"/>
      <c r="G59" s="3"/>
      <c r="H59" s="9"/>
      <c r="I59" s="9"/>
      <c r="J59" s="9"/>
      <c r="K59" s="9"/>
      <c r="L59" s="9"/>
    </row>
    <row r="60" hidden="1">
      <c r="A60" s="124" t="s">
        <v>18</v>
      </c>
      <c r="B60" s="125">
        <f>SUM(B57:B59)</f>
        <v>15</v>
      </c>
      <c r="C60" s="2"/>
      <c r="J60" s="2"/>
      <c r="K60" s="2"/>
      <c r="L60" s="2"/>
    </row>
    <row r="61" hidden="1">
      <c r="K61" s="2"/>
      <c r="L61" s="2"/>
    </row>
    <row r="62" hidden="1">
      <c r="A62" s="68" t="s">
        <v>12</v>
      </c>
      <c r="B62" s="82">
        <f>(B57*B52)+(B58*(B52/2))+(B59*B52)</f>
        <v>652500</v>
      </c>
      <c r="C62" s="2"/>
      <c r="D62" s="7" t="s">
        <v>4</v>
      </c>
      <c r="E62" s="7" t="s">
        <v>20</v>
      </c>
      <c r="F62" s="7" t="s">
        <v>25</v>
      </c>
      <c r="G62" s="7" t="s">
        <v>26</v>
      </c>
      <c r="H62" s="7" t="s">
        <v>27</v>
      </c>
      <c r="I62" s="7" t="s">
        <v>28</v>
      </c>
      <c r="J62" s="2"/>
      <c r="K62" s="3"/>
      <c r="L62" s="2"/>
    </row>
    <row r="63" hidden="1">
      <c r="A63" s="83" t="s">
        <v>21</v>
      </c>
      <c r="B63" s="84">
        <f>(B52*B54)*(B57+(B58/2))+(B59*(B53-B52))</f>
        <v>271250</v>
      </c>
      <c r="C63" s="2"/>
      <c r="D63" s="3" t="s">
        <v>29</v>
      </c>
      <c r="E63" s="3">
        <v>2700.0</v>
      </c>
      <c r="F63" s="3">
        <f>F54*E63</f>
        <v>48600</v>
      </c>
      <c r="G63" s="2">
        <f>H54*E63</f>
        <v>48600</v>
      </c>
      <c r="H63" s="2">
        <f>J54*E63</f>
        <v>48600</v>
      </c>
      <c r="I63" s="2">
        <f>L54*E63</f>
        <v>43200</v>
      </c>
      <c r="J63" s="2"/>
      <c r="K63" s="3"/>
      <c r="L63" s="2"/>
    </row>
    <row r="64" hidden="1">
      <c r="A64" s="19" t="s">
        <v>66</v>
      </c>
      <c r="B64" s="20">
        <f>J64*1.288</f>
        <v>243432</v>
      </c>
      <c r="C64" s="2"/>
      <c r="D64" s="46" t="s">
        <v>18</v>
      </c>
      <c r="E64" s="41"/>
      <c r="F64" s="41">
        <f t="shared" ref="F64:I64" si="20">SUM(F63)</f>
        <v>48600</v>
      </c>
      <c r="G64" s="41">
        <f t="shared" si="20"/>
        <v>48600</v>
      </c>
      <c r="H64" s="41">
        <f t="shared" si="20"/>
        <v>48600</v>
      </c>
      <c r="I64" s="41">
        <f t="shared" si="20"/>
        <v>43200</v>
      </c>
      <c r="J64" s="40">
        <f>SUM(F64:I64)</f>
        <v>189000</v>
      </c>
    </row>
    <row r="65" hidden="1">
      <c r="A65" s="71" t="s">
        <v>22</v>
      </c>
      <c r="B65" s="85">
        <f>B62-(B64+B63)</f>
        <v>137818</v>
      </c>
    </row>
    <row r="67">
      <c r="A67" s="86" t="s">
        <v>78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</row>
    <row r="68" hidden="1">
      <c r="A68" s="68" t="s">
        <v>3</v>
      </c>
      <c r="B68" s="69">
        <v>45000.0</v>
      </c>
      <c r="C68" s="2"/>
    </row>
    <row r="69" hidden="1">
      <c r="A69" s="90" t="s">
        <v>84</v>
      </c>
      <c r="B69" s="123">
        <v>56500.0</v>
      </c>
      <c r="C69" s="2"/>
      <c r="D69" s="7" t="s">
        <v>4</v>
      </c>
      <c r="E69" s="7" t="s">
        <v>5</v>
      </c>
      <c r="F69" s="7" t="s">
        <v>38</v>
      </c>
      <c r="G69" s="7" t="s">
        <v>5</v>
      </c>
      <c r="H69" s="7" t="s">
        <v>39</v>
      </c>
      <c r="I69" s="7" t="s">
        <v>5</v>
      </c>
      <c r="J69" s="7" t="s">
        <v>40</v>
      </c>
      <c r="K69" s="7" t="s">
        <v>5</v>
      </c>
      <c r="L69" s="7" t="s">
        <v>41</v>
      </c>
    </row>
    <row r="70" hidden="1">
      <c r="A70" s="19" t="s">
        <v>21</v>
      </c>
      <c r="B70" s="70">
        <v>0.5</v>
      </c>
      <c r="C70" s="2"/>
      <c r="D70" s="3" t="s">
        <v>29</v>
      </c>
      <c r="E70" s="3">
        <v>9.0</v>
      </c>
      <c r="F70" s="9">
        <f>E70*$B$37</f>
        <v>18</v>
      </c>
      <c r="G70" s="3">
        <v>8.0</v>
      </c>
      <c r="H70" s="9">
        <f>G70*B71</f>
        <v>16</v>
      </c>
      <c r="I70" s="9">
        <v>8.0</v>
      </c>
      <c r="J70" s="9">
        <f>I70*B71</f>
        <v>16</v>
      </c>
      <c r="K70" s="9">
        <v>10.0</v>
      </c>
      <c r="L70" s="9">
        <f>K70*B71</f>
        <v>20</v>
      </c>
    </row>
    <row r="71" hidden="1">
      <c r="A71" s="71" t="s">
        <v>23</v>
      </c>
      <c r="B71" s="24">
        <v>2.0</v>
      </c>
      <c r="C71" s="2"/>
      <c r="D71" s="3" t="s">
        <v>82</v>
      </c>
      <c r="E71" s="3">
        <v>0.0</v>
      </c>
      <c r="F71" s="9">
        <f>E71*$B$8</f>
        <v>0</v>
      </c>
      <c r="G71" s="3">
        <v>0.0</v>
      </c>
      <c r="H71" s="9">
        <f>G71*$B$8</f>
        <v>0</v>
      </c>
      <c r="I71" s="9">
        <v>0.0</v>
      </c>
      <c r="J71" s="9">
        <f>I71*$B$8</f>
        <v>0</v>
      </c>
      <c r="K71" s="9">
        <v>0.0</v>
      </c>
      <c r="L71" s="9">
        <f>K71*$B$8</f>
        <v>0</v>
      </c>
    </row>
    <row r="72" hidden="1">
      <c r="C72" s="2"/>
      <c r="D72" s="3"/>
      <c r="E72" s="3"/>
      <c r="F72" s="9"/>
      <c r="G72" s="3"/>
      <c r="H72" s="9"/>
      <c r="I72" s="9"/>
      <c r="J72" s="9"/>
      <c r="K72" s="9"/>
      <c r="L72" s="9"/>
    </row>
    <row r="73" hidden="1">
      <c r="A73" s="72" t="s">
        <v>15</v>
      </c>
      <c r="B73" s="69">
        <v>4.0</v>
      </c>
      <c r="C73" s="2"/>
      <c r="D73" s="3"/>
      <c r="E73" s="3"/>
      <c r="F73" s="9"/>
      <c r="G73" s="3"/>
      <c r="H73" s="9"/>
      <c r="I73" s="9"/>
      <c r="J73" s="9"/>
      <c r="K73" s="9"/>
      <c r="L73" s="9"/>
    </row>
    <row r="74" hidden="1">
      <c r="A74" s="19" t="s">
        <v>17</v>
      </c>
      <c r="B74" s="20">
        <v>0.0</v>
      </c>
      <c r="C74" s="2"/>
      <c r="D74" s="3"/>
      <c r="E74" s="3"/>
      <c r="F74" s="9"/>
      <c r="G74" s="3"/>
      <c r="H74" s="9"/>
      <c r="I74" s="9"/>
      <c r="J74" s="9"/>
      <c r="K74" s="9"/>
      <c r="L74" s="9"/>
    </row>
    <row r="75" hidden="1">
      <c r="A75" s="19" t="s">
        <v>85</v>
      </c>
      <c r="B75" s="20">
        <v>2.0</v>
      </c>
      <c r="C75" s="2"/>
      <c r="D75" s="3"/>
      <c r="E75" s="3"/>
      <c r="F75" s="9"/>
      <c r="G75" s="3"/>
      <c r="H75" s="9"/>
      <c r="I75" s="9"/>
      <c r="J75" s="9"/>
      <c r="K75" s="9"/>
      <c r="L75" s="9"/>
    </row>
    <row r="76" hidden="1">
      <c r="A76" s="124" t="s">
        <v>18</v>
      </c>
      <c r="B76" s="125">
        <f>SUM(B73:B75)</f>
        <v>6</v>
      </c>
      <c r="C76" s="2"/>
      <c r="J76" s="2"/>
      <c r="K76" s="2"/>
      <c r="L76" s="2"/>
    </row>
    <row r="77" hidden="1">
      <c r="K77" s="2"/>
      <c r="L77" s="2"/>
    </row>
    <row r="78" hidden="1">
      <c r="A78" s="68" t="s">
        <v>12</v>
      </c>
      <c r="B78" s="82">
        <f>(B73*B68)+(B74*(B68/2))+(B75*B68)</f>
        <v>270000</v>
      </c>
      <c r="C78" s="2"/>
      <c r="D78" s="7" t="s">
        <v>4</v>
      </c>
      <c r="E78" s="7" t="s">
        <v>20</v>
      </c>
      <c r="F78" s="7" t="s">
        <v>38</v>
      </c>
      <c r="G78" s="7" t="s">
        <v>39</v>
      </c>
      <c r="H78" s="7" t="s">
        <v>40</v>
      </c>
      <c r="I78" s="7" t="s">
        <v>41</v>
      </c>
      <c r="J78" s="2"/>
      <c r="K78" s="3"/>
      <c r="L78" s="2"/>
    </row>
    <row r="79" hidden="1">
      <c r="A79" s="83" t="s">
        <v>21</v>
      </c>
      <c r="B79" s="84">
        <f>(B68*B70)*(B73+(B74/2))+(B75*(B69-B68))</f>
        <v>113000</v>
      </c>
      <c r="C79" s="2"/>
      <c r="D79" s="3" t="s">
        <v>29</v>
      </c>
      <c r="E79" s="3">
        <v>2700.0</v>
      </c>
      <c r="F79" s="3">
        <f>F70*E79</f>
        <v>48600</v>
      </c>
      <c r="G79" s="2">
        <f>H70*E79</f>
        <v>43200</v>
      </c>
      <c r="H79" s="2">
        <f>J70*E79</f>
        <v>43200</v>
      </c>
      <c r="I79" s="2">
        <f>L70*E79</f>
        <v>54000</v>
      </c>
      <c r="J79" s="2"/>
      <c r="K79" s="3"/>
      <c r="L79" s="2"/>
    </row>
    <row r="80" hidden="1">
      <c r="A80" s="19" t="s">
        <v>66</v>
      </c>
      <c r="B80" s="20">
        <f>J80*1.288</f>
        <v>243432</v>
      </c>
      <c r="C80" s="2"/>
      <c r="D80" s="46" t="s">
        <v>18</v>
      </c>
      <c r="E80" s="41"/>
      <c r="F80" s="41">
        <f t="shared" ref="F80:I80" si="21">SUM(F79)</f>
        <v>48600</v>
      </c>
      <c r="G80" s="41">
        <f t="shared" si="21"/>
        <v>43200</v>
      </c>
      <c r="H80" s="41">
        <f t="shared" si="21"/>
        <v>43200</v>
      </c>
      <c r="I80" s="41">
        <f t="shared" si="21"/>
        <v>54000</v>
      </c>
      <c r="J80" s="40">
        <f>SUM(F80:I80)</f>
        <v>189000</v>
      </c>
    </row>
    <row r="81" hidden="1">
      <c r="A81" s="71" t="s">
        <v>22</v>
      </c>
      <c r="B81" s="85">
        <f>B78-(B80+B79)</f>
        <v>-86432</v>
      </c>
    </row>
    <row r="83">
      <c r="A83" s="66" t="s">
        <v>70</v>
      </c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</row>
    <row r="84" hidden="1">
      <c r="A84" s="68" t="s">
        <v>3</v>
      </c>
      <c r="B84" s="69">
        <v>50000.0</v>
      </c>
      <c r="C84" s="2"/>
    </row>
    <row r="85" hidden="1">
      <c r="A85" s="90" t="s">
        <v>84</v>
      </c>
      <c r="B85" s="123">
        <v>61500.0</v>
      </c>
      <c r="C85" s="2"/>
      <c r="D85" s="7" t="s">
        <v>4</v>
      </c>
      <c r="E85" s="7" t="s">
        <v>5</v>
      </c>
      <c r="F85" s="7" t="s">
        <v>6</v>
      </c>
      <c r="G85" s="7" t="s">
        <v>5</v>
      </c>
      <c r="H85" s="7" t="s">
        <v>7</v>
      </c>
      <c r="I85" s="7" t="s">
        <v>5</v>
      </c>
      <c r="J85" s="7" t="s">
        <v>8</v>
      </c>
      <c r="K85" s="7" t="s">
        <v>5</v>
      </c>
      <c r="L85" s="7" t="s">
        <v>9</v>
      </c>
    </row>
    <row r="86" hidden="1">
      <c r="A86" s="19" t="s">
        <v>21</v>
      </c>
      <c r="B86" s="70">
        <v>0.5</v>
      </c>
      <c r="C86" s="2"/>
      <c r="D86" s="3" t="s">
        <v>29</v>
      </c>
      <c r="E86" s="3">
        <v>8.0</v>
      </c>
      <c r="F86" s="9">
        <f>E86*$B$37</f>
        <v>16</v>
      </c>
      <c r="G86" s="3">
        <v>9.0</v>
      </c>
      <c r="H86" s="9">
        <f>G86*B87</f>
        <v>18</v>
      </c>
      <c r="I86" s="9">
        <v>9.0</v>
      </c>
      <c r="J86" s="9">
        <f>I86*B87</f>
        <v>18</v>
      </c>
      <c r="K86" s="9">
        <v>6.0</v>
      </c>
      <c r="L86" s="9">
        <f>K86*B87</f>
        <v>12</v>
      </c>
    </row>
    <row r="87" hidden="1">
      <c r="A87" s="71" t="s">
        <v>23</v>
      </c>
      <c r="B87" s="24">
        <v>2.0</v>
      </c>
      <c r="C87" s="2"/>
      <c r="D87" s="3" t="s">
        <v>79</v>
      </c>
      <c r="E87" s="3">
        <v>0.0</v>
      </c>
      <c r="F87" s="9">
        <f>E87*$B$8</f>
        <v>0</v>
      </c>
      <c r="G87" s="3">
        <v>3.0</v>
      </c>
      <c r="H87" s="9">
        <f>G87*$B$8</f>
        <v>4.5</v>
      </c>
      <c r="I87" s="9">
        <v>9.0</v>
      </c>
      <c r="J87" s="9">
        <f>I87*B87</f>
        <v>18</v>
      </c>
      <c r="K87" s="9">
        <v>0.0</v>
      </c>
      <c r="L87" s="9">
        <f>K87*B87</f>
        <v>0</v>
      </c>
    </row>
    <row r="88" hidden="1">
      <c r="C88" s="2"/>
      <c r="D88" s="3"/>
      <c r="E88" s="3"/>
      <c r="F88" s="9"/>
      <c r="G88" s="3"/>
      <c r="H88" s="9"/>
      <c r="I88" s="9"/>
      <c r="J88" s="9"/>
      <c r="K88" s="9"/>
      <c r="L88" s="9"/>
    </row>
    <row r="89" hidden="1">
      <c r="A89" s="72" t="s">
        <v>15</v>
      </c>
      <c r="B89" s="69">
        <v>1.0</v>
      </c>
      <c r="C89" s="2"/>
      <c r="D89" s="3"/>
      <c r="E89" s="3"/>
      <c r="F89" s="9"/>
      <c r="G89" s="3"/>
      <c r="H89" s="9"/>
      <c r="I89" s="9"/>
      <c r="J89" s="9"/>
      <c r="K89" s="9"/>
      <c r="L89" s="9"/>
    </row>
    <row r="90" hidden="1">
      <c r="A90" s="19" t="s">
        <v>17</v>
      </c>
      <c r="B90" s="20">
        <v>0.0</v>
      </c>
      <c r="C90" s="2"/>
      <c r="D90" s="3"/>
      <c r="E90" s="3"/>
      <c r="F90" s="9"/>
      <c r="G90" s="3"/>
      <c r="H90" s="9"/>
      <c r="I90" s="9"/>
      <c r="J90" s="9"/>
      <c r="K90" s="9"/>
      <c r="L90" s="9"/>
    </row>
    <row r="91" hidden="1">
      <c r="A91" s="19" t="s">
        <v>85</v>
      </c>
      <c r="B91" s="20">
        <v>4.0</v>
      </c>
      <c r="C91" s="2"/>
      <c r="D91" s="3"/>
      <c r="E91" s="3"/>
      <c r="F91" s="9"/>
      <c r="G91" s="3"/>
      <c r="H91" s="9"/>
      <c r="I91" s="9"/>
      <c r="J91" s="9"/>
      <c r="K91" s="9"/>
      <c r="L91" s="9"/>
    </row>
    <row r="92" hidden="1">
      <c r="A92" s="124" t="s">
        <v>18</v>
      </c>
      <c r="B92" s="125">
        <f>SUM(B89:B91)</f>
        <v>5</v>
      </c>
      <c r="C92" s="2"/>
      <c r="J92" s="2"/>
      <c r="K92" s="2"/>
      <c r="L92" s="2"/>
    </row>
    <row r="93" hidden="1">
      <c r="K93" s="2"/>
      <c r="L93" s="2"/>
    </row>
    <row r="94" hidden="1">
      <c r="A94" s="68" t="s">
        <v>12</v>
      </c>
      <c r="B94" s="73">
        <f>(B89*B84)+(B90*(B84/2))+(B91*B84)</f>
        <v>250000</v>
      </c>
      <c r="C94" s="2"/>
      <c r="D94" s="7" t="s">
        <v>4</v>
      </c>
      <c r="E94" s="7" t="s">
        <v>20</v>
      </c>
      <c r="F94" s="7" t="s">
        <v>6</v>
      </c>
      <c r="G94" s="7" t="s">
        <v>7</v>
      </c>
      <c r="H94" s="7" t="s">
        <v>8</v>
      </c>
      <c r="I94" s="7" t="s">
        <v>9</v>
      </c>
      <c r="J94" s="2"/>
      <c r="K94" s="3"/>
      <c r="L94" s="2"/>
    </row>
    <row r="95" hidden="1">
      <c r="A95" s="83" t="s">
        <v>21</v>
      </c>
      <c r="B95" s="91">
        <f>(B84*B86)*(B89+(B90/2))+(B91*(B85-B84))</f>
        <v>71000</v>
      </c>
      <c r="C95" s="2"/>
      <c r="D95" s="3" t="s">
        <v>29</v>
      </c>
      <c r="E95" s="3">
        <v>2700.0</v>
      </c>
      <c r="F95" s="3">
        <f t="shared" ref="F95:F96" si="22">F86*E95</f>
        <v>43200</v>
      </c>
      <c r="G95" s="2">
        <f t="shared" ref="G95:G96" si="23">H86*E95</f>
        <v>48600</v>
      </c>
      <c r="H95" s="2">
        <f t="shared" ref="H95:H96" si="24">J86*E95</f>
        <v>48600</v>
      </c>
      <c r="I95" s="2">
        <f t="shared" ref="I95:I96" si="25">L86*E95</f>
        <v>32400</v>
      </c>
      <c r="J95" s="2"/>
      <c r="K95" s="3"/>
      <c r="L95" s="2"/>
    </row>
    <row r="96" hidden="1">
      <c r="A96" s="19" t="s">
        <v>66</v>
      </c>
      <c r="B96" s="75">
        <f>J97*1.288</f>
        <v>295016.4</v>
      </c>
      <c r="C96" s="2"/>
      <c r="D96" s="90" t="s">
        <v>79</v>
      </c>
      <c r="E96" s="90">
        <v>2500.0</v>
      </c>
      <c r="F96" s="3">
        <f t="shared" si="22"/>
        <v>0</v>
      </c>
      <c r="G96" s="2">
        <f t="shared" si="23"/>
        <v>11250</v>
      </c>
      <c r="H96" s="2">
        <f t="shared" si="24"/>
        <v>45000</v>
      </c>
      <c r="I96" s="2">
        <f t="shared" si="25"/>
        <v>0</v>
      </c>
    </row>
    <row r="97" hidden="1">
      <c r="A97" s="71" t="s">
        <v>22</v>
      </c>
      <c r="B97" s="76">
        <f>B94-(B96+B95)</f>
        <v>-116016.4</v>
      </c>
      <c r="D97" s="46" t="s">
        <v>18</v>
      </c>
      <c r="E97" s="41"/>
      <c r="F97" s="41">
        <f t="shared" ref="F97:I97" si="26">SUM(F95:F96)</f>
        <v>43200</v>
      </c>
      <c r="G97" s="41">
        <f t="shared" si="26"/>
        <v>59850</v>
      </c>
      <c r="H97" s="41">
        <f t="shared" si="26"/>
        <v>93600</v>
      </c>
      <c r="I97" s="41">
        <f t="shared" si="26"/>
        <v>32400</v>
      </c>
      <c r="J97" s="40">
        <f>SUM(F97:I97)</f>
        <v>229050</v>
      </c>
    </row>
    <row r="99">
      <c r="A99" s="78">
        <v>2024.0</v>
      </c>
    </row>
    <row r="101">
      <c r="A101" s="79" t="s">
        <v>76</v>
      </c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hidden="1">
      <c r="A102" s="68" t="s">
        <v>3</v>
      </c>
      <c r="B102" s="69">
        <v>50000.0</v>
      </c>
      <c r="C102" s="2"/>
    </row>
    <row r="103" hidden="1">
      <c r="A103" s="90" t="s">
        <v>84</v>
      </c>
      <c r="B103" s="123">
        <v>61500.0</v>
      </c>
      <c r="C103" s="2"/>
      <c r="D103" s="7" t="s">
        <v>4</v>
      </c>
      <c r="E103" s="7" t="s">
        <v>5</v>
      </c>
      <c r="F103" s="7" t="s">
        <v>25</v>
      </c>
      <c r="G103" s="7" t="s">
        <v>5</v>
      </c>
      <c r="H103" s="7" t="s">
        <v>26</v>
      </c>
      <c r="I103" s="7" t="s">
        <v>5</v>
      </c>
      <c r="J103" s="7" t="s">
        <v>27</v>
      </c>
      <c r="K103" s="7" t="s">
        <v>5</v>
      </c>
      <c r="L103" s="7" t="s">
        <v>28</v>
      </c>
    </row>
    <row r="104" hidden="1">
      <c r="A104" s="19" t="s">
        <v>21</v>
      </c>
      <c r="B104" s="70">
        <v>0.5</v>
      </c>
      <c r="C104" s="2"/>
      <c r="D104" s="3" t="s">
        <v>29</v>
      </c>
      <c r="E104" s="3">
        <v>8.0</v>
      </c>
      <c r="F104" s="9">
        <f>E104*$B$37</f>
        <v>16</v>
      </c>
      <c r="G104" s="3">
        <v>9.0</v>
      </c>
      <c r="H104" s="9">
        <f>G104*B105</f>
        <v>18</v>
      </c>
      <c r="I104" s="9">
        <v>8.0</v>
      </c>
      <c r="J104" s="9">
        <f>I104*B105</f>
        <v>16</v>
      </c>
      <c r="K104" s="9">
        <v>9.0</v>
      </c>
      <c r="L104" s="9">
        <f>K104*B105</f>
        <v>18</v>
      </c>
    </row>
    <row r="105" hidden="1">
      <c r="A105" s="71" t="s">
        <v>23</v>
      </c>
      <c r="B105" s="24">
        <v>2.0</v>
      </c>
      <c r="C105" s="2"/>
      <c r="D105" s="3" t="s">
        <v>82</v>
      </c>
      <c r="E105" s="3">
        <v>0.0</v>
      </c>
      <c r="F105" s="9">
        <f>E105*$B$8</f>
        <v>0</v>
      </c>
      <c r="G105" s="3">
        <v>0.0</v>
      </c>
      <c r="H105" s="9">
        <f>G105*$B$8</f>
        <v>0</v>
      </c>
      <c r="I105" s="9">
        <v>0.0</v>
      </c>
      <c r="J105" s="9">
        <f>I105*$B$8</f>
        <v>0</v>
      </c>
      <c r="K105" s="9">
        <v>0.0</v>
      </c>
      <c r="L105" s="9">
        <f>K105*$B$8</f>
        <v>0</v>
      </c>
    </row>
    <row r="106" hidden="1">
      <c r="C106" s="2"/>
      <c r="D106" s="3"/>
      <c r="E106" s="3"/>
      <c r="F106" s="9"/>
      <c r="G106" s="3"/>
      <c r="H106" s="9"/>
      <c r="I106" s="9"/>
      <c r="J106" s="9"/>
      <c r="K106" s="9"/>
      <c r="L106" s="9"/>
    </row>
    <row r="107" hidden="1">
      <c r="A107" s="72" t="s">
        <v>15</v>
      </c>
      <c r="B107" s="69">
        <v>4.0</v>
      </c>
      <c r="C107" s="2"/>
      <c r="D107" s="3"/>
      <c r="E107" s="3"/>
      <c r="F107" s="9"/>
      <c r="G107" s="3"/>
      <c r="H107" s="9"/>
      <c r="I107" s="9"/>
      <c r="J107" s="9"/>
      <c r="K107" s="9"/>
      <c r="L107" s="9"/>
    </row>
    <row r="108" hidden="1">
      <c r="A108" s="19" t="s">
        <v>17</v>
      </c>
      <c r="B108" s="20">
        <v>0.0</v>
      </c>
      <c r="C108" s="2"/>
      <c r="D108" s="3"/>
      <c r="E108" s="3"/>
      <c r="F108" s="9"/>
      <c r="G108" s="3"/>
      <c r="H108" s="9"/>
      <c r="I108" s="9"/>
      <c r="J108" s="9"/>
      <c r="K108" s="9"/>
      <c r="L108" s="9"/>
    </row>
    <row r="109" hidden="1">
      <c r="A109" s="19" t="s">
        <v>85</v>
      </c>
      <c r="B109" s="20">
        <v>1.0</v>
      </c>
      <c r="C109" s="2"/>
      <c r="D109" s="3"/>
      <c r="E109" s="3"/>
      <c r="F109" s="9"/>
      <c r="G109" s="3"/>
      <c r="H109" s="9"/>
      <c r="I109" s="9"/>
      <c r="J109" s="9"/>
      <c r="K109" s="9"/>
      <c r="L109" s="9"/>
    </row>
    <row r="110" hidden="1">
      <c r="A110" s="124" t="s">
        <v>18</v>
      </c>
      <c r="B110" s="125">
        <f>SUM(B107:B109)</f>
        <v>5</v>
      </c>
      <c r="C110" s="2"/>
      <c r="J110" s="2"/>
      <c r="K110" s="2"/>
      <c r="L110" s="2"/>
    </row>
    <row r="111" hidden="1">
      <c r="K111" s="2"/>
      <c r="L111" s="2"/>
    </row>
    <row r="112" hidden="1">
      <c r="A112" s="68" t="s">
        <v>12</v>
      </c>
      <c r="B112" s="119">
        <f>(B107*B102)+(B108*(B102/2))+(B109*B102)</f>
        <v>250000</v>
      </c>
      <c r="C112" s="2"/>
      <c r="D112" s="7" t="s">
        <v>4</v>
      </c>
      <c r="E112" s="7" t="s">
        <v>20</v>
      </c>
      <c r="F112" s="7" t="s">
        <v>25</v>
      </c>
      <c r="G112" s="7" t="s">
        <v>26</v>
      </c>
      <c r="H112" s="7" t="s">
        <v>27</v>
      </c>
      <c r="I112" s="7" t="s">
        <v>28</v>
      </c>
      <c r="J112" s="2"/>
      <c r="K112" s="3"/>
      <c r="L112" s="2"/>
    </row>
    <row r="113" hidden="1">
      <c r="A113" s="83" t="s">
        <v>21</v>
      </c>
      <c r="B113" s="120">
        <f>(B102*B104)*(B107+(B108/2))+(B109*(B103-B102))</f>
        <v>111500</v>
      </c>
      <c r="C113" s="2"/>
      <c r="D113" s="3" t="s">
        <v>29</v>
      </c>
      <c r="E113" s="3">
        <v>3250.0</v>
      </c>
      <c r="F113" s="3">
        <f>F104*E113</f>
        <v>52000</v>
      </c>
      <c r="G113" s="2">
        <f>H104*E113</f>
        <v>58500</v>
      </c>
      <c r="H113" s="2">
        <f>J104*E113</f>
        <v>52000</v>
      </c>
      <c r="I113" s="2">
        <f>L104*E113</f>
        <v>58500</v>
      </c>
      <c r="J113" s="2"/>
      <c r="K113" s="3"/>
      <c r="L113" s="2"/>
    </row>
    <row r="114" hidden="1">
      <c r="A114" s="19" t="s">
        <v>66</v>
      </c>
      <c r="B114" s="88">
        <f>J114*1.288</f>
        <v>284648</v>
      </c>
      <c r="C114" s="2"/>
      <c r="D114" s="46" t="s">
        <v>18</v>
      </c>
      <c r="E114" s="41"/>
      <c r="F114" s="41">
        <f t="shared" ref="F114:I114" si="27">SUM(F113)</f>
        <v>52000</v>
      </c>
      <c r="G114" s="41">
        <f t="shared" si="27"/>
        <v>58500</v>
      </c>
      <c r="H114" s="41">
        <f t="shared" si="27"/>
        <v>52000</v>
      </c>
      <c r="I114" s="41">
        <f t="shared" si="27"/>
        <v>58500</v>
      </c>
      <c r="J114" s="40">
        <f>SUM(F114:I114)</f>
        <v>221000</v>
      </c>
    </row>
    <row r="115" hidden="1">
      <c r="A115" s="71" t="s">
        <v>22</v>
      </c>
      <c r="B115" s="89">
        <f>B112-(B114+B113)</f>
        <v>-146148</v>
      </c>
    </row>
    <row r="117">
      <c r="A117" s="86" t="s">
        <v>78</v>
      </c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</row>
    <row r="118" hidden="1">
      <c r="A118" s="68" t="s">
        <v>3</v>
      </c>
      <c r="B118" s="69">
        <v>50000.0</v>
      </c>
      <c r="C118" s="2"/>
    </row>
    <row r="119" hidden="1">
      <c r="A119" s="90" t="s">
        <v>84</v>
      </c>
      <c r="B119" s="123">
        <v>61500.0</v>
      </c>
      <c r="C119" s="2"/>
      <c r="D119" s="7" t="s">
        <v>4</v>
      </c>
      <c r="E119" s="7" t="s">
        <v>5</v>
      </c>
      <c r="F119" s="7" t="s">
        <v>38</v>
      </c>
      <c r="G119" s="7" t="s">
        <v>5</v>
      </c>
      <c r="H119" s="7" t="s">
        <v>39</v>
      </c>
      <c r="I119" s="7" t="s">
        <v>5</v>
      </c>
      <c r="J119" s="7" t="s">
        <v>40</v>
      </c>
      <c r="K119" s="7" t="s">
        <v>5</v>
      </c>
      <c r="L119" s="7" t="s">
        <v>41</v>
      </c>
    </row>
    <row r="120" hidden="1">
      <c r="A120" s="19" t="s">
        <v>21</v>
      </c>
      <c r="B120" s="70">
        <v>0.5</v>
      </c>
      <c r="C120" s="2"/>
      <c r="D120" s="3" t="s">
        <v>29</v>
      </c>
      <c r="E120" s="3">
        <v>9.0</v>
      </c>
      <c r="F120" s="9">
        <f>E120*$B$37</f>
        <v>18</v>
      </c>
      <c r="G120" s="3">
        <v>8.0</v>
      </c>
      <c r="H120" s="9">
        <f>G120*B121</f>
        <v>16</v>
      </c>
      <c r="I120" s="9">
        <v>9.0</v>
      </c>
      <c r="J120" s="9">
        <f>I120*B121</f>
        <v>18</v>
      </c>
      <c r="K120" s="9">
        <v>9.0</v>
      </c>
      <c r="L120" s="9">
        <f>K120*B121</f>
        <v>18</v>
      </c>
    </row>
    <row r="121" hidden="1">
      <c r="A121" s="71" t="s">
        <v>23</v>
      </c>
      <c r="B121" s="24">
        <v>2.0</v>
      </c>
      <c r="C121" s="2"/>
      <c r="D121" s="3" t="s">
        <v>82</v>
      </c>
      <c r="E121" s="3">
        <v>0.0</v>
      </c>
      <c r="F121" s="9">
        <f>E121*$B$8</f>
        <v>0</v>
      </c>
      <c r="G121" s="3">
        <v>0.0</v>
      </c>
      <c r="H121" s="9">
        <f>G121*$B$8</f>
        <v>0</v>
      </c>
      <c r="I121" s="9">
        <v>0.0</v>
      </c>
      <c r="J121" s="9">
        <f>I121*$B$8</f>
        <v>0</v>
      </c>
      <c r="K121" s="9">
        <v>0.0</v>
      </c>
      <c r="L121" s="9">
        <f>K121*$B$8</f>
        <v>0</v>
      </c>
    </row>
    <row r="122" hidden="1">
      <c r="C122" s="2"/>
      <c r="D122" s="3"/>
      <c r="E122" s="3"/>
      <c r="F122" s="9"/>
      <c r="G122" s="3"/>
      <c r="H122" s="9"/>
      <c r="I122" s="9"/>
      <c r="J122" s="9"/>
      <c r="K122" s="9"/>
      <c r="L122" s="9"/>
    </row>
    <row r="123" hidden="1">
      <c r="A123" s="72" t="s">
        <v>15</v>
      </c>
      <c r="B123" s="69">
        <v>1.0</v>
      </c>
      <c r="C123" s="2"/>
      <c r="D123" s="3"/>
      <c r="E123" s="3"/>
      <c r="F123" s="9"/>
      <c r="G123" s="3"/>
      <c r="H123" s="9"/>
      <c r="I123" s="9"/>
      <c r="J123" s="9"/>
      <c r="K123" s="9"/>
      <c r="L123" s="9"/>
    </row>
    <row r="124" hidden="1">
      <c r="A124" s="19" t="s">
        <v>17</v>
      </c>
      <c r="B124" s="20">
        <v>0.0</v>
      </c>
      <c r="C124" s="2"/>
      <c r="D124" s="3"/>
      <c r="E124" s="3"/>
      <c r="F124" s="9"/>
      <c r="G124" s="3"/>
      <c r="H124" s="9"/>
      <c r="I124" s="9"/>
      <c r="J124" s="9"/>
      <c r="K124" s="9"/>
      <c r="L124" s="9"/>
    </row>
    <row r="125" hidden="1">
      <c r="A125" s="19" t="s">
        <v>85</v>
      </c>
      <c r="B125" s="20">
        <v>5.0</v>
      </c>
      <c r="C125" s="2"/>
      <c r="D125" s="3"/>
      <c r="E125" s="3"/>
      <c r="F125" s="9"/>
      <c r="G125" s="3"/>
      <c r="H125" s="9"/>
      <c r="I125" s="9"/>
      <c r="J125" s="9"/>
      <c r="K125" s="9"/>
      <c r="L125" s="9"/>
    </row>
    <row r="126" hidden="1">
      <c r="A126" s="124" t="s">
        <v>18</v>
      </c>
      <c r="B126" s="125">
        <f>SUM(B123:B125)</f>
        <v>6</v>
      </c>
      <c r="C126" s="2"/>
      <c r="J126" s="2"/>
      <c r="K126" s="2"/>
      <c r="L126" s="2"/>
    </row>
    <row r="127" hidden="1">
      <c r="K127" s="2"/>
      <c r="L127" s="2"/>
    </row>
    <row r="128" hidden="1">
      <c r="A128" s="68" t="s">
        <v>12</v>
      </c>
      <c r="B128" s="82">
        <f>(B123*B118)+(B124*(B118/2))+(B125*B118)</f>
        <v>300000</v>
      </c>
      <c r="C128" s="2"/>
      <c r="D128" s="7" t="s">
        <v>4</v>
      </c>
      <c r="E128" s="7" t="s">
        <v>20</v>
      </c>
      <c r="F128" s="7" t="s">
        <v>38</v>
      </c>
      <c r="G128" s="7" t="s">
        <v>39</v>
      </c>
      <c r="H128" s="7" t="s">
        <v>40</v>
      </c>
      <c r="I128" s="7" t="s">
        <v>41</v>
      </c>
      <c r="J128" s="2"/>
      <c r="K128" s="3"/>
      <c r="L128" s="2"/>
    </row>
    <row r="129" hidden="1">
      <c r="A129" s="83" t="s">
        <v>21</v>
      </c>
      <c r="B129" s="84">
        <f>(B118*B120)*(B123+(B124/2))+(B125*(B119-B118))</f>
        <v>82500</v>
      </c>
      <c r="C129" s="2"/>
      <c r="D129" s="3" t="s">
        <v>29</v>
      </c>
      <c r="E129" s="3">
        <v>3250.0</v>
      </c>
      <c r="F129" s="3">
        <f>F120*E129</f>
        <v>58500</v>
      </c>
      <c r="G129" s="2">
        <f>H120*E129</f>
        <v>52000</v>
      </c>
      <c r="H129" s="2">
        <f>J120*E129</f>
        <v>58500</v>
      </c>
      <c r="I129" s="2">
        <f>L120*E129</f>
        <v>58500</v>
      </c>
      <c r="J129" s="2"/>
      <c r="K129" s="3"/>
      <c r="L129" s="2"/>
    </row>
    <row r="130" hidden="1">
      <c r="A130" s="19" t="s">
        <v>66</v>
      </c>
      <c r="B130" s="20">
        <f>J130*1.288</f>
        <v>293020</v>
      </c>
      <c r="C130" s="2"/>
      <c r="D130" s="46" t="s">
        <v>18</v>
      </c>
      <c r="E130" s="41"/>
      <c r="F130" s="41">
        <f t="shared" ref="F130:I130" si="28">SUM(F129)</f>
        <v>58500</v>
      </c>
      <c r="G130" s="41">
        <f t="shared" si="28"/>
        <v>52000</v>
      </c>
      <c r="H130" s="41">
        <f t="shared" si="28"/>
        <v>58500</v>
      </c>
      <c r="I130" s="41">
        <f t="shared" si="28"/>
        <v>58500</v>
      </c>
      <c r="J130" s="40">
        <f>SUM(F130:I130)</f>
        <v>227500</v>
      </c>
    </row>
    <row r="131" hidden="1">
      <c r="A131" s="71" t="s">
        <v>22</v>
      </c>
      <c r="B131" s="85">
        <f>B128-(B130+B129)</f>
        <v>-75520</v>
      </c>
    </row>
    <row r="133">
      <c r="A133" s="66" t="s">
        <v>70</v>
      </c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</row>
    <row r="134" hidden="1">
      <c r="A134" s="68" t="s">
        <v>3</v>
      </c>
      <c r="B134" s="69">
        <v>50000.0</v>
      </c>
      <c r="C134" s="2"/>
    </row>
    <row r="135" hidden="1">
      <c r="A135" s="90" t="s">
        <v>84</v>
      </c>
      <c r="B135" s="123">
        <v>61500.0</v>
      </c>
      <c r="C135" s="2"/>
      <c r="D135" s="7" t="s">
        <v>4</v>
      </c>
      <c r="E135" s="7" t="s">
        <v>5</v>
      </c>
      <c r="F135" s="7" t="s">
        <v>6</v>
      </c>
      <c r="G135" s="7" t="s">
        <v>5</v>
      </c>
      <c r="H135" s="7" t="s">
        <v>7</v>
      </c>
      <c r="I135" s="7" t="s">
        <v>5</v>
      </c>
      <c r="J135" s="7" t="s">
        <v>8</v>
      </c>
      <c r="K135" s="7" t="s">
        <v>5</v>
      </c>
      <c r="L135" s="7" t="s">
        <v>9</v>
      </c>
    </row>
    <row r="136" hidden="1">
      <c r="A136" s="19" t="s">
        <v>21</v>
      </c>
      <c r="B136" s="70">
        <v>0.5</v>
      </c>
      <c r="C136" s="2"/>
      <c r="D136" s="3" t="s">
        <v>29</v>
      </c>
      <c r="E136" s="3">
        <v>8.0</v>
      </c>
      <c r="F136" s="9">
        <f>E136*$B$37</f>
        <v>16</v>
      </c>
      <c r="G136" s="3">
        <v>9.0</v>
      </c>
      <c r="H136" s="9">
        <f>G136*B137</f>
        <v>18</v>
      </c>
      <c r="I136" s="9">
        <v>8.0</v>
      </c>
      <c r="J136" s="9">
        <f>I136*B137</f>
        <v>16</v>
      </c>
      <c r="K136" s="9">
        <v>6.0</v>
      </c>
      <c r="L136" s="9">
        <f>K136*B137</f>
        <v>12</v>
      </c>
    </row>
    <row r="137" hidden="1">
      <c r="A137" s="71" t="s">
        <v>23</v>
      </c>
      <c r="B137" s="24">
        <v>2.0</v>
      </c>
      <c r="C137" s="2"/>
      <c r="D137" s="3"/>
      <c r="E137" s="3"/>
      <c r="F137" s="9"/>
      <c r="G137" s="3"/>
      <c r="H137" s="9"/>
      <c r="I137" s="9"/>
      <c r="J137" s="9"/>
      <c r="K137" s="9"/>
      <c r="L137" s="9"/>
    </row>
    <row r="138" hidden="1">
      <c r="C138" s="2"/>
      <c r="D138" s="3"/>
      <c r="E138" s="3"/>
      <c r="F138" s="9"/>
      <c r="G138" s="3"/>
      <c r="H138" s="9"/>
      <c r="I138" s="9"/>
      <c r="J138" s="9"/>
      <c r="K138" s="9"/>
      <c r="L138" s="9"/>
    </row>
    <row r="139" hidden="1">
      <c r="A139" s="72" t="s">
        <v>15</v>
      </c>
      <c r="B139" s="69">
        <v>7.0</v>
      </c>
      <c r="C139" s="2"/>
      <c r="D139" s="3"/>
      <c r="E139" s="3"/>
      <c r="F139" s="9"/>
      <c r="G139" s="3"/>
      <c r="H139" s="9"/>
      <c r="I139" s="9"/>
      <c r="J139" s="9"/>
      <c r="K139" s="9"/>
      <c r="L139" s="9"/>
    </row>
    <row r="140" hidden="1">
      <c r="A140" s="19" t="s">
        <v>17</v>
      </c>
      <c r="B140" s="20">
        <v>0.0</v>
      </c>
      <c r="C140" s="2"/>
      <c r="D140" s="3"/>
      <c r="E140" s="3"/>
      <c r="F140" s="9"/>
      <c r="G140" s="3"/>
      <c r="H140" s="9"/>
      <c r="I140" s="9"/>
      <c r="J140" s="9"/>
      <c r="K140" s="9"/>
      <c r="L140" s="9"/>
    </row>
    <row r="141" hidden="1">
      <c r="A141" s="19" t="s">
        <v>85</v>
      </c>
      <c r="B141" s="20">
        <v>3.0</v>
      </c>
      <c r="C141" s="2"/>
      <c r="D141" s="3"/>
      <c r="E141" s="3"/>
      <c r="F141" s="9"/>
      <c r="G141" s="3"/>
      <c r="H141" s="9"/>
      <c r="I141" s="9"/>
      <c r="J141" s="9"/>
      <c r="K141" s="9"/>
      <c r="L141" s="9"/>
    </row>
    <row r="142" hidden="1">
      <c r="A142" s="124" t="s">
        <v>18</v>
      </c>
      <c r="B142" s="125">
        <f>SUM(B139:B141)</f>
        <v>10</v>
      </c>
      <c r="C142" s="2"/>
      <c r="J142" s="2"/>
      <c r="K142" s="2"/>
      <c r="L142" s="2"/>
    </row>
    <row r="143" hidden="1">
      <c r="K143" s="2"/>
      <c r="L143" s="2"/>
    </row>
    <row r="144" hidden="1">
      <c r="A144" s="68" t="s">
        <v>12</v>
      </c>
      <c r="B144" s="73">
        <f>(B139*B134)+(B140*(B134/2))+(B141*B134)</f>
        <v>500000</v>
      </c>
      <c r="C144" s="2"/>
      <c r="J144" s="2"/>
      <c r="K144" s="3"/>
      <c r="L144" s="2"/>
    </row>
    <row r="145" hidden="1">
      <c r="A145" s="83" t="s">
        <v>21</v>
      </c>
      <c r="B145" s="91">
        <f>(B134*B136)*(B139+(B140/2))+(B141*(B135-B134))</f>
        <v>209500</v>
      </c>
      <c r="C145" s="2"/>
      <c r="D145" s="7" t="s">
        <v>4</v>
      </c>
      <c r="E145" s="7" t="s">
        <v>20</v>
      </c>
      <c r="F145" s="7" t="s">
        <v>6</v>
      </c>
      <c r="G145" s="7" t="s">
        <v>7</v>
      </c>
      <c r="H145" s="7" t="s">
        <v>8</v>
      </c>
      <c r="I145" s="7" t="s">
        <v>9</v>
      </c>
      <c r="J145" s="2"/>
      <c r="K145" s="3"/>
      <c r="L145" s="2"/>
    </row>
    <row r="146" hidden="1">
      <c r="A146" s="19" t="s">
        <v>66</v>
      </c>
      <c r="B146" s="75">
        <f>J147*1.288</f>
        <v>259532</v>
      </c>
      <c r="C146" s="2"/>
      <c r="D146" s="3" t="s">
        <v>29</v>
      </c>
      <c r="E146" s="3">
        <v>3250.0</v>
      </c>
      <c r="F146" s="3">
        <f>F136*E146</f>
        <v>52000</v>
      </c>
      <c r="G146" s="2">
        <f>H136*E146</f>
        <v>58500</v>
      </c>
      <c r="H146" s="2">
        <f>J136*E146</f>
        <v>52000</v>
      </c>
      <c r="I146" s="2">
        <f>L136*E146</f>
        <v>39000</v>
      </c>
    </row>
    <row r="147" hidden="1">
      <c r="A147" s="71" t="s">
        <v>22</v>
      </c>
      <c r="B147" s="76">
        <f>B144-(B146+B145)</f>
        <v>30968</v>
      </c>
      <c r="D147" s="46" t="s">
        <v>18</v>
      </c>
      <c r="E147" s="41"/>
      <c r="F147" s="41">
        <f t="shared" ref="F147:I147" si="29">SUM(F146)</f>
        <v>52000</v>
      </c>
      <c r="G147" s="41">
        <f t="shared" si="29"/>
        <v>58500</v>
      </c>
      <c r="H147" s="41">
        <f t="shared" si="29"/>
        <v>52000</v>
      </c>
      <c r="I147" s="41">
        <f t="shared" si="29"/>
        <v>39000</v>
      </c>
      <c r="J147" s="40">
        <f>SUM(F147:I147)</f>
        <v>201500</v>
      </c>
    </row>
    <row r="150">
      <c r="A150" s="78">
        <v>2025.0</v>
      </c>
    </row>
    <row r="152">
      <c r="A152" s="79" t="s">
        <v>76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</row>
    <row r="153" hidden="1">
      <c r="A153" s="68" t="s">
        <v>3</v>
      </c>
      <c r="B153" s="69">
        <v>50000.0</v>
      </c>
      <c r="C153" s="2"/>
    </row>
    <row r="154" hidden="1">
      <c r="A154" s="126" t="s">
        <v>84</v>
      </c>
      <c r="B154" s="127">
        <v>68000.0</v>
      </c>
      <c r="C154" s="2"/>
      <c r="D154" s="7" t="s">
        <v>4</v>
      </c>
      <c r="E154" s="7" t="s">
        <v>5</v>
      </c>
      <c r="F154" s="7" t="s">
        <v>25</v>
      </c>
      <c r="G154" s="7" t="s">
        <v>5</v>
      </c>
      <c r="H154" s="7" t="s">
        <v>26</v>
      </c>
      <c r="I154" s="7" t="s">
        <v>5</v>
      </c>
      <c r="J154" s="7" t="s">
        <v>27</v>
      </c>
      <c r="K154" s="7" t="s">
        <v>5</v>
      </c>
      <c r="L154" s="7" t="s">
        <v>28</v>
      </c>
    </row>
    <row r="155" hidden="1">
      <c r="A155" s="19" t="s">
        <v>21</v>
      </c>
      <c r="B155" s="70">
        <v>0.5</v>
      </c>
      <c r="C155" s="2"/>
      <c r="D155" s="3" t="s">
        <v>71</v>
      </c>
      <c r="E155" s="3">
        <v>8.0</v>
      </c>
      <c r="F155" s="9">
        <f>E155*$B$37</f>
        <v>16</v>
      </c>
      <c r="G155" s="3">
        <v>8.0</v>
      </c>
      <c r="H155" s="9">
        <f>G155*B156</f>
        <v>16</v>
      </c>
      <c r="I155" s="9">
        <v>8.0</v>
      </c>
      <c r="J155" s="9">
        <f>I155*B156</f>
        <v>16</v>
      </c>
      <c r="K155" s="9">
        <v>9.0</v>
      </c>
      <c r="L155" s="9">
        <f>K155*B156</f>
        <v>18</v>
      </c>
    </row>
    <row r="156" hidden="1">
      <c r="A156" s="71" t="s">
        <v>23</v>
      </c>
      <c r="B156" s="24">
        <v>2.0</v>
      </c>
      <c r="C156" s="2"/>
      <c r="D156" s="3" t="s">
        <v>82</v>
      </c>
      <c r="E156" s="3">
        <v>0.0</v>
      </c>
      <c r="F156" s="9">
        <f>E156*$B$8</f>
        <v>0</v>
      </c>
      <c r="G156" s="3">
        <v>0.0</v>
      </c>
      <c r="H156" s="9">
        <f>G156*$B$8</f>
        <v>0</v>
      </c>
      <c r="I156" s="9">
        <v>0.0</v>
      </c>
      <c r="J156" s="9">
        <f>I156*$B$8</f>
        <v>0</v>
      </c>
      <c r="K156" s="9">
        <v>0.0</v>
      </c>
      <c r="L156" s="9">
        <f>K156*$B$8</f>
        <v>0</v>
      </c>
    </row>
    <row r="157" hidden="1">
      <c r="B157" s="2"/>
      <c r="C157" s="2"/>
      <c r="D157" s="3"/>
      <c r="E157" s="3"/>
      <c r="F157" s="9"/>
      <c r="G157" s="3"/>
      <c r="H157" s="9"/>
      <c r="I157" s="9"/>
      <c r="J157" s="9"/>
      <c r="K157" s="9"/>
      <c r="L157" s="9"/>
    </row>
    <row r="158" hidden="1">
      <c r="A158" s="72" t="s">
        <v>15</v>
      </c>
      <c r="B158" s="69">
        <v>6.0</v>
      </c>
      <c r="C158" s="2"/>
      <c r="D158" s="3"/>
      <c r="E158" s="3"/>
      <c r="F158" s="9"/>
      <c r="G158" s="3"/>
      <c r="H158" s="9"/>
      <c r="I158" s="9"/>
      <c r="J158" s="9"/>
      <c r="K158" s="9"/>
      <c r="L158" s="9"/>
    </row>
    <row r="159" hidden="1">
      <c r="A159" s="19" t="s">
        <v>17</v>
      </c>
      <c r="B159" s="20">
        <v>0.0</v>
      </c>
      <c r="C159" s="2"/>
      <c r="D159" s="3"/>
      <c r="E159" s="3"/>
      <c r="F159" s="9"/>
      <c r="G159" s="3"/>
      <c r="H159" s="9"/>
      <c r="I159" s="9"/>
      <c r="J159" s="9"/>
      <c r="K159" s="9"/>
      <c r="L159" s="9"/>
    </row>
    <row r="160" hidden="1">
      <c r="A160" s="19" t="s">
        <v>85</v>
      </c>
      <c r="B160" s="20">
        <v>3.0</v>
      </c>
      <c r="C160" s="2"/>
      <c r="D160" s="3"/>
      <c r="E160" s="3"/>
      <c r="F160" s="9"/>
      <c r="G160" s="3"/>
      <c r="H160" s="9"/>
      <c r="I160" s="9"/>
      <c r="J160" s="9"/>
      <c r="K160" s="9"/>
      <c r="L160" s="9"/>
    </row>
    <row r="161" hidden="1">
      <c r="A161" s="124" t="s">
        <v>18</v>
      </c>
      <c r="B161" s="128">
        <f>SUM(B158:B160)</f>
        <v>9</v>
      </c>
      <c r="C161" s="2"/>
      <c r="J161" s="2"/>
      <c r="K161" s="2"/>
      <c r="L161" s="2"/>
    </row>
    <row r="162" hidden="1">
      <c r="B162" s="2"/>
      <c r="K162" s="2"/>
      <c r="L162" s="2"/>
    </row>
    <row r="163" hidden="1">
      <c r="A163" s="68" t="s">
        <v>12</v>
      </c>
      <c r="B163" s="119">
        <f>(B158*B153)+(B159*(B153/2))+(B160*B153)</f>
        <v>450000</v>
      </c>
      <c r="C163" s="2"/>
      <c r="D163" s="7" t="s">
        <v>4</v>
      </c>
      <c r="E163" s="7" t="s">
        <v>20</v>
      </c>
      <c r="F163" s="7" t="s">
        <v>25</v>
      </c>
      <c r="G163" s="7" t="s">
        <v>26</v>
      </c>
      <c r="H163" s="7" t="s">
        <v>27</v>
      </c>
      <c r="I163" s="7" t="s">
        <v>28</v>
      </c>
      <c r="J163" s="2"/>
      <c r="K163" s="3"/>
      <c r="L163" s="2"/>
    </row>
    <row r="164" hidden="1">
      <c r="A164" s="83" t="s">
        <v>21</v>
      </c>
      <c r="B164" s="121">
        <f>((B153*B158)+(B154*B160))*B155</f>
        <v>252000</v>
      </c>
      <c r="C164" s="2"/>
      <c r="D164" s="3" t="s">
        <v>29</v>
      </c>
      <c r="E164" s="3">
        <v>3250.0</v>
      </c>
      <c r="F164" s="3">
        <f>F155*E164</f>
        <v>52000</v>
      </c>
      <c r="G164" s="2">
        <f>H155*E164</f>
        <v>52000</v>
      </c>
      <c r="H164" s="2">
        <f>J155*E164</f>
        <v>52000</v>
      </c>
      <c r="I164" s="2">
        <f>L155*E164</f>
        <v>58500</v>
      </c>
      <c r="J164" s="2"/>
      <c r="K164" s="3"/>
      <c r="L164" s="2"/>
    </row>
    <row r="165" hidden="1">
      <c r="A165" s="19" t="s">
        <v>66</v>
      </c>
      <c r="B165" s="88">
        <f>J165*1.288</f>
        <v>276276</v>
      </c>
      <c r="C165" s="2"/>
      <c r="D165" s="46" t="s">
        <v>18</v>
      </c>
      <c r="E165" s="41"/>
      <c r="F165" s="41">
        <f t="shared" ref="F165:I165" si="30">SUM(F164)</f>
        <v>52000</v>
      </c>
      <c r="G165" s="41">
        <f t="shared" si="30"/>
        <v>52000</v>
      </c>
      <c r="H165" s="41">
        <f t="shared" si="30"/>
        <v>52000</v>
      </c>
      <c r="I165" s="41">
        <f t="shared" si="30"/>
        <v>58500</v>
      </c>
      <c r="J165" s="40">
        <f>SUM(F165:I165)</f>
        <v>214500</v>
      </c>
    </row>
    <row r="166" hidden="1">
      <c r="A166" s="71" t="s">
        <v>22</v>
      </c>
      <c r="B166" s="89">
        <f>B163-(B165+B164)</f>
        <v>-78276</v>
      </c>
    </row>
    <row r="168">
      <c r="A168" s="86" t="s">
        <v>78</v>
      </c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</row>
    <row r="169">
      <c r="A169" s="68" t="s">
        <v>3</v>
      </c>
      <c r="B169" s="69">
        <v>50000.0</v>
      </c>
      <c r="C169" s="2"/>
    </row>
    <row r="170">
      <c r="A170" s="90" t="s">
        <v>84</v>
      </c>
      <c r="B170" s="20">
        <v>61500.0</v>
      </c>
      <c r="C170" s="2"/>
      <c r="D170" s="7" t="s">
        <v>4</v>
      </c>
      <c r="E170" s="7" t="s">
        <v>5</v>
      </c>
      <c r="F170" s="7" t="s">
        <v>38</v>
      </c>
      <c r="G170" s="7" t="s">
        <v>5</v>
      </c>
      <c r="H170" s="7" t="s">
        <v>39</v>
      </c>
      <c r="I170" s="7" t="s">
        <v>5</v>
      </c>
      <c r="J170" s="7" t="s">
        <v>40</v>
      </c>
      <c r="K170" s="7" t="s">
        <v>5</v>
      </c>
      <c r="L170" s="7" t="s">
        <v>41</v>
      </c>
    </row>
    <row r="171">
      <c r="A171" s="19" t="s">
        <v>21</v>
      </c>
      <c r="B171" s="70">
        <v>0.5</v>
      </c>
      <c r="C171" s="2"/>
      <c r="D171" s="3" t="s">
        <v>71</v>
      </c>
      <c r="E171" s="3">
        <v>9.0</v>
      </c>
      <c r="F171" s="9">
        <f>E171*$B$37</f>
        <v>18</v>
      </c>
      <c r="G171" s="3">
        <v>8.0</v>
      </c>
      <c r="H171" s="9">
        <f>G171*B172</f>
        <v>16</v>
      </c>
      <c r="I171" s="9">
        <v>10.0</v>
      </c>
      <c r="J171" s="9">
        <f>I171*B172</f>
        <v>20</v>
      </c>
      <c r="K171" s="9">
        <v>8.0</v>
      </c>
      <c r="L171" s="9">
        <f>K171*B172</f>
        <v>16</v>
      </c>
    </row>
    <row r="172">
      <c r="A172" s="71" t="s">
        <v>23</v>
      </c>
      <c r="B172" s="24">
        <v>2.0</v>
      </c>
      <c r="C172" s="2"/>
      <c r="D172" s="3" t="s">
        <v>82</v>
      </c>
      <c r="E172" s="3">
        <v>0.0</v>
      </c>
      <c r="F172" s="9">
        <f>E172*$B$8</f>
        <v>0</v>
      </c>
      <c r="G172" s="3">
        <v>0.0</v>
      </c>
      <c r="H172" s="9">
        <f>G172*$B$8</f>
        <v>0</v>
      </c>
      <c r="I172" s="9">
        <v>0.0</v>
      </c>
      <c r="J172" s="9">
        <f>I172*$B$8</f>
        <v>0</v>
      </c>
      <c r="K172" s="9">
        <v>0.0</v>
      </c>
      <c r="L172" s="9">
        <f>K172*$B$8</f>
        <v>0</v>
      </c>
    </row>
    <row r="173">
      <c r="B173" s="2"/>
      <c r="C173" s="2"/>
      <c r="D173" s="3"/>
      <c r="E173" s="3"/>
      <c r="F173" s="9"/>
      <c r="G173" s="3"/>
      <c r="H173" s="9"/>
      <c r="I173" s="9"/>
      <c r="J173" s="9"/>
      <c r="K173" s="9"/>
      <c r="L173" s="9"/>
    </row>
    <row r="174">
      <c r="A174" s="72" t="s">
        <v>15</v>
      </c>
      <c r="B174" s="69">
        <v>2.0</v>
      </c>
      <c r="C174" s="2"/>
      <c r="D174" s="3"/>
      <c r="E174" s="3"/>
      <c r="F174" s="9"/>
      <c r="G174" s="3"/>
      <c r="H174" s="9"/>
      <c r="I174" s="9"/>
      <c r="J174" s="9"/>
      <c r="K174" s="9"/>
      <c r="L174" s="9"/>
    </row>
    <row r="175">
      <c r="A175" s="19" t="s">
        <v>17</v>
      </c>
      <c r="B175" s="20">
        <v>0.0</v>
      </c>
      <c r="C175" s="2"/>
      <c r="D175" s="3"/>
      <c r="E175" s="3"/>
      <c r="F175" s="9"/>
      <c r="G175" s="3"/>
      <c r="H175" s="9"/>
      <c r="I175" s="9"/>
      <c r="J175" s="9"/>
      <c r="K175" s="9"/>
      <c r="L175" s="9"/>
    </row>
    <row r="176">
      <c r="A176" s="19" t="s">
        <v>85</v>
      </c>
      <c r="B176" s="20">
        <v>0.0</v>
      </c>
      <c r="C176" s="2"/>
      <c r="D176" s="3"/>
      <c r="E176" s="3"/>
      <c r="F176" s="9"/>
      <c r="G176" s="3"/>
      <c r="H176" s="9"/>
      <c r="I176" s="9"/>
      <c r="J176" s="9"/>
      <c r="K176" s="9"/>
      <c r="L176" s="9"/>
    </row>
    <row r="177">
      <c r="A177" s="124" t="s">
        <v>18</v>
      </c>
      <c r="B177" s="128">
        <f>SUM(B174:B176)</f>
        <v>2</v>
      </c>
      <c r="C177" s="2"/>
      <c r="J177" s="2"/>
      <c r="K177" s="2"/>
      <c r="L177" s="2"/>
    </row>
    <row r="178">
      <c r="B178" s="2"/>
      <c r="K178" s="2"/>
      <c r="L178" s="2"/>
    </row>
    <row r="179">
      <c r="A179" s="68" t="s">
        <v>12</v>
      </c>
      <c r="B179" s="82">
        <f>(B174*B169)+(B175*(B169/2))+(B176*B169)</f>
        <v>100000</v>
      </c>
      <c r="C179" s="2"/>
      <c r="D179" s="7" t="s">
        <v>4</v>
      </c>
      <c r="E179" s="7" t="s">
        <v>20</v>
      </c>
      <c r="F179" s="7" t="s">
        <v>38</v>
      </c>
      <c r="G179" s="7" t="s">
        <v>39</v>
      </c>
      <c r="H179" s="7" t="s">
        <v>40</v>
      </c>
      <c r="I179" s="7" t="s">
        <v>41</v>
      </c>
      <c r="J179" s="2"/>
      <c r="K179" s="3"/>
      <c r="L179" s="2"/>
    </row>
    <row r="180">
      <c r="A180" s="83" t="s">
        <v>21</v>
      </c>
      <c r="B180" s="121">
        <f>((B169*B174)+(B170*B176))*B171</f>
        <v>50000</v>
      </c>
      <c r="C180" s="2"/>
      <c r="D180" s="3" t="s">
        <v>29</v>
      </c>
      <c r="E180" s="3">
        <v>3250.0</v>
      </c>
      <c r="F180" s="3">
        <f>F171*E180</f>
        <v>58500</v>
      </c>
      <c r="G180" s="2">
        <f>H171*E180</f>
        <v>52000</v>
      </c>
      <c r="H180" s="2">
        <f>J171*E180</f>
        <v>65000</v>
      </c>
      <c r="I180" s="2">
        <f>L171*E180</f>
        <v>52000</v>
      </c>
      <c r="J180" s="2"/>
      <c r="K180" s="3"/>
      <c r="L180" s="2"/>
    </row>
    <row r="181">
      <c r="A181" s="19" t="s">
        <v>66</v>
      </c>
      <c r="B181" s="20">
        <f>J181*1.288</f>
        <v>293020</v>
      </c>
      <c r="C181" s="2"/>
      <c r="D181" s="46" t="s">
        <v>18</v>
      </c>
      <c r="E181" s="41"/>
      <c r="F181" s="41">
        <f t="shared" ref="F181:I181" si="31">SUM(F180)</f>
        <v>58500</v>
      </c>
      <c r="G181" s="41">
        <f t="shared" si="31"/>
        <v>52000</v>
      </c>
      <c r="H181" s="41">
        <f t="shared" si="31"/>
        <v>65000</v>
      </c>
      <c r="I181" s="41">
        <f t="shared" si="31"/>
        <v>52000</v>
      </c>
      <c r="J181" s="40">
        <f>SUM(F181:I181)</f>
        <v>227500</v>
      </c>
    </row>
    <row r="182">
      <c r="A182" s="71" t="s">
        <v>22</v>
      </c>
      <c r="B182" s="89">
        <f>B179-(B181+B180)</f>
        <v>-243020</v>
      </c>
    </row>
    <row r="184">
      <c r="A184" s="66" t="s">
        <v>70</v>
      </c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</row>
    <row r="185">
      <c r="A185" s="68" t="s">
        <v>3</v>
      </c>
      <c r="B185" s="69">
        <v>50000.0</v>
      </c>
      <c r="C185" s="2"/>
    </row>
    <row r="186">
      <c r="A186" s="90" t="s">
        <v>84</v>
      </c>
      <c r="B186" s="123">
        <v>61500.0</v>
      </c>
      <c r="C186" s="2"/>
      <c r="D186" s="7" t="s">
        <v>4</v>
      </c>
      <c r="E186" s="7" t="s">
        <v>5</v>
      </c>
      <c r="F186" s="7" t="s">
        <v>6</v>
      </c>
      <c r="G186" s="7" t="s">
        <v>5</v>
      </c>
      <c r="H186" s="7" t="s">
        <v>7</v>
      </c>
      <c r="I186" s="7" t="s">
        <v>5</v>
      </c>
      <c r="J186" s="7" t="s">
        <v>8</v>
      </c>
      <c r="K186" s="7" t="s">
        <v>5</v>
      </c>
      <c r="L186" s="7" t="s">
        <v>9</v>
      </c>
    </row>
    <row r="187">
      <c r="A187" s="19" t="s">
        <v>21</v>
      </c>
      <c r="B187" s="70">
        <v>0.5</v>
      </c>
      <c r="C187" s="2"/>
      <c r="D187" s="3" t="s">
        <v>71</v>
      </c>
      <c r="E187" s="3">
        <v>0.0</v>
      </c>
      <c r="F187" s="9">
        <f>E187*$B$37</f>
        <v>0</v>
      </c>
      <c r="G187" s="3">
        <v>0.0</v>
      </c>
      <c r="H187" s="9">
        <f>G187*B188</f>
        <v>0</v>
      </c>
      <c r="I187" s="9">
        <v>0.0</v>
      </c>
      <c r="J187" s="9">
        <f>I187*B188</f>
        <v>0</v>
      </c>
      <c r="K187" s="9">
        <v>0.0</v>
      </c>
      <c r="L187" s="9">
        <f>K187*B188</f>
        <v>0</v>
      </c>
    </row>
    <row r="188">
      <c r="A188" s="71" t="s">
        <v>23</v>
      </c>
      <c r="B188" s="24">
        <v>2.0</v>
      </c>
      <c r="C188" s="2"/>
      <c r="D188" s="3"/>
      <c r="E188" s="3"/>
      <c r="F188" s="9"/>
      <c r="G188" s="3"/>
      <c r="H188" s="9"/>
      <c r="I188" s="9"/>
      <c r="J188" s="9"/>
      <c r="K188" s="9"/>
      <c r="L188" s="9"/>
    </row>
    <row r="189">
      <c r="C189" s="2"/>
      <c r="D189" s="3"/>
      <c r="E189" s="3"/>
      <c r="F189" s="9"/>
      <c r="G189" s="3"/>
      <c r="H189" s="9"/>
      <c r="I189" s="9"/>
      <c r="J189" s="9"/>
      <c r="K189" s="9"/>
      <c r="L189" s="9"/>
    </row>
    <row r="190">
      <c r="A190" s="72" t="s">
        <v>15</v>
      </c>
      <c r="B190" s="69">
        <v>0.0</v>
      </c>
      <c r="C190" s="2"/>
      <c r="D190" s="3"/>
      <c r="E190" s="3"/>
      <c r="F190" s="9"/>
      <c r="G190" s="3"/>
      <c r="H190" s="9"/>
      <c r="I190" s="9"/>
      <c r="J190" s="9"/>
      <c r="K190" s="9"/>
      <c r="L190" s="9"/>
    </row>
    <row r="191">
      <c r="A191" s="19" t="s">
        <v>17</v>
      </c>
      <c r="B191" s="20">
        <v>0.0</v>
      </c>
      <c r="C191" s="2"/>
      <c r="D191" s="3"/>
      <c r="E191" s="3"/>
      <c r="F191" s="9"/>
      <c r="G191" s="3"/>
      <c r="H191" s="9"/>
      <c r="I191" s="9"/>
      <c r="J191" s="9"/>
      <c r="K191" s="9"/>
      <c r="L191" s="9"/>
    </row>
    <row r="192">
      <c r="A192" s="19" t="s">
        <v>85</v>
      </c>
      <c r="B192" s="20">
        <v>0.0</v>
      </c>
      <c r="C192" s="2"/>
      <c r="D192" s="3"/>
      <c r="E192" s="3"/>
      <c r="F192" s="9"/>
      <c r="G192" s="3"/>
      <c r="H192" s="9"/>
      <c r="I192" s="9"/>
      <c r="J192" s="9"/>
      <c r="K192" s="9"/>
      <c r="L192" s="9"/>
    </row>
    <row r="193">
      <c r="A193" s="124" t="s">
        <v>18</v>
      </c>
      <c r="B193" s="125">
        <f>SUM(B190:B192)</f>
        <v>0</v>
      </c>
      <c r="C193" s="2"/>
      <c r="J193" s="2"/>
      <c r="K193" s="2"/>
      <c r="L193" s="2"/>
    </row>
    <row r="194">
      <c r="K194" s="2"/>
      <c r="L194" s="2"/>
    </row>
    <row r="195">
      <c r="A195" s="68" t="s">
        <v>12</v>
      </c>
      <c r="B195" s="73">
        <f>(B190*B185)+(B191*(B185/2))+(B192*B185)</f>
        <v>0</v>
      </c>
      <c r="C195" s="2"/>
      <c r="J195" s="2"/>
      <c r="K195" s="3"/>
      <c r="L195" s="2"/>
    </row>
    <row r="196">
      <c r="A196" s="83" t="s">
        <v>21</v>
      </c>
      <c r="B196" s="91">
        <f>(B185*B187)*(B190+(B191/2))+(B192*(B186-B185))</f>
        <v>0</v>
      </c>
      <c r="C196" s="2"/>
      <c r="D196" s="7" t="s">
        <v>4</v>
      </c>
      <c r="E196" s="7" t="s">
        <v>20</v>
      </c>
      <c r="F196" s="7" t="s">
        <v>6</v>
      </c>
      <c r="G196" s="7" t="s">
        <v>7</v>
      </c>
      <c r="H196" s="7" t="s">
        <v>8</v>
      </c>
      <c r="I196" s="7" t="s">
        <v>9</v>
      </c>
      <c r="J196" s="2"/>
      <c r="K196" s="3"/>
      <c r="L196" s="2"/>
    </row>
    <row r="197">
      <c r="A197" s="19" t="s">
        <v>66</v>
      </c>
      <c r="B197" s="75">
        <f>J198*1.288</f>
        <v>0</v>
      </c>
      <c r="C197" s="2"/>
      <c r="D197" s="3" t="s">
        <v>29</v>
      </c>
      <c r="E197" s="3">
        <v>3250.0</v>
      </c>
      <c r="F197" s="3">
        <f>F187*E197</f>
        <v>0</v>
      </c>
      <c r="G197" s="2">
        <f>H187*E197</f>
        <v>0</v>
      </c>
      <c r="H197" s="2">
        <f>J187*E197</f>
        <v>0</v>
      </c>
      <c r="I197" s="2">
        <f>L187*E197</f>
        <v>0</v>
      </c>
    </row>
    <row r="198">
      <c r="A198" s="71" t="s">
        <v>22</v>
      </c>
      <c r="B198" s="76">
        <f>B195-(B197+B196)</f>
        <v>0</v>
      </c>
      <c r="D198" s="46" t="s">
        <v>18</v>
      </c>
      <c r="E198" s="41"/>
      <c r="F198" s="41">
        <f t="shared" ref="F198:I198" si="32">SUM(F197)</f>
        <v>0</v>
      </c>
      <c r="G198" s="41">
        <f t="shared" si="32"/>
        <v>0</v>
      </c>
      <c r="H198" s="41">
        <f t="shared" si="32"/>
        <v>0</v>
      </c>
      <c r="I198" s="41">
        <f t="shared" si="32"/>
        <v>0</v>
      </c>
      <c r="J198" s="40">
        <f>SUM(F198:I198)</f>
        <v>0</v>
      </c>
    </row>
  </sheetData>
  <mergeCells count="1">
    <mergeCell ref="A1:C1"/>
  </mergeCells>
  <conditionalFormatting sqref="B17 B31 B47 B65 B81 B97 B115 B131 B147 B166 B182 B198">
    <cfRule type="cellIs" dxfId="0" priority="1" operator="lessThan">
      <formula>0</formula>
    </cfRule>
  </conditionalFormatting>
  <conditionalFormatting sqref="B17 B31 B47 B65 B81 B97 B115 B131 B147 B166 B182 B198">
    <cfRule type="cellIs" dxfId="1" priority="2" operator="greaterThanOr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</cols>
  <sheetData>
    <row r="1">
      <c r="A1" s="99" t="s">
        <v>86</v>
      </c>
    </row>
    <row r="3">
      <c r="A3" s="78">
        <v>2022.0</v>
      </c>
    </row>
    <row r="5">
      <c r="A5" s="79" t="s">
        <v>76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hidden="1">
      <c r="A6" s="68" t="s">
        <v>3</v>
      </c>
      <c r="B6" s="69">
        <v>45000.0</v>
      </c>
      <c r="C6" s="2"/>
    </row>
    <row r="7" hidden="1">
      <c r="A7" s="19" t="s">
        <v>21</v>
      </c>
      <c r="B7" s="70">
        <v>0.5</v>
      </c>
      <c r="C7" s="2"/>
      <c r="D7" s="7" t="s">
        <v>4</v>
      </c>
      <c r="E7" s="7" t="s">
        <v>5</v>
      </c>
      <c r="F7" s="7" t="s">
        <v>25</v>
      </c>
      <c r="G7" s="7" t="s">
        <v>5</v>
      </c>
      <c r="H7" s="7" t="s">
        <v>26</v>
      </c>
      <c r="I7" s="7" t="s">
        <v>5</v>
      </c>
      <c r="J7" s="7" t="s">
        <v>27</v>
      </c>
      <c r="K7" s="7" t="s">
        <v>5</v>
      </c>
      <c r="L7" s="7" t="s">
        <v>28</v>
      </c>
      <c r="M7" s="81" t="s">
        <v>77</v>
      </c>
    </row>
    <row r="8" hidden="1">
      <c r="A8" s="71" t="s">
        <v>23</v>
      </c>
      <c r="B8" s="24">
        <v>2.0</v>
      </c>
      <c r="C8" s="2"/>
      <c r="D8" s="3" t="s">
        <v>29</v>
      </c>
      <c r="E8" s="3">
        <v>0.0</v>
      </c>
      <c r="F8" s="9">
        <f t="shared" ref="F8:F9" si="1">E8*$B$8</f>
        <v>0</v>
      </c>
      <c r="G8" s="3">
        <v>0.0</v>
      </c>
      <c r="H8" s="9">
        <f t="shared" ref="H8:H9" si="2">G8*$B$8</f>
        <v>0</v>
      </c>
      <c r="I8" s="9">
        <v>0.0</v>
      </c>
      <c r="J8" s="9">
        <f t="shared" ref="J8:J9" si="3">I8*$B$8</f>
        <v>0</v>
      </c>
      <c r="K8" s="9">
        <v>0.0</v>
      </c>
      <c r="L8" s="9">
        <f t="shared" ref="L8:L9" si="4">K8*$B$8</f>
        <v>0</v>
      </c>
    </row>
    <row r="9" hidden="1">
      <c r="C9" s="2"/>
      <c r="D9" s="3" t="s">
        <v>32</v>
      </c>
      <c r="E9" s="3">
        <v>8.0</v>
      </c>
      <c r="F9" s="9">
        <f t="shared" si="1"/>
        <v>16</v>
      </c>
      <c r="G9" s="3">
        <v>8.0</v>
      </c>
      <c r="H9" s="9">
        <f t="shared" si="2"/>
        <v>16</v>
      </c>
      <c r="I9" s="9">
        <v>9.0</v>
      </c>
      <c r="J9" s="9">
        <f t="shared" si="3"/>
        <v>18</v>
      </c>
      <c r="K9" s="9">
        <v>8.0</v>
      </c>
      <c r="L9" s="9">
        <f t="shared" si="4"/>
        <v>16</v>
      </c>
      <c r="M9" s="57">
        <f>F9+H9+J9+L9</f>
        <v>66</v>
      </c>
    </row>
    <row r="10" hidden="1">
      <c r="A10" s="72" t="s">
        <v>15</v>
      </c>
      <c r="B10" s="69">
        <v>9.0</v>
      </c>
      <c r="C10" s="2"/>
      <c r="D10" s="3"/>
      <c r="E10" s="3"/>
      <c r="F10" s="9"/>
      <c r="G10" s="3"/>
      <c r="H10" s="9"/>
      <c r="I10" s="9"/>
      <c r="J10" s="9"/>
      <c r="K10" s="9"/>
      <c r="L10" s="9"/>
    </row>
    <row r="11" hidden="1">
      <c r="A11" s="19" t="s">
        <v>17</v>
      </c>
      <c r="B11" s="20">
        <v>0.0</v>
      </c>
      <c r="C11" s="2"/>
      <c r="D11" s="3"/>
      <c r="E11" s="3"/>
      <c r="F11" s="9"/>
      <c r="G11" s="3"/>
      <c r="H11" s="9"/>
      <c r="I11" s="9"/>
      <c r="J11" s="9"/>
      <c r="K11" s="9"/>
      <c r="L11" s="9"/>
    </row>
    <row r="12" hidden="1">
      <c r="A12" s="71" t="s">
        <v>18</v>
      </c>
      <c r="B12" s="24">
        <f>SUM(B10:B11)</f>
        <v>9</v>
      </c>
      <c r="C12" s="2"/>
      <c r="D12" s="3"/>
      <c r="E12" s="3"/>
      <c r="F12" s="9"/>
      <c r="G12" s="3"/>
      <c r="H12" s="9"/>
      <c r="I12" s="9"/>
      <c r="J12" s="9"/>
      <c r="K12" s="9"/>
      <c r="L12" s="9"/>
    </row>
    <row r="13" hidden="1">
      <c r="C13" s="2"/>
      <c r="D13" s="3"/>
      <c r="E13" s="3"/>
      <c r="F13" s="9"/>
      <c r="G13" s="3"/>
      <c r="H13" s="9"/>
      <c r="I13" s="9"/>
      <c r="J13" s="9"/>
      <c r="K13" s="9"/>
      <c r="L13" s="9"/>
    </row>
    <row r="14" hidden="1">
      <c r="A14" s="68" t="s">
        <v>12</v>
      </c>
      <c r="B14" s="82">
        <f>(B10*B6)+(B11*(B6/2))</f>
        <v>405000</v>
      </c>
      <c r="C14" s="2"/>
      <c r="D14" s="7" t="s">
        <v>4</v>
      </c>
      <c r="E14" s="7" t="s">
        <v>20</v>
      </c>
      <c r="F14" s="7" t="s">
        <v>6</v>
      </c>
      <c r="G14" s="7" t="s">
        <v>7</v>
      </c>
      <c r="H14" s="7" t="s">
        <v>8</v>
      </c>
      <c r="I14" s="7" t="s">
        <v>9</v>
      </c>
      <c r="J14" s="2"/>
      <c r="K14" s="2"/>
      <c r="L14" s="2"/>
    </row>
    <row r="15" hidden="1">
      <c r="A15" s="83" t="s">
        <v>21</v>
      </c>
      <c r="B15" s="84">
        <f>(B6*B7)*B10</f>
        <v>202500</v>
      </c>
      <c r="C15" s="2"/>
      <c r="D15" s="3" t="s">
        <v>29</v>
      </c>
      <c r="E15" s="3">
        <v>2400.0</v>
      </c>
      <c r="F15" s="3">
        <f t="shared" ref="F15:F16" si="5">F8*E15</f>
        <v>0</v>
      </c>
      <c r="G15" s="2">
        <f t="shared" ref="G15:G16" si="6">H8*E15</f>
        <v>0</v>
      </c>
      <c r="H15" s="2">
        <f t="shared" ref="H15:H16" si="7">J8*E15</f>
        <v>0</v>
      </c>
      <c r="I15" s="2">
        <f t="shared" ref="I15:I16" si="8">L8*E15</f>
        <v>0</v>
      </c>
      <c r="J15" s="2"/>
      <c r="K15" s="2"/>
      <c r="L15" s="2"/>
    </row>
    <row r="16" hidden="1">
      <c r="A16" s="19" t="s">
        <v>66</v>
      </c>
      <c r="B16" s="88">
        <f>(J17)*1.288</f>
        <v>204019.2</v>
      </c>
      <c r="C16" s="2"/>
      <c r="D16" s="3" t="s">
        <v>32</v>
      </c>
      <c r="E16" s="3">
        <v>2400.0</v>
      </c>
      <c r="F16" s="3">
        <f t="shared" si="5"/>
        <v>38400</v>
      </c>
      <c r="G16" s="2">
        <f t="shared" si="6"/>
        <v>38400</v>
      </c>
      <c r="H16" s="2">
        <f t="shared" si="7"/>
        <v>43200</v>
      </c>
      <c r="I16" s="2">
        <f t="shared" si="8"/>
        <v>38400</v>
      </c>
      <c r="J16" s="2"/>
      <c r="K16" s="3"/>
      <c r="L16" s="2"/>
    </row>
    <row r="17" hidden="1">
      <c r="A17" s="71" t="s">
        <v>22</v>
      </c>
      <c r="B17" s="89">
        <f>B14-(B16+B15)</f>
        <v>-1519.2</v>
      </c>
      <c r="C17" s="2"/>
      <c r="D17" s="7" t="s">
        <v>18</v>
      </c>
      <c r="E17" s="2"/>
      <c r="F17" s="2">
        <f t="shared" ref="F17:I17" si="9">SUM(F15:F16)</f>
        <v>38400</v>
      </c>
      <c r="G17" s="2">
        <f t="shared" si="9"/>
        <v>38400</v>
      </c>
      <c r="H17" s="2">
        <f t="shared" si="9"/>
        <v>43200</v>
      </c>
      <c r="I17" s="2">
        <f t="shared" si="9"/>
        <v>38400</v>
      </c>
      <c r="J17" s="3">
        <f>SUM(F17:I17)</f>
        <v>158400</v>
      </c>
      <c r="K17" s="3"/>
      <c r="L17" s="2"/>
    </row>
    <row r="18">
      <c r="C18" s="2"/>
      <c r="K18" s="3"/>
      <c r="L18" s="2"/>
    </row>
    <row r="19">
      <c r="A19" s="86" t="s">
        <v>78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>
      <c r="A20" s="68" t="s">
        <v>3</v>
      </c>
      <c r="B20" s="69">
        <v>45000.0</v>
      </c>
      <c r="C20" s="2"/>
    </row>
    <row r="21">
      <c r="A21" s="19" t="s">
        <v>21</v>
      </c>
      <c r="B21" s="70">
        <v>0.5</v>
      </c>
      <c r="C21" s="2"/>
      <c r="D21" s="7" t="s">
        <v>4</v>
      </c>
      <c r="E21" s="7" t="s">
        <v>5</v>
      </c>
      <c r="F21" s="7" t="s">
        <v>38</v>
      </c>
      <c r="G21" s="7" t="s">
        <v>5</v>
      </c>
      <c r="H21" s="7" t="s">
        <v>39</v>
      </c>
      <c r="I21" s="7" t="s">
        <v>5</v>
      </c>
      <c r="J21" s="7" t="s">
        <v>40</v>
      </c>
      <c r="K21" s="7" t="s">
        <v>5</v>
      </c>
      <c r="L21" s="7" t="s">
        <v>41</v>
      </c>
    </row>
    <row r="22">
      <c r="A22" s="71" t="s">
        <v>23</v>
      </c>
      <c r="B22" s="24">
        <v>2.0</v>
      </c>
      <c r="C22" s="2"/>
      <c r="D22" s="3" t="s">
        <v>29</v>
      </c>
      <c r="E22" s="3">
        <v>0.0</v>
      </c>
      <c r="F22" s="9">
        <f t="shared" ref="F22:F23" si="10">E22*$B$8</f>
        <v>0</v>
      </c>
      <c r="G22" s="3">
        <v>0.0</v>
      </c>
      <c r="H22" s="9">
        <f t="shared" ref="H22:H23" si="11">G22*$B$8</f>
        <v>0</v>
      </c>
      <c r="I22" s="9">
        <v>0.0</v>
      </c>
      <c r="J22" s="9">
        <f t="shared" ref="J22:J23" si="12">I22*$B$8</f>
        <v>0</v>
      </c>
      <c r="K22" s="9">
        <v>0.0</v>
      </c>
      <c r="L22" s="9">
        <f t="shared" ref="L22:L23" si="13">K22*$B$8</f>
        <v>0</v>
      </c>
    </row>
    <row r="23">
      <c r="C23" s="2"/>
      <c r="D23" s="3" t="s">
        <v>32</v>
      </c>
      <c r="E23" s="3">
        <v>9.0</v>
      </c>
      <c r="F23" s="9">
        <f t="shared" si="10"/>
        <v>18</v>
      </c>
      <c r="G23" s="3">
        <v>0.0</v>
      </c>
      <c r="H23" s="9">
        <f t="shared" si="11"/>
        <v>0</v>
      </c>
      <c r="I23" s="9">
        <v>0.0</v>
      </c>
      <c r="J23" s="9">
        <f t="shared" si="12"/>
        <v>0</v>
      </c>
      <c r="K23" s="9">
        <v>0.0</v>
      </c>
      <c r="L23" s="9">
        <f t="shared" si="13"/>
        <v>0</v>
      </c>
    </row>
    <row r="24">
      <c r="A24" s="72" t="s">
        <v>15</v>
      </c>
      <c r="B24" s="69">
        <v>2.0</v>
      </c>
      <c r="C24" s="2"/>
      <c r="D24" s="3"/>
      <c r="E24" s="3"/>
      <c r="F24" s="9"/>
      <c r="G24" s="3"/>
      <c r="H24" s="9"/>
      <c r="I24" s="9"/>
      <c r="J24" s="9"/>
      <c r="K24" s="9"/>
      <c r="L24" s="9"/>
    </row>
    <row r="25">
      <c r="A25" s="19" t="s">
        <v>87</v>
      </c>
      <c r="B25" s="20">
        <v>0.0</v>
      </c>
      <c r="C25" s="2"/>
      <c r="D25" s="3"/>
      <c r="E25" s="3"/>
      <c r="F25" s="9"/>
      <c r="G25" s="3"/>
      <c r="H25" s="9"/>
      <c r="I25" s="9"/>
      <c r="J25" s="9"/>
      <c r="K25" s="9"/>
      <c r="L25" s="9"/>
    </row>
    <row r="26">
      <c r="A26" s="71" t="s">
        <v>18</v>
      </c>
      <c r="B26" s="24">
        <f>SUM(B24:B25)</f>
        <v>2</v>
      </c>
      <c r="C26" s="2"/>
      <c r="D26" s="3"/>
      <c r="E26" s="3"/>
      <c r="F26" s="9"/>
      <c r="G26" s="3"/>
      <c r="H26" s="9"/>
      <c r="I26" s="9"/>
      <c r="J26" s="9"/>
      <c r="K26" s="9"/>
      <c r="L26" s="9"/>
    </row>
    <row r="27">
      <c r="C27" s="2"/>
      <c r="D27" s="3"/>
      <c r="E27" s="3"/>
      <c r="F27" s="9"/>
      <c r="G27" s="3"/>
      <c r="H27" s="9"/>
      <c r="I27" s="9"/>
      <c r="J27" s="9"/>
      <c r="K27" s="9"/>
      <c r="L27" s="9"/>
    </row>
    <row r="28">
      <c r="A28" s="68" t="s">
        <v>12</v>
      </c>
      <c r="B28" s="82">
        <f>(B24*B20)+(B25*(B20/2))</f>
        <v>90000</v>
      </c>
      <c r="C28" s="2"/>
      <c r="D28" s="7" t="s">
        <v>4</v>
      </c>
      <c r="E28" s="7" t="s">
        <v>20</v>
      </c>
      <c r="F28" s="7" t="s">
        <v>6</v>
      </c>
      <c r="G28" s="7" t="s">
        <v>7</v>
      </c>
      <c r="H28" s="7" t="s">
        <v>8</v>
      </c>
      <c r="I28" s="7" t="s">
        <v>9</v>
      </c>
      <c r="J28" s="2"/>
      <c r="K28" s="2"/>
      <c r="L28" s="2"/>
    </row>
    <row r="29">
      <c r="A29" s="83" t="s">
        <v>21</v>
      </c>
      <c r="B29" s="84">
        <f>(B20*B21)*B24</f>
        <v>45000</v>
      </c>
      <c r="C29" s="2"/>
      <c r="D29" s="3" t="s">
        <v>29</v>
      </c>
      <c r="E29" s="3">
        <v>2400.0</v>
      </c>
      <c r="F29" s="3">
        <f t="shared" ref="F29:F30" si="14">F22*E29</f>
        <v>0</v>
      </c>
      <c r="G29" s="2">
        <f t="shared" ref="G29:G30" si="15">H22*E29</f>
        <v>0</v>
      </c>
      <c r="H29" s="2">
        <f t="shared" ref="H29:H30" si="16">J22*E29</f>
        <v>0</v>
      </c>
      <c r="I29" s="2">
        <f t="shared" ref="I29:I30" si="17">L22*E29</f>
        <v>0</v>
      </c>
      <c r="J29" s="2"/>
      <c r="K29" s="2"/>
      <c r="L29" s="2"/>
    </row>
    <row r="30">
      <c r="A30" s="19" t="s">
        <v>66</v>
      </c>
      <c r="B30" s="88">
        <f>(J31)*1.288</f>
        <v>55641.6</v>
      </c>
      <c r="C30" s="2"/>
      <c r="D30" s="3" t="s">
        <v>32</v>
      </c>
      <c r="E30" s="3">
        <v>2400.0</v>
      </c>
      <c r="F30" s="3">
        <f t="shared" si="14"/>
        <v>43200</v>
      </c>
      <c r="G30" s="2">
        <f t="shared" si="15"/>
        <v>0</v>
      </c>
      <c r="H30" s="2">
        <f t="shared" si="16"/>
        <v>0</v>
      </c>
      <c r="I30" s="2">
        <f t="shared" si="17"/>
        <v>0</v>
      </c>
      <c r="J30" s="2"/>
      <c r="K30" s="3"/>
      <c r="L30" s="2"/>
    </row>
    <row r="31">
      <c r="A31" s="71" t="s">
        <v>22</v>
      </c>
      <c r="B31" s="89">
        <f>B28-(B30+B29)</f>
        <v>-10641.6</v>
      </c>
      <c r="C31" s="2"/>
      <c r="D31" s="7" t="s">
        <v>18</v>
      </c>
      <c r="E31" s="2"/>
      <c r="F31" s="2">
        <f t="shared" ref="F31:I31" si="18">SUM(F29:F30)</f>
        <v>43200</v>
      </c>
      <c r="G31" s="2">
        <f t="shared" si="18"/>
        <v>0</v>
      </c>
      <c r="H31" s="2">
        <f t="shared" si="18"/>
        <v>0</v>
      </c>
      <c r="I31" s="2">
        <f t="shared" si="18"/>
        <v>0</v>
      </c>
      <c r="J31" s="3">
        <f>SUM(F31:I31)</f>
        <v>43200</v>
      </c>
      <c r="K31" s="3"/>
      <c r="L31" s="2"/>
    </row>
    <row r="33">
      <c r="A33" s="66" t="s">
        <v>70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>
      <c r="A34" s="101" t="s">
        <v>3</v>
      </c>
      <c r="B34" s="102">
        <v>45000.0</v>
      </c>
      <c r="C34" s="103"/>
      <c r="D34" s="104"/>
      <c r="E34" s="104"/>
      <c r="F34" s="104"/>
      <c r="G34" s="104"/>
      <c r="H34" s="104"/>
      <c r="I34" s="104"/>
      <c r="J34" s="104"/>
      <c r="K34" s="104"/>
      <c r="L34" s="104"/>
    </row>
    <row r="35">
      <c r="A35" s="105" t="s">
        <v>21</v>
      </c>
      <c r="B35" s="106">
        <v>0.5</v>
      </c>
      <c r="C35" s="103"/>
      <c r="D35" s="107" t="s">
        <v>4</v>
      </c>
      <c r="E35" s="107" t="s">
        <v>5</v>
      </c>
      <c r="F35" s="107" t="s">
        <v>6</v>
      </c>
      <c r="G35" s="107" t="s">
        <v>5</v>
      </c>
      <c r="H35" s="107" t="s">
        <v>7</v>
      </c>
      <c r="I35" s="107" t="s">
        <v>5</v>
      </c>
      <c r="J35" s="107" t="s">
        <v>8</v>
      </c>
      <c r="K35" s="107" t="s">
        <v>5</v>
      </c>
      <c r="L35" s="107" t="s">
        <v>9</v>
      </c>
    </row>
    <row r="36">
      <c r="A36" s="108" t="s">
        <v>23</v>
      </c>
      <c r="B36" s="109">
        <v>2.0</v>
      </c>
      <c r="C36" s="103"/>
      <c r="D36" s="97" t="s">
        <v>29</v>
      </c>
      <c r="E36" s="97">
        <v>0.0</v>
      </c>
      <c r="F36" s="98">
        <f t="shared" ref="F36:F37" si="19">E36*$B$8</f>
        <v>0</v>
      </c>
      <c r="G36" s="97">
        <v>0.0</v>
      </c>
      <c r="H36" s="98">
        <f t="shared" ref="H36:H37" si="20">G36*$B$8</f>
        <v>0</v>
      </c>
      <c r="I36" s="98">
        <v>0.0</v>
      </c>
      <c r="J36" s="98">
        <f t="shared" ref="J36:J37" si="21">I36*$B$8</f>
        <v>0</v>
      </c>
      <c r="K36" s="98">
        <v>0.0</v>
      </c>
      <c r="L36" s="98">
        <f t="shared" ref="L36:L37" si="22">K36*$B$8</f>
        <v>0</v>
      </c>
    </row>
    <row r="37">
      <c r="A37" s="104"/>
      <c r="B37" s="104"/>
      <c r="C37" s="103"/>
      <c r="D37" s="97" t="s">
        <v>32</v>
      </c>
      <c r="E37" s="97">
        <v>0.0</v>
      </c>
      <c r="F37" s="98">
        <f t="shared" si="19"/>
        <v>0</v>
      </c>
      <c r="G37" s="97">
        <v>0.0</v>
      </c>
      <c r="H37" s="98">
        <f t="shared" si="20"/>
        <v>0</v>
      </c>
      <c r="I37" s="98">
        <v>0.0</v>
      </c>
      <c r="J37" s="98">
        <f t="shared" si="21"/>
        <v>0</v>
      </c>
      <c r="K37" s="98">
        <v>0.0</v>
      </c>
      <c r="L37" s="98">
        <f t="shared" si="22"/>
        <v>0</v>
      </c>
    </row>
    <row r="38">
      <c r="A38" s="112" t="s">
        <v>15</v>
      </c>
      <c r="B38" s="102">
        <v>0.0</v>
      </c>
      <c r="C38" s="103"/>
      <c r="D38" s="97"/>
      <c r="E38" s="97"/>
      <c r="F38" s="98"/>
      <c r="G38" s="97"/>
      <c r="H38" s="98"/>
      <c r="I38" s="98"/>
      <c r="J38" s="98"/>
      <c r="K38" s="98"/>
      <c r="L38" s="98"/>
    </row>
    <row r="39">
      <c r="A39" s="105" t="s">
        <v>17</v>
      </c>
      <c r="B39" s="113">
        <v>0.0</v>
      </c>
      <c r="C39" s="103"/>
      <c r="D39" s="97"/>
      <c r="E39" s="97"/>
      <c r="F39" s="98"/>
      <c r="G39" s="97"/>
      <c r="H39" s="98"/>
      <c r="I39" s="98"/>
      <c r="J39" s="98"/>
      <c r="K39" s="98"/>
      <c r="L39" s="98"/>
    </row>
    <row r="40">
      <c r="A40" s="108" t="s">
        <v>18</v>
      </c>
      <c r="B40" s="109">
        <v>0.0</v>
      </c>
      <c r="C40" s="103"/>
      <c r="D40" s="97"/>
      <c r="E40" s="97"/>
      <c r="F40" s="98"/>
      <c r="G40" s="97"/>
      <c r="H40" s="98"/>
      <c r="I40" s="98"/>
      <c r="J40" s="98"/>
      <c r="K40" s="98"/>
      <c r="L40" s="98"/>
    </row>
    <row r="41">
      <c r="A41" s="104"/>
      <c r="B41" s="104"/>
      <c r="C41" s="103"/>
      <c r="D41" s="97"/>
      <c r="E41" s="97"/>
      <c r="F41" s="98"/>
      <c r="G41" s="97"/>
      <c r="H41" s="98"/>
      <c r="I41" s="98"/>
      <c r="J41" s="98"/>
      <c r="K41" s="98"/>
      <c r="L41" s="98"/>
    </row>
    <row r="42">
      <c r="A42" s="101" t="s">
        <v>12</v>
      </c>
      <c r="B42" s="114">
        <f>(B38*B34)+(B39*(B34/2))</f>
        <v>0</v>
      </c>
      <c r="C42" s="103"/>
      <c r="D42" s="107" t="s">
        <v>4</v>
      </c>
      <c r="E42" s="107" t="s">
        <v>20</v>
      </c>
      <c r="F42" s="107" t="s">
        <v>6</v>
      </c>
      <c r="G42" s="107" t="s">
        <v>7</v>
      </c>
      <c r="H42" s="107" t="s">
        <v>8</v>
      </c>
      <c r="I42" s="107" t="s">
        <v>9</v>
      </c>
      <c r="J42" s="103"/>
      <c r="K42" s="103"/>
      <c r="L42" s="103"/>
    </row>
    <row r="43">
      <c r="A43" s="115" t="s">
        <v>21</v>
      </c>
      <c r="B43" s="116">
        <f>(B34*B35)*B38</f>
        <v>0</v>
      </c>
      <c r="C43" s="103"/>
      <c r="D43" s="97" t="s">
        <v>29</v>
      </c>
      <c r="E43" s="97">
        <v>2200.0</v>
      </c>
      <c r="F43" s="97">
        <f t="shared" ref="F43:F44" si="23">F36*E43</f>
        <v>0</v>
      </c>
      <c r="G43" s="103">
        <f t="shared" ref="G43:G44" si="24">H36*E43</f>
        <v>0</v>
      </c>
      <c r="H43" s="103">
        <f t="shared" ref="H43:H44" si="25">J36*E43</f>
        <v>0</v>
      </c>
      <c r="I43" s="103">
        <f t="shared" ref="I43:I44" si="26">L36*E43</f>
        <v>0</v>
      </c>
      <c r="J43" s="103"/>
      <c r="K43" s="103"/>
      <c r="L43" s="103"/>
    </row>
    <row r="44">
      <c r="A44" s="105" t="s">
        <v>66</v>
      </c>
      <c r="B44" s="113">
        <f>J45</f>
        <v>0</v>
      </c>
      <c r="C44" s="103"/>
      <c r="D44" s="97" t="s">
        <v>32</v>
      </c>
      <c r="E44" s="97">
        <v>2200.0</v>
      </c>
      <c r="F44" s="97">
        <f t="shared" si="23"/>
        <v>0</v>
      </c>
      <c r="G44" s="103">
        <f t="shared" si="24"/>
        <v>0</v>
      </c>
      <c r="H44" s="103">
        <f t="shared" si="25"/>
        <v>0</v>
      </c>
      <c r="I44" s="103">
        <f t="shared" si="26"/>
        <v>0</v>
      </c>
      <c r="J44" s="103"/>
      <c r="K44" s="97"/>
      <c r="L44" s="103"/>
    </row>
    <row r="45">
      <c r="A45" s="108" t="s">
        <v>22</v>
      </c>
      <c r="B45" s="109">
        <f>B42-(B44+B43)</f>
        <v>0</v>
      </c>
      <c r="C45" s="103"/>
      <c r="D45" s="107" t="s">
        <v>18</v>
      </c>
      <c r="E45" s="103"/>
      <c r="F45" s="103">
        <f t="shared" ref="F45:I45" si="27">SUM(F43:F44)</f>
        <v>0</v>
      </c>
      <c r="G45" s="103">
        <f t="shared" si="27"/>
        <v>0</v>
      </c>
      <c r="H45" s="103">
        <f t="shared" si="27"/>
        <v>0</v>
      </c>
      <c r="I45" s="103">
        <f t="shared" si="27"/>
        <v>0</v>
      </c>
      <c r="J45" s="97">
        <f>SUM(F45:I45)</f>
        <v>0</v>
      </c>
      <c r="K45" s="97"/>
      <c r="L45" s="103"/>
    </row>
  </sheetData>
  <mergeCells count="1">
    <mergeCell ref="A1:C1"/>
  </mergeCells>
  <conditionalFormatting sqref="B17 B31 B45">
    <cfRule type="cellIs" dxfId="0" priority="1" operator="lessThan">
      <formula>0</formula>
    </cfRule>
  </conditionalFormatting>
  <conditionalFormatting sqref="B17 B31 B45">
    <cfRule type="cellIs" dxfId="1" priority="2" operator="greaterThanOrEqual">
      <formula>0</formula>
    </cfRule>
  </conditionalFormatting>
  <drawing r:id="rId1"/>
</worksheet>
</file>