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875009\Downloads\ExamenSyntheseExcel\"/>
    </mc:Choice>
  </mc:AlternateContent>
  <xr:revisionPtr revIDLastSave="0" documentId="13_ncr:1_{FE1DE577-6E83-484E-8779-C7900BF7A3CD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scriptions" sheetId="1" r:id="rId1"/>
    <sheet name="Question 1" sheetId="6" r:id="rId2"/>
    <sheet name="Question 2" sheetId="7" r:id="rId3"/>
    <sheet name="Question 3" sheetId="8" r:id="rId4"/>
    <sheet name="Paramètres" sheetId="3" r:id="rId5"/>
    <sheet name="Statistiques" sheetId="5" r:id="rId6"/>
  </sheets>
  <definedNames>
    <definedName name="_xlnm._FilterDatabase" localSheetId="1" hidden="1">'Question 1'!$B$5:$S$30</definedName>
    <definedName name="_xlnm._FilterDatabase" localSheetId="2" hidden="1">'Question 2'!$B$5:$S$30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0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7" i="1"/>
  <c r="O6" i="1"/>
  <c r="S30" i="7"/>
  <c r="Q30" i="7"/>
  <c r="P30" i="7"/>
  <c r="O30" i="7"/>
  <c r="N30" i="7"/>
  <c r="M30" i="7"/>
  <c r="L30" i="7"/>
  <c r="K30" i="7"/>
  <c r="J30" i="7"/>
  <c r="I30" i="7"/>
  <c r="S29" i="7"/>
  <c r="Q29" i="7"/>
  <c r="P29" i="7"/>
  <c r="O29" i="7"/>
  <c r="N29" i="7"/>
  <c r="M29" i="7"/>
  <c r="L29" i="7"/>
  <c r="K29" i="7"/>
  <c r="J29" i="7"/>
  <c r="I29" i="7"/>
  <c r="S28" i="7"/>
  <c r="Q28" i="7"/>
  <c r="P28" i="7"/>
  <c r="O28" i="7"/>
  <c r="N28" i="7"/>
  <c r="M28" i="7"/>
  <c r="L28" i="7"/>
  <c r="K28" i="7"/>
  <c r="J28" i="7"/>
  <c r="I28" i="7"/>
  <c r="O27" i="7"/>
  <c r="L27" i="7"/>
  <c r="O26" i="7"/>
  <c r="L26" i="7"/>
  <c r="O25" i="7"/>
  <c r="L25" i="7"/>
  <c r="O24" i="7"/>
  <c r="L24" i="7"/>
  <c r="O23" i="7"/>
  <c r="L23" i="7"/>
  <c r="O22" i="7"/>
  <c r="L22" i="7"/>
  <c r="O21" i="7"/>
  <c r="L21" i="7"/>
  <c r="O20" i="7"/>
  <c r="L20" i="7"/>
  <c r="O19" i="7"/>
  <c r="L19" i="7"/>
  <c r="O18" i="7"/>
  <c r="L18" i="7"/>
  <c r="O17" i="7"/>
  <c r="L17" i="7"/>
  <c r="O16" i="7"/>
  <c r="L16" i="7"/>
  <c r="O15" i="7"/>
  <c r="L15" i="7"/>
  <c r="O14" i="7"/>
  <c r="L14" i="7"/>
  <c r="O13" i="7"/>
  <c r="L13" i="7"/>
  <c r="O12" i="7"/>
  <c r="L12" i="7"/>
  <c r="O11" i="7"/>
  <c r="L11" i="7"/>
  <c r="O10" i="7"/>
  <c r="L10" i="7"/>
  <c r="O9" i="7"/>
  <c r="L9" i="7"/>
  <c r="O8" i="7"/>
  <c r="L8" i="7"/>
  <c r="O7" i="7"/>
  <c r="L7" i="7"/>
  <c r="O6" i="7"/>
  <c r="L6" i="7"/>
  <c r="C2" i="7"/>
  <c r="I26" i="7" s="1"/>
  <c r="S30" i="6"/>
  <c r="Q30" i="6"/>
  <c r="P30" i="6"/>
  <c r="O30" i="6"/>
  <c r="N30" i="6"/>
  <c r="M30" i="6"/>
  <c r="L30" i="6"/>
  <c r="K30" i="6"/>
  <c r="J30" i="6"/>
  <c r="I30" i="6"/>
  <c r="S29" i="6"/>
  <c r="Q29" i="6"/>
  <c r="P29" i="6"/>
  <c r="O29" i="6"/>
  <c r="N29" i="6"/>
  <c r="M29" i="6"/>
  <c r="L29" i="6"/>
  <c r="K29" i="6"/>
  <c r="J29" i="6"/>
  <c r="I29" i="6"/>
  <c r="S28" i="6"/>
  <c r="Q28" i="6"/>
  <c r="P28" i="6"/>
  <c r="O28" i="6"/>
  <c r="N28" i="6"/>
  <c r="M28" i="6"/>
  <c r="L28" i="6"/>
  <c r="K28" i="6"/>
  <c r="J28" i="6"/>
  <c r="I28" i="6"/>
  <c r="O27" i="6"/>
  <c r="L27" i="6"/>
  <c r="O26" i="6"/>
  <c r="L26" i="6"/>
  <c r="O25" i="6"/>
  <c r="L25" i="6"/>
  <c r="O24" i="6"/>
  <c r="L24" i="6"/>
  <c r="O23" i="6"/>
  <c r="L23" i="6"/>
  <c r="O22" i="6"/>
  <c r="L22" i="6"/>
  <c r="O21" i="6"/>
  <c r="L21" i="6"/>
  <c r="O20" i="6"/>
  <c r="L20" i="6"/>
  <c r="O19" i="6"/>
  <c r="L19" i="6"/>
  <c r="O18" i="6"/>
  <c r="L18" i="6"/>
  <c r="O17" i="6"/>
  <c r="L17" i="6"/>
  <c r="O16" i="6"/>
  <c r="L16" i="6"/>
  <c r="O15" i="6"/>
  <c r="L15" i="6"/>
  <c r="O14" i="6"/>
  <c r="L14" i="6"/>
  <c r="O13" i="6"/>
  <c r="L13" i="6"/>
  <c r="O12" i="6"/>
  <c r="L12" i="6"/>
  <c r="O11" i="6"/>
  <c r="L11" i="6"/>
  <c r="O10" i="6"/>
  <c r="L10" i="6"/>
  <c r="O9" i="6"/>
  <c r="L9" i="6"/>
  <c r="O8" i="6"/>
  <c r="L8" i="6"/>
  <c r="O7" i="6"/>
  <c r="L7" i="6"/>
  <c r="O6" i="6"/>
  <c r="L6" i="6"/>
  <c r="C2" i="6"/>
  <c r="I26" i="6" s="1"/>
  <c r="C6" i="5"/>
  <c r="L6" i="1"/>
  <c r="C2" i="5"/>
  <c r="N30" i="1"/>
  <c r="N28" i="1"/>
  <c r="N29" i="1"/>
  <c r="M30" i="1"/>
  <c r="M28" i="1"/>
  <c r="M29" i="1"/>
  <c r="P30" i="1"/>
  <c r="P28" i="1"/>
  <c r="P29" i="1"/>
  <c r="Q30" i="1"/>
  <c r="Q28" i="1"/>
  <c r="Q29" i="1"/>
  <c r="S30" i="1"/>
  <c r="S28" i="1"/>
  <c r="S29" i="1"/>
  <c r="L30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7" i="1"/>
  <c r="K30" i="1"/>
  <c r="K28" i="1"/>
  <c r="K29" i="1"/>
  <c r="J30" i="1"/>
  <c r="J28" i="1"/>
  <c r="J29" i="1"/>
  <c r="I30" i="1"/>
  <c r="I28" i="1"/>
  <c r="I29" i="1"/>
  <c r="C2" i="1"/>
  <c r="B1" i="1" s="1"/>
  <c r="I9" i="7" l="1"/>
  <c r="I8" i="7"/>
  <c r="I11" i="7"/>
  <c r="I14" i="7"/>
  <c r="I17" i="7"/>
  <c r="I20" i="7"/>
  <c r="I12" i="7"/>
  <c r="I21" i="7"/>
  <c r="I6" i="7"/>
  <c r="I15" i="7"/>
  <c r="I18" i="7"/>
  <c r="B1" i="7"/>
  <c r="I7" i="7"/>
  <c r="K7" i="7" s="1"/>
  <c r="M7" i="7" s="1"/>
  <c r="N7" i="7" s="1"/>
  <c r="P7" i="7" s="1"/>
  <c r="Q7" i="7" s="1"/>
  <c r="S7" i="7" s="1"/>
  <c r="I10" i="7"/>
  <c r="K10" i="7" s="1"/>
  <c r="M10" i="7" s="1"/>
  <c r="N10" i="7" s="1"/>
  <c r="P10" i="7" s="1"/>
  <c r="Q10" i="7" s="1"/>
  <c r="S10" i="7" s="1"/>
  <c r="I13" i="7"/>
  <c r="K13" i="7" s="1"/>
  <c r="M13" i="7" s="1"/>
  <c r="N13" i="7" s="1"/>
  <c r="P13" i="7" s="1"/>
  <c r="Q13" i="7" s="1"/>
  <c r="S13" i="7" s="1"/>
  <c r="I16" i="7"/>
  <c r="K16" i="7" s="1"/>
  <c r="M16" i="7" s="1"/>
  <c r="N16" i="7" s="1"/>
  <c r="P16" i="7" s="1"/>
  <c r="Q16" i="7" s="1"/>
  <c r="S16" i="7" s="1"/>
  <c r="I19" i="7"/>
  <c r="K19" i="7" s="1"/>
  <c r="M19" i="7" s="1"/>
  <c r="N19" i="7" s="1"/>
  <c r="P19" i="7" s="1"/>
  <c r="Q19" i="7" s="1"/>
  <c r="S19" i="7" s="1"/>
  <c r="I22" i="7"/>
  <c r="K22" i="7" s="1"/>
  <c r="M22" i="7" s="1"/>
  <c r="N22" i="7" s="1"/>
  <c r="P22" i="7" s="1"/>
  <c r="Q22" i="7" s="1"/>
  <c r="S22" i="7" s="1"/>
  <c r="I25" i="7"/>
  <c r="K25" i="7" s="1"/>
  <c r="M25" i="7" s="1"/>
  <c r="N25" i="7" s="1"/>
  <c r="P25" i="7" s="1"/>
  <c r="Q25" i="7" s="1"/>
  <c r="S25" i="7" s="1"/>
  <c r="J26" i="7"/>
  <c r="K26" i="7"/>
  <c r="M26" i="7" s="1"/>
  <c r="N26" i="7" s="1"/>
  <c r="I24" i="7"/>
  <c r="I27" i="7"/>
  <c r="I23" i="7"/>
  <c r="I9" i="6"/>
  <c r="K9" i="6" s="1"/>
  <c r="M9" i="6" s="1"/>
  <c r="N9" i="6" s="1"/>
  <c r="P9" i="6" s="1"/>
  <c r="Q9" i="6" s="1"/>
  <c r="S9" i="6" s="1"/>
  <c r="I18" i="6"/>
  <c r="K18" i="6" s="1"/>
  <c r="M18" i="6" s="1"/>
  <c r="N18" i="6" s="1"/>
  <c r="P18" i="6" s="1"/>
  <c r="Q18" i="6" s="1"/>
  <c r="S18" i="6" s="1"/>
  <c r="I20" i="6"/>
  <c r="J20" i="6" s="1"/>
  <c r="B1" i="6"/>
  <c r="I11" i="6"/>
  <c r="J11" i="6" s="1"/>
  <c r="I8" i="6"/>
  <c r="I15" i="6"/>
  <c r="K15" i="6" s="1"/>
  <c r="M15" i="6" s="1"/>
  <c r="N15" i="6" s="1"/>
  <c r="P15" i="6" s="1"/>
  <c r="Q15" i="6" s="1"/>
  <c r="S15" i="6" s="1"/>
  <c r="I17" i="6"/>
  <c r="I10" i="6"/>
  <c r="K10" i="6" s="1"/>
  <c r="M10" i="6" s="1"/>
  <c r="N10" i="6" s="1"/>
  <c r="P10" i="6" s="1"/>
  <c r="Q10" i="6" s="1"/>
  <c r="S10" i="6" s="1"/>
  <c r="I19" i="6"/>
  <c r="K19" i="6" s="1"/>
  <c r="M19" i="6" s="1"/>
  <c r="N19" i="6" s="1"/>
  <c r="P19" i="6" s="1"/>
  <c r="Q19" i="6" s="1"/>
  <c r="S19" i="6" s="1"/>
  <c r="I12" i="6"/>
  <c r="K12" i="6" s="1"/>
  <c r="M12" i="6" s="1"/>
  <c r="N12" i="6" s="1"/>
  <c r="P12" i="6" s="1"/>
  <c r="Q12" i="6" s="1"/>
  <c r="S12" i="6" s="1"/>
  <c r="I14" i="6"/>
  <c r="I21" i="6"/>
  <c r="K21" i="6" s="1"/>
  <c r="M21" i="6" s="1"/>
  <c r="N21" i="6" s="1"/>
  <c r="P21" i="6" s="1"/>
  <c r="Q21" i="6" s="1"/>
  <c r="S21" i="6" s="1"/>
  <c r="I13" i="6"/>
  <c r="K13" i="6" s="1"/>
  <c r="M13" i="6" s="1"/>
  <c r="N13" i="6" s="1"/>
  <c r="P13" i="6" s="1"/>
  <c r="Q13" i="6" s="1"/>
  <c r="S13" i="6" s="1"/>
  <c r="I22" i="6"/>
  <c r="K22" i="6" s="1"/>
  <c r="M22" i="6" s="1"/>
  <c r="N22" i="6" s="1"/>
  <c r="P22" i="6" s="1"/>
  <c r="Q22" i="6" s="1"/>
  <c r="S22" i="6" s="1"/>
  <c r="I6" i="6"/>
  <c r="K6" i="6" s="1"/>
  <c r="M6" i="6" s="1"/>
  <c r="N6" i="6" s="1"/>
  <c r="P6" i="6" s="1"/>
  <c r="Q6" i="6" s="1"/>
  <c r="S6" i="6" s="1"/>
  <c r="I25" i="6"/>
  <c r="K25" i="6" s="1"/>
  <c r="M25" i="6" s="1"/>
  <c r="N25" i="6" s="1"/>
  <c r="P25" i="6" s="1"/>
  <c r="Q25" i="6" s="1"/>
  <c r="S25" i="6" s="1"/>
  <c r="I7" i="6"/>
  <c r="K7" i="6" s="1"/>
  <c r="M7" i="6" s="1"/>
  <c r="N7" i="6" s="1"/>
  <c r="P7" i="6" s="1"/>
  <c r="Q7" i="6" s="1"/>
  <c r="S7" i="6" s="1"/>
  <c r="I16" i="6"/>
  <c r="K16" i="6" s="1"/>
  <c r="M16" i="6" s="1"/>
  <c r="N16" i="6" s="1"/>
  <c r="P16" i="6" s="1"/>
  <c r="Q16" i="6" s="1"/>
  <c r="S16" i="6" s="1"/>
  <c r="J26" i="6"/>
  <c r="K26" i="6"/>
  <c r="M26" i="6" s="1"/>
  <c r="N26" i="6" s="1"/>
  <c r="I24" i="6"/>
  <c r="I27" i="6"/>
  <c r="I23" i="6"/>
  <c r="I27" i="1"/>
  <c r="J27" i="1" s="1"/>
  <c r="I26" i="1"/>
  <c r="I20" i="1"/>
  <c r="I14" i="1"/>
  <c r="I8" i="1"/>
  <c r="I25" i="1"/>
  <c r="I19" i="1"/>
  <c r="I13" i="1"/>
  <c r="I24" i="1"/>
  <c r="I18" i="1"/>
  <c r="I12" i="1"/>
  <c r="I22" i="1"/>
  <c r="I16" i="1"/>
  <c r="I10" i="1"/>
  <c r="I21" i="1"/>
  <c r="I15" i="1"/>
  <c r="I9" i="1"/>
  <c r="I23" i="1"/>
  <c r="I17" i="1"/>
  <c r="I11" i="1"/>
  <c r="I7" i="1"/>
  <c r="K7" i="1" s="1"/>
  <c r="M7" i="1" s="1"/>
  <c r="I6" i="1"/>
  <c r="J9" i="6" l="1"/>
  <c r="J13" i="7"/>
  <c r="J19" i="7"/>
  <c r="J10" i="7"/>
  <c r="J7" i="6"/>
  <c r="J15" i="6"/>
  <c r="J16" i="7"/>
  <c r="J18" i="6"/>
  <c r="J25" i="6"/>
  <c r="J12" i="6"/>
  <c r="J7" i="7"/>
  <c r="J25" i="7"/>
  <c r="K20" i="7"/>
  <c r="M20" i="7" s="1"/>
  <c r="N20" i="7" s="1"/>
  <c r="P20" i="7" s="1"/>
  <c r="Q20" i="7" s="1"/>
  <c r="S20" i="7" s="1"/>
  <c r="J20" i="7"/>
  <c r="J16" i="6"/>
  <c r="J22" i="7"/>
  <c r="K18" i="7"/>
  <c r="M18" i="7" s="1"/>
  <c r="N18" i="7" s="1"/>
  <c r="P18" i="7" s="1"/>
  <c r="Q18" i="7" s="1"/>
  <c r="S18" i="7" s="1"/>
  <c r="J18" i="7"/>
  <c r="K17" i="7"/>
  <c r="M17" i="7" s="1"/>
  <c r="N17" i="7" s="1"/>
  <c r="J17" i="7"/>
  <c r="K15" i="7"/>
  <c r="M15" i="7" s="1"/>
  <c r="N15" i="7" s="1"/>
  <c r="P15" i="7" s="1"/>
  <c r="Q15" i="7" s="1"/>
  <c r="S15" i="7" s="1"/>
  <c r="J15" i="7"/>
  <c r="K14" i="7"/>
  <c r="M14" i="7" s="1"/>
  <c r="N14" i="7" s="1"/>
  <c r="J14" i="7"/>
  <c r="K11" i="6"/>
  <c r="M11" i="6" s="1"/>
  <c r="N11" i="6" s="1"/>
  <c r="P11" i="6" s="1"/>
  <c r="K6" i="7"/>
  <c r="M6" i="7" s="1"/>
  <c r="N6" i="7" s="1"/>
  <c r="P6" i="7" s="1"/>
  <c r="Q6" i="7" s="1"/>
  <c r="S6" i="7" s="1"/>
  <c r="J6" i="7"/>
  <c r="K11" i="7"/>
  <c r="M11" i="7" s="1"/>
  <c r="N11" i="7" s="1"/>
  <c r="P11" i="7" s="1"/>
  <c r="Q11" i="7" s="1"/>
  <c r="S11" i="7" s="1"/>
  <c r="J11" i="7"/>
  <c r="K21" i="7"/>
  <c r="M21" i="7" s="1"/>
  <c r="N21" i="7" s="1"/>
  <c r="P21" i="7" s="1"/>
  <c r="Q21" i="7" s="1"/>
  <c r="S21" i="7" s="1"/>
  <c r="J21" i="7"/>
  <c r="K8" i="7"/>
  <c r="M8" i="7" s="1"/>
  <c r="N8" i="7" s="1"/>
  <c r="P8" i="7" s="1"/>
  <c r="Q8" i="7" s="1"/>
  <c r="S8" i="7" s="1"/>
  <c r="J8" i="7"/>
  <c r="K20" i="6"/>
  <c r="M20" i="6" s="1"/>
  <c r="N20" i="6" s="1"/>
  <c r="P20" i="6" s="1"/>
  <c r="Q20" i="6" s="1"/>
  <c r="S20" i="6" s="1"/>
  <c r="K12" i="7"/>
  <c r="M12" i="7" s="1"/>
  <c r="N12" i="7" s="1"/>
  <c r="P12" i="7" s="1"/>
  <c r="Q12" i="7" s="1"/>
  <c r="S12" i="7" s="1"/>
  <c r="J12" i="7"/>
  <c r="K9" i="7"/>
  <c r="M9" i="7" s="1"/>
  <c r="N9" i="7" s="1"/>
  <c r="P9" i="7" s="1"/>
  <c r="Q9" i="7" s="1"/>
  <c r="S9" i="7" s="1"/>
  <c r="J9" i="7"/>
  <c r="J23" i="7"/>
  <c r="K23" i="7"/>
  <c r="M23" i="7" s="1"/>
  <c r="N23" i="7" s="1"/>
  <c r="K27" i="7"/>
  <c r="M27" i="7" s="1"/>
  <c r="N27" i="7" s="1"/>
  <c r="J27" i="7"/>
  <c r="K24" i="7"/>
  <c r="M24" i="7" s="1"/>
  <c r="N24" i="7" s="1"/>
  <c r="J24" i="7"/>
  <c r="P26" i="7"/>
  <c r="Q26" i="7" s="1"/>
  <c r="S26" i="7" s="1"/>
  <c r="J13" i="6"/>
  <c r="J10" i="6"/>
  <c r="J6" i="6"/>
  <c r="Q11" i="6"/>
  <c r="S11" i="6" s="1"/>
  <c r="J22" i="6"/>
  <c r="J19" i="6"/>
  <c r="J17" i="6"/>
  <c r="K17" i="6"/>
  <c r="M17" i="6" s="1"/>
  <c r="N17" i="6" s="1"/>
  <c r="J21" i="6"/>
  <c r="J14" i="6"/>
  <c r="K14" i="6"/>
  <c r="M14" i="6" s="1"/>
  <c r="N14" i="6" s="1"/>
  <c r="J8" i="6"/>
  <c r="K8" i="6"/>
  <c r="M8" i="6" s="1"/>
  <c r="N8" i="6" s="1"/>
  <c r="P26" i="6"/>
  <c r="Q26" i="6" s="1"/>
  <c r="S26" i="6" s="1"/>
  <c r="J23" i="6"/>
  <c r="K23" i="6"/>
  <c r="M23" i="6" s="1"/>
  <c r="N23" i="6" s="1"/>
  <c r="K27" i="6"/>
  <c r="M27" i="6" s="1"/>
  <c r="N27" i="6" s="1"/>
  <c r="J27" i="6"/>
  <c r="K24" i="6"/>
  <c r="M24" i="6" s="1"/>
  <c r="N24" i="6" s="1"/>
  <c r="J24" i="6"/>
  <c r="K6" i="1"/>
  <c r="M6" i="1" s="1"/>
  <c r="N6" i="1" s="1"/>
  <c r="P6" i="1" s="1"/>
  <c r="Q6" i="1" s="1"/>
  <c r="C3" i="5" a="1"/>
  <c r="C3" i="5" s="1"/>
  <c r="J6" i="1"/>
  <c r="K27" i="1"/>
  <c r="M27" i="1" s="1"/>
  <c r="N27" i="1" s="1"/>
  <c r="P27" i="1" s="1"/>
  <c r="Q27" i="1" s="1"/>
  <c r="S27" i="1" s="1"/>
  <c r="J24" i="1"/>
  <c r="K24" i="1"/>
  <c r="J11" i="1"/>
  <c r="K11" i="1"/>
  <c r="J10" i="1"/>
  <c r="K10" i="1"/>
  <c r="J13" i="1"/>
  <c r="K13" i="1"/>
  <c r="J26" i="1"/>
  <c r="K26" i="1"/>
  <c r="J17" i="1"/>
  <c r="K17" i="1"/>
  <c r="J16" i="1"/>
  <c r="K16" i="1"/>
  <c r="J19" i="1"/>
  <c r="K19" i="1"/>
  <c r="J23" i="1"/>
  <c r="K23" i="1"/>
  <c r="J22" i="1"/>
  <c r="K22" i="1"/>
  <c r="J25" i="1"/>
  <c r="K25" i="1"/>
  <c r="J12" i="1"/>
  <c r="K12" i="1"/>
  <c r="J8" i="1"/>
  <c r="K8" i="1"/>
  <c r="J18" i="1"/>
  <c r="K18" i="1"/>
  <c r="J14" i="1"/>
  <c r="K14" i="1"/>
  <c r="J9" i="1"/>
  <c r="K9" i="1"/>
  <c r="J20" i="1"/>
  <c r="K20" i="1"/>
  <c r="J15" i="1"/>
  <c r="K15" i="1"/>
  <c r="J21" i="1"/>
  <c r="K21" i="1"/>
  <c r="J7" i="1"/>
  <c r="P14" i="7" l="1"/>
  <c r="Q14" i="7" s="1"/>
  <c r="S14" i="7" s="1"/>
  <c r="P17" i="7"/>
  <c r="Q17" i="7" s="1"/>
  <c r="S17" i="7" s="1"/>
  <c r="P24" i="7"/>
  <c r="Q24" i="7" s="1"/>
  <c r="S24" i="7" s="1"/>
  <c r="P23" i="7"/>
  <c r="Q23" i="7" s="1"/>
  <c r="S23" i="7" s="1"/>
  <c r="P27" i="7"/>
  <c r="Q27" i="7" s="1"/>
  <c r="S27" i="7" s="1"/>
  <c r="P17" i="6"/>
  <c r="Q17" i="6" s="1"/>
  <c r="S17" i="6" s="1"/>
  <c r="P8" i="6"/>
  <c r="Q8" i="6" s="1"/>
  <c r="S8" i="6" s="1"/>
  <c r="P14" i="6"/>
  <c r="Q14" i="6" s="1"/>
  <c r="S14" i="6" s="1"/>
  <c r="P27" i="6"/>
  <c r="Q27" i="6" s="1"/>
  <c r="S27" i="6" s="1"/>
  <c r="P23" i="6"/>
  <c r="Q23" i="6" s="1"/>
  <c r="S23" i="6" s="1"/>
  <c r="P24" i="6"/>
  <c r="Q24" i="6" s="1"/>
  <c r="S24" i="6" s="1"/>
  <c r="C12" i="5"/>
  <c r="C13" i="5"/>
  <c r="C11" i="5"/>
  <c r="S6" i="1"/>
  <c r="M9" i="1"/>
  <c r="M16" i="1"/>
  <c r="M14" i="1"/>
  <c r="M12" i="1"/>
  <c r="M17" i="1"/>
  <c r="M10" i="1"/>
  <c r="N10" i="1" s="1"/>
  <c r="M20" i="1"/>
  <c r="N20" i="1" s="1"/>
  <c r="P20" i="1" s="1"/>
  <c r="M18" i="1"/>
  <c r="M25" i="1"/>
  <c r="N25" i="1" s="1"/>
  <c r="M19" i="1"/>
  <c r="N19" i="1" s="1"/>
  <c r="M26" i="1"/>
  <c r="M11" i="1"/>
  <c r="N11" i="1" s="1"/>
  <c r="M8" i="1"/>
  <c r="M13" i="1"/>
  <c r="N13" i="1" s="1"/>
  <c r="M24" i="1"/>
  <c r="N24" i="1" s="1"/>
  <c r="M22" i="1"/>
  <c r="N22" i="1" s="1"/>
  <c r="P22" i="1" s="1"/>
  <c r="M21" i="1"/>
  <c r="M15" i="1"/>
  <c r="N15" i="1" s="1"/>
  <c r="M23" i="1"/>
  <c r="N7" i="1"/>
  <c r="P7" i="1" s="1"/>
  <c r="N17" i="1" l="1"/>
  <c r="P17" i="1" s="1"/>
  <c r="Q17" i="1" s="1"/>
  <c r="S17" i="1" s="1"/>
  <c r="N26" i="1"/>
  <c r="N12" i="1"/>
  <c r="N8" i="1"/>
  <c r="P8" i="1" s="1"/>
  <c r="Q8" i="1" s="1"/>
  <c r="S8" i="1" s="1"/>
  <c r="N16" i="1"/>
  <c r="P16" i="1" s="1"/>
  <c r="Q16" i="1" s="1"/>
  <c r="S16" i="1" s="1"/>
  <c r="N23" i="1"/>
  <c r="N18" i="1"/>
  <c r="P18" i="1" s="1"/>
  <c r="Q18" i="1" s="1"/>
  <c r="S18" i="1" s="1"/>
  <c r="N14" i="1"/>
  <c r="P14" i="1" s="1"/>
  <c r="Q14" i="1" s="1"/>
  <c r="S14" i="1" s="1"/>
  <c r="N21" i="1"/>
  <c r="N9" i="1"/>
  <c r="P9" i="1" s="1"/>
  <c r="Q9" i="1" s="1"/>
  <c r="S9" i="1" s="1"/>
  <c r="C4" i="5" s="1"/>
  <c r="P19" i="1"/>
  <c r="Q19" i="1" s="1"/>
  <c r="S19" i="1" s="1"/>
  <c r="P11" i="1"/>
  <c r="Q11" i="1" s="1"/>
  <c r="S11" i="1" s="1"/>
  <c r="P24" i="1"/>
  <c r="Q24" i="1" s="1"/>
  <c r="S24" i="1" s="1"/>
  <c r="P10" i="1"/>
  <c r="Q10" i="1" s="1"/>
  <c r="S10" i="1" s="1"/>
  <c r="P13" i="1"/>
  <c r="Q13" i="1" s="1"/>
  <c r="S13" i="1" s="1"/>
  <c r="P15" i="1"/>
  <c r="Q15" i="1" s="1"/>
  <c r="S15" i="1" s="1"/>
  <c r="P25" i="1"/>
  <c r="Q25" i="1" s="1"/>
  <c r="S25" i="1" s="1"/>
  <c r="Q22" i="1"/>
  <c r="S22" i="1" s="1"/>
  <c r="Q20" i="1"/>
  <c r="S20" i="1" s="1"/>
  <c r="Q7" i="1"/>
  <c r="S7" i="1" l="1"/>
  <c r="P26" i="1"/>
  <c r="Q26" i="1" s="1"/>
  <c r="S26" i="1" s="1"/>
  <c r="P21" i="1"/>
  <c r="Q21" i="1" s="1"/>
  <c r="S21" i="1" s="1"/>
  <c r="P23" i="1"/>
  <c r="Q23" i="1" s="1"/>
  <c r="S23" i="1" s="1"/>
  <c r="P12" i="1"/>
  <c r="Q12" i="1" s="1"/>
  <c r="S12" i="1" s="1"/>
  <c r="C5" i="5" l="1"/>
  <c r="C7" i="5" s="1"/>
  <c r="D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D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Vous ne devez pas modifier cette cellule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<sst xmlns="http://schemas.openxmlformats.org/spreadsheetml/2006/main" count="375" uniqueCount="103">
  <si>
    <t>Nom</t>
  </si>
  <si>
    <t>Prénom</t>
  </si>
  <si>
    <t>Date de
naissance</t>
  </si>
  <si>
    <t>Âge</t>
  </si>
  <si>
    <t>Groupe</t>
  </si>
  <si>
    <t>Nb de
Semaines</t>
  </si>
  <si>
    <t>Dépôt</t>
  </si>
  <si>
    <t>Date du jour</t>
  </si>
  <si>
    <t>Léa</t>
  </si>
  <si>
    <t>Olivia</t>
  </si>
  <si>
    <t>Sexe</t>
  </si>
  <si>
    <t>F</t>
  </si>
  <si>
    <t>William</t>
  </si>
  <si>
    <t>Nathan</t>
  </si>
  <si>
    <t>Olivier</t>
  </si>
  <si>
    <t>Alice</t>
  </si>
  <si>
    <t>Florence</t>
  </si>
  <si>
    <t>Charlène</t>
  </si>
  <si>
    <t>Delphine</t>
  </si>
  <si>
    <t>Évanie</t>
  </si>
  <si>
    <t>Sophie</t>
  </si>
  <si>
    <t>Rosalie</t>
  </si>
  <si>
    <t>Léo</t>
  </si>
  <si>
    <t>Isaac</t>
  </si>
  <si>
    <t>Arnaud</t>
  </si>
  <si>
    <t>Jacob</t>
  </si>
  <si>
    <t>Félix</t>
  </si>
  <si>
    <t>Louis</t>
  </si>
  <si>
    <t>Logan</t>
  </si>
  <si>
    <t>Émile</t>
  </si>
  <si>
    <t>Xavier</t>
  </si>
  <si>
    <t>Montant 
à payer</t>
  </si>
  <si>
    <t>G</t>
  </si>
  <si>
    <t>Spécialité</t>
  </si>
  <si>
    <t>Groupes</t>
  </si>
  <si>
    <t>Critère d'âge</t>
  </si>
  <si>
    <t>Cout par  
semaine</t>
  </si>
  <si>
    <t>Nom du 
groupe</t>
  </si>
  <si>
    <t>Sciences</t>
  </si>
  <si>
    <t>Sports</t>
  </si>
  <si>
    <t>Montant du rabais</t>
  </si>
  <si>
    <t>Statistiques</t>
  </si>
  <si>
    <t>Composition des groupes</t>
  </si>
  <si>
    <t>Nombre d'enfants</t>
  </si>
  <si>
    <t>Nombre d'inscriptions consécutives</t>
  </si>
  <si>
    <t>Spécialités</t>
  </si>
  <si>
    <t>Moyenne d'âge</t>
  </si>
  <si>
    <t>Total à recevoir</t>
  </si>
  <si>
    <t>Montant reçu</t>
  </si>
  <si>
    <t>Montant à recevoir</t>
  </si>
  <si>
    <t>Tremblay</t>
  </si>
  <si>
    <t>Gagnon</t>
  </si>
  <si>
    <t>Roy</t>
  </si>
  <si>
    <t>Côté</t>
  </si>
  <si>
    <t>Bouchard</t>
  </si>
  <si>
    <t>Gauthier</t>
  </si>
  <si>
    <t>Fortin</t>
  </si>
  <si>
    <t>Lavoie</t>
  </si>
  <si>
    <t>Caron</t>
  </si>
  <si>
    <t>Beaulin</t>
  </si>
  <si>
    <t>Simard</t>
  </si>
  <si>
    <t>Girard</t>
  </si>
  <si>
    <t>Dubé</t>
  </si>
  <si>
    <t>Aubin</t>
  </si>
  <si>
    <t>Nault</t>
  </si>
  <si>
    <t>Bossé</t>
  </si>
  <si>
    <t>Métivier</t>
  </si>
  <si>
    <t>Bourque</t>
  </si>
  <si>
    <t>Vallière</t>
  </si>
  <si>
    <t>Clément</t>
  </si>
  <si>
    <t>Montant restant à payer</t>
  </si>
  <si>
    <t xml:space="preserve">% de rabais </t>
  </si>
  <si>
    <t>Licornes</t>
  </si>
  <si>
    <t>Dragons</t>
  </si>
  <si>
    <t>Monstres</t>
  </si>
  <si>
    <t>Nb. Enfants</t>
  </si>
  <si>
    <t>Coût par semaine</t>
  </si>
  <si>
    <t>Coût Total</t>
  </si>
  <si>
    <t>Rabais pour inscriptions consécutives</t>
  </si>
  <si>
    <t>Minimum</t>
  </si>
  <si>
    <t>Maximum</t>
  </si>
  <si>
    <t>Cinémix</t>
  </si>
  <si>
    <t>Magie</t>
  </si>
  <si>
    <t>Danse</t>
  </si>
  <si>
    <t>Théâtre</t>
  </si>
  <si>
    <t>Festizoo</t>
  </si>
  <si>
    <t>Total
par semaine</t>
  </si>
  <si>
    <t>Supplément
par semaine</t>
  </si>
  <si>
    <t>Supplément
spécialité</t>
  </si>
  <si>
    <t>Informations nécessaire à l'inscription</t>
  </si>
  <si>
    <t>Informations déterminés suite à l'inscription</t>
  </si>
  <si>
    <t>inscriptions</t>
  </si>
  <si>
    <t xml:space="preserve"> </t>
  </si>
  <si>
    <t>Conditions</t>
  </si>
  <si>
    <t>Nb minimal de semaine</t>
  </si>
  <si>
    <t>NB maximal de semaine</t>
  </si>
  <si>
    <t xml:space="preserve">Nb d'inscriptions inférieur ou égal à </t>
  </si>
  <si>
    <t>Total pour</t>
  </si>
  <si>
    <t>Bourgault</t>
  </si>
  <si>
    <t>Étiquettes de lignes</t>
  </si>
  <si>
    <t>(vide)</t>
  </si>
  <si>
    <t>Total général</t>
  </si>
  <si>
    <t>Nombre de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</si>
</sst>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 * #,##0.00_)\ &quot;$&quot;_ ;_ * \(#,##0.00\)\ &quot;$&quot;_ ;_ * &quot;-&quot;??_)\ &quot;$&quot;_ ;_ @_ "/>
    <numFmt numFmtId="164" formatCode="#&quot;-7 ans&quot;"/>
    <numFmt numFmtId="165" formatCode="#&quot; inscriptions&quot;"/>
    <numFmt numFmtId="166" formatCode="#&quot; et&quot;"/>
    <numFmt numFmtId="167" formatCode="&quot; &quot;#&quot; inscriptions&quot;"/>
    <numFmt numFmtId="168" formatCode="dddd\ dd\ mmm\ yyyy"/>
    <numFmt numFmtId="169" formatCode="#,##0.00\ &quot;$&quot;"/>
    <numFmt numFmtId="170" formatCode="&quot;Moins de &quot;0"/>
    <numFmt numFmtId="171" formatCode="&quot;Entre &quot;#&quot; et&quot;"/>
    <numFmt numFmtId="172" formatCode="&quot;Plus de &quot;0"/>
    <numFmt numFmtId="175" formatCode="dddd\ mmmm\ dd\ yyyy"/>
    <numFmt numFmtId="176" formatCode="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Segoe UI Black"/>
      <family val="2"/>
    </font>
    <font>
      <b/>
      <i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Berlin Sans FB Demi"/>
      <family val="2"/>
    </font>
    <font>
      <b/>
      <i/>
      <u/>
      <sz val="12"/>
      <color theme="0"/>
      <name val="Calibri"/>
      <family val="2"/>
      <scheme val="minor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 style="slantDashDot">
        <color theme="9" tint="-0.24994659260841701"/>
      </left>
      <right/>
      <top style="slantDashDot">
        <color theme="9" tint="-0.24994659260841701"/>
      </top>
      <bottom/>
      <diagonal/>
    </border>
    <border>
      <left/>
      <right/>
      <top style="slantDashDot">
        <color theme="9" tint="-0.24994659260841701"/>
      </top>
      <bottom/>
      <diagonal/>
    </border>
    <border>
      <left/>
      <right style="slantDashDot">
        <color theme="9" tint="-0.24994659260841701"/>
      </right>
      <top style="slantDashDot">
        <color theme="9" tint="-0.24994659260841701"/>
      </top>
      <bottom/>
      <diagonal/>
    </border>
    <border>
      <left style="slantDashDot">
        <color theme="9" tint="-0.24994659260841701"/>
      </left>
      <right/>
      <top/>
      <bottom style="slantDashDot">
        <color theme="9" tint="-0.24994659260841701"/>
      </bottom>
      <diagonal/>
    </border>
    <border>
      <left/>
      <right/>
      <top/>
      <bottom style="slantDashDot">
        <color theme="9" tint="-0.24994659260841701"/>
      </bottom>
      <diagonal/>
    </border>
    <border>
      <left/>
      <right style="slantDashDot">
        <color theme="9" tint="-0.24994659260841701"/>
      </right>
      <top/>
      <bottom style="slantDashDot">
        <color theme="9" tint="-0.24994659260841701"/>
      </bottom>
      <diagonal/>
    </border>
    <border>
      <left style="slantDashDot">
        <color theme="9" tint="-0.24994659260841701"/>
      </left>
      <right/>
      <top/>
      <bottom/>
      <diagonal/>
    </border>
    <border>
      <left/>
      <right style="slantDashDot">
        <color theme="9" tint="-0.24994659260841701"/>
      </right>
      <top/>
      <bottom/>
      <diagonal/>
    </border>
    <border>
      <left style="slantDashDot">
        <color theme="9" tint="-0.24994659260841701"/>
      </left>
      <right/>
      <top style="slantDashDot">
        <color theme="9" tint="-0.24994659260841701"/>
      </top>
      <bottom style="slantDashDot">
        <color theme="9" tint="-0.24994659260841701"/>
      </bottom>
      <diagonal/>
    </border>
    <border>
      <left/>
      <right/>
      <top style="slantDashDot">
        <color theme="9" tint="-0.24994659260841701"/>
      </top>
      <bottom style="slantDashDot">
        <color theme="9" tint="-0.24994659260841701"/>
      </bottom>
      <diagonal/>
    </border>
    <border>
      <left/>
      <right style="slantDashDot">
        <color theme="9" tint="-0.24994659260841701"/>
      </right>
      <top style="slantDashDot">
        <color theme="9" tint="-0.24994659260841701"/>
      </top>
      <bottom style="slantDashDot">
        <color theme="9" tint="-0.24994659260841701"/>
      </bottom>
      <diagonal/>
    </border>
    <border>
      <left style="slantDashDot">
        <color theme="9" tint="-0.24994659260841701"/>
      </left>
      <right style="slantDashDot">
        <color theme="9" tint="-0.24994659260841701"/>
      </right>
      <top style="slantDashDot">
        <color theme="9" tint="-0.24994659260841701"/>
      </top>
      <bottom style="slantDashDot">
        <color theme="9" tint="-0.24994659260841701"/>
      </bottom>
      <diagonal/>
    </border>
    <border>
      <left/>
      <right style="thick">
        <color theme="9" tint="-0.24994659260841701"/>
      </right>
      <top/>
      <bottom/>
      <diagonal/>
    </border>
    <border>
      <left/>
      <right style="thick">
        <color theme="9" tint="-0.24994659260841701"/>
      </right>
      <top/>
      <bottom style="slantDashDot">
        <color theme="9" tint="-0.24994659260841701"/>
      </bottom>
      <diagonal/>
    </border>
    <border>
      <left style="mediumDashed">
        <color theme="8" tint="-0.24994659260841701"/>
      </left>
      <right/>
      <top style="slantDashDot">
        <color theme="9" tint="-0.24994659260841701"/>
      </top>
      <bottom/>
      <diagonal/>
    </border>
    <border>
      <left style="mediumDashed">
        <color theme="8" tint="-0.24994659260841701"/>
      </left>
      <right style="slantDashDot">
        <color theme="9" tint="-0.24994659260841701"/>
      </right>
      <top style="slantDashDot">
        <color theme="9" tint="-0.24994659260841701"/>
      </top>
      <bottom/>
      <diagonal/>
    </border>
    <border>
      <left/>
      <right style="slantDashDot">
        <color theme="8" tint="-0.24994659260841701"/>
      </right>
      <top style="slantDashDot">
        <color theme="9" tint="-0.24994659260841701"/>
      </top>
      <bottom/>
      <diagonal/>
    </border>
    <border>
      <left/>
      <right style="slantDashDot">
        <color theme="8" tint="-0.24994659260841701"/>
      </right>
      <top/>
      <bottom/>
      <diagonal/>
    </border>
    <border>
      <left/>
      <right style="slantDashDot">
        <color theme="8" tint="-0.24994659260841701"/>
      </right>
      <top/>
      <bottom style="slantDashDot">
        <color theme="9" tint="-0.24994659260841701"/>
      </bottom>
      <diagonal/>
    </border>
    <border>
      <left style="mediumDashed">
        <color theme="8" tint="-0.24994659260841701"/>
      </left>
      <right style="slantDashDot">
        <color theme="9" tint="-0.24994659260841701"/>
      </right>
      <top style="slantDashDot">
        <color theme="9" tint="-0.24994659260841701"/>
      </top>
      <bottom style="slantDashDot">
        <color theme="9" tint="-0.24994659260841701"/>
      </bottom>
      <diagonal/>
    </border>
    <border>
      <left style="slantDashDot">
        <color theme="9" tint="-0.24994659260841701"/>
      </left>
      <right style="slantDashDot">
        <color theme="9" tint="-0.24994659260841701"/>
      </right>
      <top/>
      <bottom/>
      <diagonal/>
    </border>
    <border>
      <left style="slantDashDot">
        <color theme="9" tint="-0.24994659260841701"/>
      </left>
      <right style="slantDashDot">
        <color theme="9" tint="-0.24994659260841701"/>
      </right>
      <top/>
      <bottom style="slantDashDot">
        <color theme="9" tint="-0.24994659260841701"/>
      </bottom>
      <diagonal/>
    </border>
    <border>
      <left/>
      <right style="thick">
        <color theme="9" tint="-0.24994659260841701"/>
      </right>
      <top style="slantDashDot">
        <color theme="9" tint="-0.24994659260841701"/>
      </top>
      <bottom/>
      <diagonal/>
    </border>
    <border>
      <left style="thick">
        <color theme="9" tint="-0.24994659260841701"/>
      </left>
      <right/>
      <top style="slantDashDot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 style="thick">
        <color theme="9" tint="-0.24994659260841701"/>
      </left>
      <right/>
      <top/>
      <bottom style="slantDashDot">
        <color theme="9" tint="-0.24994659260841701"/>
      </bottom>
      <diagonal/>
    </border>
    <border>
      <left/>
      <right style="thick">
        <color theme="9" tint="-0.24994659260841701"/>
      </right>
      <top style="slantDashDot">
        <color theme="9" tint="-0.24994659260841701"/>
      </top>
      <bottom style="slantDashDot">
        <color theme="9" tint="-0.24994659260841701"/>
      </bottom>
      <diagonal/>
    </border>
    <border>
      <left style="thick">
        <color theme="9" tint="-0.24994659260841701"/>
      </left>
      <right/>
      <top style="slantDashDot">
        <color theme="9" tint="-0.24994659260841701"/>
      </top>
      <bottom style="slantDashDot">
        <color theme="9" tint="-0.24994659260841701"/>
      </bottom>
      <diagonal/>
    </border>
    <border>
      <left style="slantDashDot">
        <color theme="9" tint="-0.24994659260841701"/>
      </left>
      <right style="slantDashDot">
        <color theme="9" tint="-0.24994659260841701"/>
      </right>
      <top style="slantDashDot">
        <color theme="9" tint="-0.2499465926084170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Border="1" applyAlignment="1">
      <alignment horizont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0" fillId="0" borderId="0" xfId="0" applyNumberFormat="1"/>
    <xf numFmtId="9" fontId="0" fillId="0" borderId="0" xfId="2" applyFont="1" applyBorder="1" applyAlignment="1">
      <alignment horizontal="center"/>
    </xf>
    <xf numFmtId="0" fontId="0" fillId="0" borderId="0" xfId="0" applyBorder="1" applyAlignment="1">
      <alignment horizontal="centerContinuous"/>
    </xf>
    <xf numFmtId="44" fontId="7" fillId="0" borderId="0" xfId="1" applyFont="1" applyBorder="1" applyAlignment="1">
      <alignment horizontal="left" vertical="center"/>
    </xf>
    <xf numFmtId="44" fontId="7" fillId="0" borderId="0" xfId="0" applyNumberFormat="1" applyFont="1" applyBorder="1" applyAlignment="1">
      <alignment horizontal="left" vertical="center"/>
    </xf>
    <xf numFmtId="2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5" fillId="0" borderId="0" xfId="0" applyFont="1" applyFill="1" applyBorder="1" applyAlignment="1"/>
    <xf numFmtId="166" fontId="8" fillId="0" borderId="0" xfId="0" applyNumberFormat="1" applyFont="1" applyFill="1" applyBorder="1" applyAlignment="1">
      <alignment horizontal="right"/>
    </xf>
    <xf numFmtId="167" fontId="8" fillId="0" borderId="0" xfId="0" applyNumberFormat="1" applyFont="1" applyFill="1" applyBorder="1" applyAlignment="1">
      <alignment horizontal="left"/>
    </xf>
    <xf numFmtId="9" fontId="8" fillId="0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Continuous"/>
    </xf>
    <xf numFmtId="0" fontId="0" fillId="0" borderId="0" xfId="0" applyBorder="1"/>
    <xf numFmtId="0" fontId="6" fillId="0" borderId="0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Continuous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4" fontId="0" fillId="0" borderId="0" xfId="0" applyNumberFormat="1" applyBorder="1" applyAlignment="1">
      <alignment horizontal="center" vertical="center"/>
    </xf>
    <xf numFmtId="44" fontId="0" fillId="0" borderId="0" xfId="1" applyNumberFormat="1" applyFont="1" applyBorder="1" applyAlignment="1">
      <alignment horizontal="center"/>
    </xf>
    <xf numFmtId="44" fontId="0" fillId="0" borderId="0" xfId="1" applyNumberFormat="1" applyFont="1" applyBorder="1"/>
    <xf numFmtId="0" fontId="17" fillId="2" borderId="1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11" fillId="2" borderId="4" xfId="0" applyFont="1" applyFill="1" applyBorder="1" applyAlignment="1">
      <alignment horizontal="center" vertical="center"/>
    </xf>
    <xf numFmtId="14" fontId="0" fillId="2" borderId="5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11" fillId="3" borderId="7" xfId="0" applyFont="1" applyFill="1" applyBorder="1" applyAlignment="1">
      <alignment horizontal="center" vertical="center"/>
    </xf>
    <xf numFmtId="168" fontId="13" fillId="3" borderId="0" xfId="0" applyNumberFormat="1" applyFont="1" applyFill="1" applyBorder="1" applyAlignment="1">
      <alignment horizontal="center" vertical="center"/>
    </xf>
    <xf numFmtId="14" fontId="0" fillId="3" borderId="0" xfId="0" applyNumberFormat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Continuous" vertical="center" wrapText="1"/>
    </xf>
    <xf numFmtId="14" fontId="10" fillId="2" borderId="10" xfId="0" applyNumberFormat="1" applyFont="1" applyFill="1" applyBorder="1" applyAlignment="1">
      <alignment horizontal="centerContinuous" vertical="center" wrapText="1"/>
    </xf>
    <xf numFmtId="0" fontId="9" fillId="2" borderId="10" xfId="0" applyFont="1" applyFill="1" applyBorder="1" applyAlignment="1">
      <alignment horizontal="centerContinuous" vertical="center" wrapText="1"/>
    </xf>
    <xf numFmtId="0" fontId="10" fillId="2" borderId="10" xfId="0" applyFont="1" applyFill="1" applyBorder="1" applyAlignment="1">
      <alignment horizontal="centerContinuous" vertical="center" wrapText="1"/>
    </xf>
    <xf numFmtId="0" fontId="0" fillId="2" borderId="10" xfId="0" applyFont="1" applyFill="1" applyBorder="1" applyAlignment="1">
      <alignment horizontal="centerContinuous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Continuous"/>
    </xf>
    <xf numFmtId="44" fontId="0" fillId="0" borderId="2" xfId="0" applyNumberFormat="1" applyBorder="1" applyAlignment="1">
      <alignment horizontal="center" vertical="center"/>
    </xf>
    <xf numFmtId="44" fontId="0" fillId="0" borderId="2" xfId="1" applyNumberFormat="1" applyFont="1" applyBorder="1" applyAlignment="1">
      <alignment horizontal="center"/>
    </xf>
    <xf numFmtId="9" fontId="0" fillId="0" borderId="2" xfId="2" applyFont="1" applyBorder="1" applyAlignment="1">
      <alignment horizontal="center"/>
    </xf>
    <xf numFmtId="44" fontId="4" fillId="0" borderId="3" xfId="1" applyNumberFormat="1" applyFont="1" applyBorder="1"/>
    <xf numFmtId="44" fontId="4" fillId="0" borderId="8" xfId="1" applyNumberFormat="1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44" fontId="0" fillId="0" borderId="5" xfId="0" applyNumberFormat="1" applyBorder="1" applyAlignment="1">
      <alignment horizontal="center" vertical="center"/>
    </xf>
    <xf numFmtId="44" fontId="0" fillId="0" borderId="5" xfId="1" applyNumberFormat="1" applyFont="1" applyBorder="1" applyAlignment="1">
      <alignment horizontal="center" vertical="center"/>
    </xf>
    <xf numFmtId="9" fontId="0" fillId="0" borderId="5" xfId="2" applyFont="1" applyBorder="1" applyAlignment="1">
      <alignment horizontal="center" vertical="center"/>
    </xf>
    <xf numFmtId="44" fontId="4" fillId="0" borderId="6" xfId="1" applyNumberFormat="1" applyFont="1" applyBorder="1" applyAlignment="1">
      <alignment horizontal="center" vertical="center"/>
    </xf>
    <xf numFmtId="44" fontId="0" fillId="0" borderId="13" xfId="1" applyNumberFormat="1" applyFont="1" applyBorder="1" applyAlignment="1">
      <alignment horizontal="center"/>
    </xf>
    <xf numFmtId="44" fontId="0" fillId="0" borderId="13" xfId="1" applyNumberFormat="1" applyFont="1" applyBorder="1" applyAlignment="1">
      <alignment horizontal="center" vertical="center"/>
    </xf>
    <xf numFmtId="44" fontId="0" fillId="0" borderId="14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5" fillId="3" borderId="3" xfId="0" applyFont="1" applyFill="1" applyBorder="1" applyAlignment="1">
      <alignment horizontal="centerContinuous"/>
    </xf>
    <xf numFmtId="0" fontId="8" fillId="2" borderId="1" xfId="0" applyFont="1" applyFill="1" applyBorder="1" applyAlignment="1">
      <alignment horizontal="centerContinuous"/>
    </xf>
    <xf numFmtId="0" fontId="8" fillId="2" borderId="3" xfId="0" applyFont="1" applyFill="1" applyBorder="1" applyAlignment="1">
      <alignment horizontal="centerContinuous"/>
    </xf>
    <xf numFmtId="0" fontId="8" fillId="2" borderId="1" xfId="0" applyFont="1" applyFill="1" applyBorder="1" applyAlignment="1">
      <alignment horizontal="centerContinuous" vertical="center"/>
    </xf>
    <xf numFmtId="0" fontId="8" fillId="2" borderId="17" xfId="0" applyFont="1" applyFill="1" applyBorder="1" applyAlignment="1">
      <alignment horizontal="centerContinuous" vertical="center"/>
    </xf>
    <xf numFmtId="0" fontId="7" fillId="0" borderId="2" xfId="0" applyFont="1" applyBorder="1" applyAlignment="1">
      <alignment horizontal="right" vertical="center"/>
    </xf>
    <xf numFmtId="0" fontId="7" fillId="3" borderId="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Continuous"/>
    </xf>
    <xf numFmtId="0" fontId="7" fillId="0" borderId="8" xfId="0" applyFont="1" applyBorder="1" applyAlignment="1">
      <alignment horizontal="centerContinuous"/>
    </xf>
    <xf numFmtId="0" fontId="7" fillId="0" borderId="8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Continuous" vertical="center"/>
    </xf>
    <xf numFmtId="0" fontId="8" fillId="2" borderId="18" xfId="0" applyFont="1" applyFill="1" applyBorder="1" applyAlignment="1">
      <alignment horizontal="centerContinuous" vertical="center"/>
    </xf>
    <xf numFmtId="0" fontId="7" fillId="3" borderId="8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Continuous"/>
    </xf>
    <xf numFmtId="0" fontId="7" fillId="0" borderId="6" xfId="0" applyFont="1" applyBorder="1" applyAlignment="1">
      <alignment horizontal="centerContinuous"/>
    </xf>
    <xf numFmtId="0" fontId="7" fillId="0" borderId="6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Continuous" vertical="center"/>
    </xf>
    <xf numFmtId="0" fontId="8" fillId="2" borderId="19" xfId="0" applyFont="1" applyFill="1" applyBorder="1" applyAlignment="1">
      <alignment horizontal="centerContinuous" vertical="center"/>
    </xf>
    <xf numFmtId="44" fontId="7" fillId="0" borderId="5" xfId="0" applyNumberFormat="1" applyFont="1" applyBorder="1" applyAlignment="1">
      <alignment horizontal="left" vertical="center"/>
    </xf>
    <xf numFmtId="44" fontId="7" fillId="0" borderId="6" xfId="0" applyNumberFormat="1" applyFont="1" applyBorder="1" applyAlignment="1" applyProtection="1">
      <alignment horizontal="left" vertical="center"/>
    </xf>
    <xf numFmtId="44" fontId="7" fillId="0" borderId="8" xfId="1" applyFont="1" applyBorder="1"/>
    <xf numFmtId="0" fontId="7" fillId="0" borderId="5" xfId="0" applyFont="1" applyBorder="1" applyAlignment="1">
      <alignment horizontal="center" vertical="center"/>
    </xf>
    <xf numFmtId="44" fontId="7" fillId="0" borderId="6" xfId="1" applyFont="1" applyBorder="1"/>
    <xf numFmtId="0" fontId="0" fillId="0" borderId="7" xfId="0" applyBorder="1" applyAlignment="1">
      <alignment horizontal="centerContinuous" vertical="center"/>
    </xf>
    <xf numFmtId="169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Continuous"/>
    </xf>
    <xf numFmtId="0" fontId="0" fillId="0" borderId="4" xfId="0" applyBorder="1" applyAlignment="1">
      <alignment horizontal="centerContinuous" vertical="center"/>
    </xf>
    <xf numFmtId="169" fontId="0" fillId="0" borderId="6" xfId="0" applyNumberFormat="1" applyBorder="1" applyAlignment="1">
      <alignment horizontal="center"/>
    </xf>
    <xf numFmtId="0" fontId="8" fillId="2" borderId="9" xfId="0" applyFont="1" applyFill="1" applyBorder="1" applyAlignment="1">
      <alignment horizontal="centerContinuous" vertical="center"/>
    </xf>
    <xf numFmtId="0" fontId="8" fillId="2" borderId="20" xfId="0" applyFont="1" applyFill="1" applyBorder="1" applyAlignment="1">
      <alignment horizontal="centerContinuous" vertical="center"/>
    </xf>
    <xf numFmtId="0" fontId="8" fillId="2" borderId="12" xfId="0" applyFont="1" applyFill="1" applyBorder="1" applyAlignment="1">
      <alignment horizontal="centerContinuous" vertical="center"/>
    </xf>
    <xf numFmtId="0" fontId="8" fillId="2" borderId="21" xfId="0" applyFont="1" applyFill="1" applyBorder="1" applyAlignment="1">
      <alignment horizontal="center"/>
    </xf>
    <xf numFmtId="0" fontId="8" fillId="2" borderId="21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22" xfId="0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 wrapText="1"/>
    </xf>
    <xf numFmtId="44" fontId="0" fillId="0" borderId="13" xfId="1" applyFont="1" applyBorder="1"/>
    <xf numFmtId="44" fontId="0" fillId="0" borderId="13" xfId="1" applyFont="1" applyFill="1" applyBorder="1"/>
    <xf numFmtId="44" fontId="0" fillId="0" borderId="13" xfId="1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70" fontId="8" fillId="2" borderId="1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horizontal="left"/>
    </xf>
    <xf numFmtId="9" fontId="8" fillId="0" borderId="3" xfId="0" applyNumberFormat="1" applyFont="1" applyBorder="1" applyAlignment="1">
      <alignment horizontal="center"/>
    </xf>
    <xf numFmtId="171" fontId="8" fillId="2" borderId="7" xfId="0" applyNumberFormat="1" applyFont="1" applyFill="1" applyBorder="1" applyAlignment="1">
      <alignment horizontal="right"/>
    </xf>
    <xf numFmtId="165" fontId="8" fillId="2" borderId="8" xfId="0" applyNumberFormat="1" applyFont="1" applyFill="1" applyBorder="1" applyAlignment="1">
      <alignment horizontal="left"/>
    </xf>
    <xf numFmtId="9" fontId="8" fillId="0" borderId="8" xfId="0" applyNumberFormat="1" applyFont="1" applyBorder="1" applyAlignment="1">
      <alignment horizontal="center"/>
    </xf>
    <xf numFmtId="172" fontId="8" fillId="2" borderId="4" xfId="0" applyNumberFormat="1" applyFont="1" applyFill="1" applyBorder="1" applyAlignment="1">
      <alignment horizontal="right"/>
    </xf>
    <xf numFmtId="165" fontId="8" fillId="2" borderId="6" xfId="0" applyNumberFormat="1" applyFont="1" applyFill="1" applyBorder="1" applyAlignment="1">
      <alignment horizontal="left"/>
    </xf>
    <xf numFmtId="9" fontId="8" fillId="0" borderId="6" xfId="0" applyNumberFormat="1" applyFont="1" applyBorder="1" applyAlignment="1">
      <alignment horizontal="center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0" fontId="10" fillId="2" borderId="27" xfId="0" applyFont="1" applyFill="1" applyBorder="1" applyAlignment="1">
      <alignment horizontal="centerContinuous" vertical="center" wrapText="1"/>
    </xf>
    <xf numFmtId="0" fontId="14" fillId="2" borderId="28" xfId="0" applyFont="1" applyFill="1" applyBorder="1" applyAlignment="1">
      <alignment horizontal="centerContinuous" vertical="center"/>
    </xf>
    <xf numFmtId="0" fontId="8" fillId="2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Continuous" vertical="center"/>
    </xf>
    <xf numFmtId="0" fontId="6" fillId="3" borderId="15" xfId="0" applyFont="1" applyFill="1" applyBorder="1" applyAlignment="1">
      <alignment horizontal="centerContinuous" vertical="center"/>
    </xf>
    <xf numFmtId="0" fontId="6" fillId="3" borderId="16" xfId="0" applyFont="1" applyFill="1" applyBorder="1" applyAlignment="1">
      <alignment horizontal="centerContinuous" vertical="center"/>
    </xf>
    <xf numFmtId="0" fontId="0" fillId="0" borderId="0" xfId="0" applyAlignment="1">
      <alignment vertical="center"/>
    </xf>
    <xf numFmtId="0" fontId="6" fillId="3" borderId="2" xfId="0" applyFont="1" applyFill="1" applyBorder="1" applyAlignment="1">
      <alignment horizontal="centerContinuous" vertical="center"/>
    </xf>
    <xf numFmtId="0" fontId="6" fillId="3" borderId="3" xfId="0" applyFont="1" applyFill="1" applyBorder="1" applyAlignment="1">
      <alignment horizontal="centerContinuous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7" fillId="0" borderId="29" xfId="1" applyNumberFormat="1" applyFont="1" applyBorder="1"/>
    <xf numFmtId="0" fontId="8" fillId="2" borderId="4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7" fillId="0" borderId="22" xfId="1" applyNumberFormat="1" applyFont="1" applyBorder="1"/>
    <xf numFmtId="0" fontId="5" fillId="3" borderId="2" xfId="0" applyFont="1" applyFill="1" applyBorder="1" applyAlignment="1">
      <alignment horizontal="centerContinuous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75" fontId="13" fillId="2" borderId="5" xfId="0" applyNumberFormat="1" applyFont="1" applyFill="1" applyBorder="1" applyAlignment="1">
      <alignment horizontal="center" vertical="center"/>
    </xf>
    <xf numFmtId="176" fontId="0" fillId="0" borderId="24" xfId="0" applyNumberFormat="1" applyBorder="1" applyAlignment="1">
      <alignment horizontal="center"/>
    </xf>
    <xf numFmtId="0" fontId="19" fillId="0" borderId="0" xfId="0" applyFont="1"/>
    <xf numFmtId="0" fontId="0" fillId="0" borderId="5" xfId="0" applyNumberFormat="1" applyBorder="1" applyAlignment="1"/>
    <xf numFmtId="44" fontId="0" fillId="0" borderId="5" xfId="1" applyNumberFormat="1" applyFon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Monétaire" xfId="1" builtinId="4"/>
    <cellStyle name="Normal" xfId="0" builtinId="0"/>
    <cellStyle name="Pourcentage" xfId="2" builtinId="5"/>
  </cellStyles>
  <dxfs count="6"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875009" refreshedDate="44344.464057407407" createdVersion="6" refreshedVersion="6" minRefreshableVersion="3" recordCount="24" xr:uid="{13D92551-69C5-4DBF-8C88-0A6B58BD10AA}">
  <cacheSource type="worksheet">
    <worksheetSource ref="D6:D30" sheet="Question 1"/>
  </cacheSource>
  <cacheFields count="1">
    <cacheField name="F" numFmtId="0">
      <sharedItems containsBlank="1" count="3">
        <s v="F"/>
        <s v="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264155-A341-41FD-A4B3-9B6975D9800B}" name="Tableau croisé dynamique1" cacheId="3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B5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ombre de F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37"/>
  <sheetViews>
    <sheetView tabSelected="1" view="pageLayout" topLeftCell="A4" zoomScale="85" zoomScaleNormal="90" zoomScalePageLayoutView="85" workbookViewId="0">
      <selection activeCell="B6" sqref="B6:D30"/>
    </sheetView>
  </sheetViews>
  <sheetFormatPr baseColWidth="10" defaultRowHeight="15" x14ac:dyDescent="0.25"/>
  <cols>
    <col min="1" max="1" width="4.28515625" customWidth="1"/>
    <col min="2" max="3" width="22.5703125" customWidth="1"/>
    <col min="4" max="4" width="14" customWidth="1"/>
    <col min="5" max="5" width="13.140625" customWidth="1"/>
    <col min="7" max="7" width="9.5703125" customWidth="1"/>
    <col min="8" max="8" width="13.5703125" bestFit="1" customWidth="1"/>
    <col min="9" max="9" width="12.7109375" customWidth="1"/>
    <col min="10" max="10" width="13.140625" customWidth="1"/>
    <col min="11" max="11" width="12.7109375" customWidth="1"/>
    <col min="12" max="12" width="12.5703125" customWidth="1"/>
    <col min="13" max="13" width="12" bestFit="1" customWidth="1"/>
    <col min="14" max="14" width="11.85546875" bestFit="1" customWidth="1"/>
    <col min="15" max="15" width="9" customWidth="1"/>
    <col min="16" max="16" width="13.140625" customWidth="1"/>
    <col min="17" max="17" width="13.140625" bestFit="1" customWidth="1"/>
    <col min="19" max="19" width="11.85546875" bestFit="1" customWidth="1"/>
  </cols>
  <sheetData>
    <row r="1" spans="2:19" ht="45.75" customHeight="1" x14ac:dyDescent="0.25">
      <c r="B1" s="27" t="str">
        <f ca="1">"Camp de Vacances Loisirs Montcalm "&amp;YEAR($C$2)</f>
        <v>Camp de Vacances Loisirs Montcalm 2021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</row>
    <row r="2" spans="2:19" ht="21.75" customHeight="1" thickBot="1" x14ac:dyDescent="0.3">
      <c r="B2" s="30" t="s">
        <v>7</v>
      </c>
      <c r="C2" s="155">
        <f ca="1">TODAY()</f>
        <v>44344</v>
      </c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2:19" ht="12" customHeight="1" thickBot="1" x14ac:dyDescent="0.3">
      <c r="B3" s="34"/>
      <c r="C3" s="35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8"/>
    </row>
    <row r="4" spans="2:19" ht="28.5" customHeight="1" thickBot="1" x14ac:dyDescent="0.3">
      <c r="B4" s="39" t="s">
        <v>89</v>
      </c>
      <c r="C4" s="40"/>
      <c r="D4" s="40"/>
      <c r="E4" s="41"/>
      <c r="F4" s="42"/>
      <c r="G4" s="42"/>
      <c r="H4" s="133"/>
      <c r="I4" s="134" t="s">
        <v>90</v>
      </c>
      <c r="J4" s="43"/>
      <c r="K4" s="43"/>
      <c r="L4" s="43"/>
      <c r="M4" s="43"/>
      <c r="N4" s="43"/>
      <c r="O4" s="43"/>
      <c r="P4" s="43"/>
      <c r="Q4" s="43"/>
      <c r="R4" s="133"/>
      <c r="S4" s="134" t="s">
        <v>92</v>
      </c>
    </row>
    <row r="5" spans="2:19" ht="45.75" thickBot="1" x14ac:dyDescent="0.3">
      <c r="B5" s="46" t="s">
        <v>0</v>
      </c>
      <c r="C5" s="47" t="s">
        <v>1</v>
      </c>
      <c r="D5" s="47" t="s">
        <v>10</v>
      </c>
      <c r="E5" s="48" t="s">
        <v>2</v>
      </c>
      <c r="F5" s="47" t="s">
        <v>33</v>
      </c>
      <c r="G5" s="48" t="s">
        <v>5</v>
      </c>
      <c r="H5" s="125" t="s">
        <v>44</v>
      </c>
      <c r="I5" s="126" t="s">
        <v>3</v>
      </c>
      <c r="J5" s="47" t="s">
        <v>4</v>
      </c>
      <c r="K5" s="48" t="s">
        <v>76</v>
      </c>
      <c r="L5" s="48" t="s">
        <v>88</v>
      </c>
      <c r="M5" s="48" t="s">
        <v>86</v>
      </c>
      <c r="N5" s="47" t="s">
        <v>77</v>
      </c>
      <c r="O5" s="48" t="s">
        <v>71</v>
      </c>
      <c r="P5" s="48" t="s">
        <v>40</v>
      </c>
      <c r="Q5" s="48" t="s">
        <v>31</v>
      </c>
      <c r="R5" s="48" t="s">
        <v>6</v>
      </c>
      <c r="S5" s="49" t="s">
        <v>70</v>
      </c>
    </row>
    <row r="6" spans="2:19" x14ac:dyDescent="0.25">
      <c r="B6" s="50" t="s">
        <v>64</v>
      </c>
      <c r="C6" s="51" t="s">
        <v>8</v>
      </c>
      <c r="D6" s="69" t="s">
        <v>11</v>
      </c>
      <c r="E6" s="52">
        <v>41847</v>
      </c>
      <c r="F6" s="53" t="s">
        <v>81</v>
      </c>
      <c r="G6" s="51">
        <v>2</v>
      </c>
      <c r="H6" s="127">
        <v>0</v>
      </c>
      <c r="I6" s="156" t="str">
        <f ca="1">IF(ISBLANK($B6),"",_xlfn.CONCAT(INT(($C$2-$E6)/365.25)," ans"))</f>
        <v>6 ans</v>
      </c>
      <c r="J6" s="157" t="str">
        <f ca="1">IF(ISBLANK($B6),"",IF(AND(VALUE(LEFT($I6,1))&gt;=Paramètres!$B$5,VALUE(LEFT($I6,1))&lt;=Paramètres!$C$5),Paramètres!$D$5,IF(AND(VALUE(LEFT($I6,1))&gt;=Paramètres!$B$6,VALUE(LEFT($I6,1))&lt;=Paramètres!$C$6),Paramètres!$D$6,Paramètres!$D$7)))</f>
        <v>Licornes</v>
      </c>
      <c r="K6" s="54">
        <f ca="1">IF(ISBLANK($B6),"",IF(AND(VALUE(LEFT($I6,1))&gt;=Paramètres!$B$5,VALUE(LEFT($I6,1))&lt;=Paramètres!$C$5),Paramètres!$E$5,IF(AND(VALUE(LEFT($I6,1))&gt;=Paramètres!$B$6,VALUE(LEFT($I6,1))&lt;=Paramètres!$C$6),Paramètres!$E$6,Paramètres!$E$7)))</f>
        <v>175</v>
      </c>
      <c r="L6" s="54">
        <f>IF(ISBLANK($B6),"",VLOOKUP($F6,Paramètres!$G$3:$H$9,2,FALSE))</f>
        <v>15</v>
      </c>
      <c r="M6" s="55">
        <f ca="1">IF(ISBLANK($B6),"",$K6+$L6)</f>
        <v>190</v>
      </c>
      <c r="N6" s="55">
        <f ca="1">IF(ISBLANK($B6),"",$M6*$G6)</f>
        <v>380</v>
      </c>
      <c r="O6" s="56">
        <f>IF(ISBLANK($B6),"",IF($G6&lt;=Paramètres!$J$3,Paramètres!$L$3,IF($G6&gt;=Paramètres!$J$5,Paramètres!$L$5,Paramètres!$L$4)))</f>
        <v>0</v>
      </c>
      <c r="P6" s="55">
        <f ca="1">IF(ISBLANK($B6),"",$N6*$O6)</f>
        <v>0</v>
      </c>
      <c r="Q6" s="55">
        <f ca="1">IF(ISBLANK($B6),"",$N6-$P6)</f>
        <v>380</v>
      </c>
      <c r="R6" s="111">
        <v>25</v>
      </c>
      <c r="S6" s="57">
        <f ca="1">IF(ISBLANK($B6),"",$Q6-$R6)</f>
        <v>355</v>
      </c>
    </row>
    <row r="7" spans="2:19" x14ac:dyDescent="0.25">
      <c r="B7" s="44" t="s">
        <v>51</v>
      </c>
      <c r="C7" s="1" t="s">
        <v>9</v>
      </c>
      <c r="D7" s="69" t="s">
        <v>11</v>
      </c>
      <c r="E7" s="114">
        <v>40141</v>
      </c>
      <c r="F7" s="4" t="s">
        <v>38</v>
      </c>
      <c r="G7" s="1">
        <v>3</v>
      </c>
      <c r="H7" s="128">
        <v>4</v>
      </c>
      <c r="I7" s="129" t="str">
        <f ca="1">IF(ISBLANK($B7),"",_xlfn.CONCAT(INT(($C$2-$E7)/365.25)," ans"))</f>
        <v>11 ans</v>
      </c>
      <c r="J7" s="157" t="str">
        <f ca="1">IF(ISBLANK($B7),"",IF(AND(VALUE(LEFT($I7,1))&gt;=Paramètres!$B$5,VALUE(LEFT($I7,1))&lt;=Paramètres!$C$5),Paramètres!$D$5,IF(AND(VALUE(LEFT($I7,1))&gt;=Paramètres!$B$6,VALUE(LEFT($I7,1))&lt;=Paramètres!$C$6),Paramètres!$D$6,Paramètres!$D$7)))</f>
        <v>Dragons</v>
      </c>
      <c r="K7" s="24">
        <f ca="1">IF(ISBLANK($B7),"",IF(AND(VALUE(LEFT($I7,1))&gt;=Paramètres!$B$5,VALUE(LEFT($I7,1))&lt;=Paramètres!$C$5),Paramètres!$E$5,IF(AND(VALUE(LEFT($I7,1))&gt;=Paramètres!$B$6,VALUE(LEFT($I7,1))&lt;=Paramètres!$C$6),Paramètres!$E$6,Paramètres!$E$7)))</f>
        <v>225</v>
      </c>
      <c r="L7" s="26">
        <f>IF(ISBLANK($B7),"",VLOOKUP($F7,Paramètres!$G$3:$H$9,2,FALSE))</f>
        <v>10</v>
      </c>
      <c r="M7" s="25">
        <f ca="1">IF(ISBLANK($B7),"",$K7+$L7)</f>
        <v>235</v>
      </c>
      <c r="N7" s="25">
        <f ca="1">IF(ISBLANK($B7),"",$M7*$G7)</f>
        <v>705</v>
      </c>
      <c r="O7" s="6">
        <f>IF(ISBLANK($B7),"",IF($G7&lt;=Paramètres!$J$3,Paramètres!$L$3,IF($G7&gt;=Paramètres!$J$5,Paramètres!$L$5,Paramètres!$L$4)))</f>
        <v>0.05</v>
      </c>
      <c r="P7" s="25">
        <f ca="1">IF(ISBLANK($B7),"",$N7*$O7)</f>
        <v>35.25</v>
      </c>
      <c r="Q7" s="25">
        <f ca="1">IF(ISBLANK($B7),"",$N7-$P7)</f>
        <v>669.75</v>
      </c>
      <c r="R7" s="111">
        <v>25</v>
      </c>
      <c r="S7" s="58">
        <f ca="1">IF(ISBLANK($B7),"",$Q7-$R7)</f>
        <v>644.75</v>
      </c>
    </row>
    <row r="8" spans="2:19" x14ac:dyDescent="0.25">
      <c r="B8" s="44" t="s">
        <v>52</v>
      </c>
      <c r="C8" s="1" t="s">
        <v>12</v>
      </c>
      <c r="D8" s="69" t="s">
        <v>32</v>
      </c>
      <c r="E8" s="114">
        <v>41963</v>
      </c>
      <c r="F8" s="7" t="s">
        <v>84</v>
      </c>
      <c r="G8" s="1">
        <v>5</v>
      </c>
      <c r="H8" s="128">
        <v>2</v>
      </c>
      <c r="I8" s="129" t="str">
        <f t="shared" ref="I8:I30" ca="1" si="0">IF(ISBLANK($B8),"",_xlfn.CONCAT(INT(($C$2-$E8)/365.25)," ans"))</f>
        <v>6 ans</v>
      </c>
      <c r="J8" s="157" t="str">
        <f ca="1">IF(ISBLANK($B8),"",IF(AND(VALUE(LEFT($I8,1))&gt;=Paramètres!$B$5,VALUE(LEFT($I8,1))&lt;=Paramètres!$C$5),Paramètres!$D$5,IF(AND(VALUE(LEFT($I8,1))&gt;=Paramètres!$B$6,VALUE(LEFT($I8,1))&lt;=Paramètres!$C$6),Paramètres!$D$6,Paramètres!$D$7)))</f>
        <v>Licornes</v>
      </c>
      <c r="K8" s="24">
        <f ca="1">IF(ISBLANK($B8),"",IF(AND(VALUE(LEFT($I8,1))&gt;=Paramètres!$B$5,VALUE(LEFT($I8,1))&lt;=Paramètres!$C$5),Paramètres!$E$5,IF(AND(VALUE(LEFT($I8,1))&gt;=Paramètres!$B$6,VALUE(LEFT($I8,1))&lt;=Paramètres!$C$6),Paramètres!$E$6,Paramètres!$E$7)))</f>
        <v>175</v>
      </c>
      <c r="L8" s="26">
        <f>IF(ISBLANK($B8),"",VLOOKUP($F8,Paramètres!$G$3:$H$9,2,FALSE))</f>
        <v>0</v>
      </c>
      <c r="M8" s="25">
        <f t="shared" ref="M8:M30" ca="1" si="1">IF(ISBLANK($B8),"",$K8+$L8)</f>
        <v>175</v>
      </c>
      <c r="N8" s="25">
        <f t="shared" ref="N8:N30" ca="1" si="2">IF(ISBLANK($B8),"",$M8*$G8)</f>
        <v>875</v>
      </c>
      <c r="O8" s="6">
        <f>IF(ISBLANK($B8),"",IF($G8&lt;=Paramètres!$J$3,Paramètres!$L$3,IF($G8&gt;=Paramètres!$J$5,Paramètres!$L$5,Paramètres!$L$4)))</f>
        <v>0.1</v>
      </c>
      <c r="P8" s="25">
        <f t="shared" ref="P8:P30" ca="1" si="3">IF(ISBLANK($B8),"",$N8*$O8)</f>
        <v>87.5</v>
      </c>
      <c r="Q8" s="25">
        <f t="shared" ref="Q8:Q30" ca="1" si="4">IF(ISBLANK($B8),"",$N8-$P8)</f>
        <v>787.5</v>
      </c>
      <c r="R8" s="111">
        <v>40</v>
      </c>
      <c r="S8" s="58">
        <f t="shared" ref="S8:S30" ca="1" si="5">IF(ISBLANK($B8),"",$Q8-$R8)</f>
        <v>747.5</v>
      </c>
    </row>
    <row r="9" spans="2:19" x14ac:dyDescent="0.25">
      <c r="B9" s="44" t="s">
        <v>65</v>
      </c>
      <c r="C9" s="1" t="s">
        <v>13</v>
      </c>
      <c r="D9" s="69" t="s">
        <v>32</v>
      </c>
      <c r="E9" s="114">
        <v>41891</v>
      </c>
      <c r="F9" s="7" t="s">
        <v>85</v>
      </c>
      <c r="G9" s="1">
        <v>2</v>
      </c>
      <c r="H9" s="128">
        <v>0</v>
      </c>
      <c r="I9" s="129" t="str">
        <f t="shared" ca="1" si="0"/>
        <v>6 ans</v>
      </c>
      <c r="J9" s="157" t="str">
        <f ca="1">IF(ISBLANK($B9),"",IF(AND(VALUE(LEFT($I9,1))&gt;=Paramètres!$B$5,VALUE(LEFT($I9,1))&lt;=Paramètres!$C$5),Paramètres!$D$5,IF(AND(VALUE(LEFT($I9,1))&gt;=Paramètres!$B$6,VALUE(LEFT($I9,1))&lt;=Paramètres!$C$6),Paramètres!$D$6,Paramètres!$D$7)))</f>
        <v>Licornes</v>
      </c>
      <c r="K9" s="24">
        <f ca="1">IF(ISBLANK($B9),"",IF(AND(VALUE(LEFT($I9,1))&gt;=Paramètres!$B$5,VALUE(LEFT($I9,1))&lt;=Paramètres!$C$5),Paramètres!$E$5,IF(AND(VALUE(LEFT($I9,1))&gt;=Paramètres!$B$6,VALUE(LEFT($I9,1))&lt;=Paramètres!$C$6),Paramètres!$E$6,Paramètres!$E$7)))</f>
        <v>175</v>
      </c>
      <c r="L9" s="26">
        <f>IF(ISBLANK($B9),"",VLOOKUP($F9,Paramètres!$G$3:$H$9,2,FALSE))</f>
        <v>45</v>
      </c>
      <c r="M9" s="25">
        <f t="shared" ca="1" si="1"/>
        <v>220</v>
      </c>
      <c r="N9" s="25">
        <f t="shared" ca="1" si="2"/>
        <v>440</v>
      </c>
      <c r="O9" s="6">
        <f>IF(ISBLANK($B9),"",IF($G9&lt;=Paramètres!$J$3,Paramètres!$L$3,IF($G9&gt;=Paramètres!$J$5,Paramètres!$L$5,Paramètres!$L$4)))</f>
        <v>0</v>
      </c>
      <c r="P9" s="25">
        <f t="shared" ca="1" si="3"/>
        <v>0</v>
      </c>
      <c r="Q9" s="25">
        <f t="shared" ca="1" si="4"/>
        <v>440</v>
      </c>
      <c r="R9" s="112">
        <v>25</v>
      </c>
      <c r="S9" s="58">
        <f t="shared" ca="1" si="5"/>
        <v>415</v>
      </c>
    </row>
    <row r="10" spans="2:19" x14ac:dyDescent="0.25">
      <c r="B10" s="44" t="s">
        <v>50</v>
      </c>
      <c r="C10" s="1" t="s">
        <v>14</v>
      </c>
      <c r="D10" s="69" t="s">
        <v>32</v>
      </c>
      <c r="E10" s="114">
        <v>40964</v>
      </c>
      <c r="F10" s="4" t="s">
        <v>84</v>
      </c>
      <c r="G10" s="4">
        <v>1</v>
      </c>
      <c r="H10" s="128">
        <v>0</v>
      </c>
      <c r="I10" s="129" t="str">
        <f t="shared" ca="1" si="0"/>
        <v>9 ans</v>
      </c>
      <c r="J10" s="157" t="str">
        <f ca="1">IF(ISBLANK($B10),"",IF(AND(VALUE(LEFT($I10,1))&gt;=Paramètres!$B$5,VALUE(LEFT($I10,1))&lt;=Paramètres!$C$5),Paramètres!$D$5,IF(AND(VALUE(LEFT($I10,1))&gt;=Paramètres!$B$6,VALUE(LEFT($I10,1))&lt;=Paramètres!$C$6),Paramètres!$D$6,Paramètres!$D$7)))</f>
        <v>Monstres</v>
      </c>
      <c r="K10" s="24">
        <f ca="1">IF(ISBLANK($B10),"",IF(AND(VALUE(LEFT($I10,1))&gt;=Paramètres!$B$5,VALUE(LEFT($I10,1))&lt;=Paramètres!$C$5),Paramètres!$E$5,IF(AND(VALUE(LEFT($I10,1))&gt;=Paramètres!$B$6,VALUE(LEFT($I10,1))&lt;=Paramètres!$C$6),Paramètres!$E$6,Paramètres!$E$7)))</f>
        <v>200</v>
      </c>
      <c r="L10" s="26">
        <f>IF(ISBLANK($B10),"",VLOOKUP($F10,Paramètres!$G$3:$H$9,2,FALSE))</f>
        <v>0</v>
      </c>
      <c r="M10" s="25">
        <f t="shared" ca="1" si="1"/>
        <v>200</v>
      </c>
      <c r="N10" s="25">
        <f t="shared" ca="1" si="2"/>
        <v>200</v>
      </c>
      <c r="O10" s="6">
        <f>IF(ISBLANK($B10),"",IF($G10&lt;=Paramètres!$J$3,Paramètres!$L$3,IF($G10&gt;=Paramètres!$J$5,Paramètres!$L$5,Paramètres!$L$4)))</f>
        <v>0</v>
      </c>
      <c r="P10" s="25">
        <f t="shared" ca="1" si="3"/>
        <v>0</v>
      </c>
      <c r="Q10" s="25">
        <f t="shared" ca="1" si="4"/>
        <v>200</v>
      </c>
      <c r="R10" s="112">
        <v>10</v>
      </c>
      <c r="S10" s="58">
        <f t="shared" ca="1" si="5"/>
        <v>190</v>
      </c>
    </row>
    <row r="11" spans="2:19" x14ac:dyDescent="0.25">
      <c r="B11" s="44" t="s">
        <v>66</v>
      </c>
      <c r="C11" s="1" t="s">
        <v>15</v>
      </c>
      <c r="D11" s="69" t="s">
        <v>11</v>
      </c>
      <c r="E11" s="114">
        <v>40083</v>
      </c>
      <c r="F11" s="4" t="s">
        <v>38</v>
      </c>
      <c r="G11" s="4">
        <v>5</v>
      </c>
      <c r="H11" s="128">
        <v>2</v>
      </c>
      <c r="I11" s="129" t="str">
        <f t="shared" ca="1" si="0"/>
        <v>11 ans</v>
      </c>
      <c r="J11" s="157" t="str">
        <f ca="1">IF(ISBLANK($B11),"",IF(AND(VALUE(LEFT($I11,1))&gt;=Paramètres!$B$5,VALUE(LEFT($I11,1))&lt;=Paramètres!$C$5),Paramètres!$D$5,IF(AND(VALUE(LEFT($I11,1))&gt;=Paramètres!$B$6,VALUE(LEFT($I11,1))&lt;=Paramètres!$C$6),Paramètres!$D$6,Paramètres!$D$7)))</f>
        <v>Dragons</v>
      </c>
      <c r="K11" s="24">
        <f ca="1">IF(ISBLANK($B11),"",IF(AND(VALUE(LEFT($I11,1))&gt;=Paramètres!$B$5,VALUE(LEFT($I11,1))&lt;=Paramètres!$C$5),Paramètres!$E$5,IF(AND(VALUE(LEFT($I11,1))&gt;=Paramètres!$B$6,VALUE(LEFT($I11,1))&lt;=Paramètres!$C$6),Paramètres!$E$6,Paramètres!$E$7)))</f>
        <v>225</v>
      </c>
      <c r="L11" s="26">
        <f>IF(ISBLANK($B11),"",VLOOKUP($F11,Paramètres!$G$3:$H$9,2,FALSE))</f>
        <v>10</v>
      </c>
      <c r="M11" s="25">
        <f t="shared" ca="1" si="1"/>
        <v>235</v>
      </c>
      <c r="N11" s="25">
        <f t="shared" ca="1" si="2"/>
        <v>1175</v>
      </c>
      <c r="O11" s="6">
        <f>IF(ISBLANK($B11),"",IF($G11&lt;=Paramètres!$J$3,Paramètres!$L$3,IF($G11&gt;=Paramètres!$J$5,Paramètres!$L$5,Paramètres!$L$4)))</f>
        <v>0.1</v>
      </c>
      <c r="P11" s="25">
        <f t="shared" ca="1" si="3"/>
        <v>117.5</v>
      </c>
      <c r="Q11" s="25">
        <f t="shared" ca="1" si="4"/>
        <v>1057.5</v>
      </c>
      <c r="R11" s="112">
        <v>40</v>
      </c>
      <c r="S11" s="58">
        <f t="shared" ca="1" si="5"/>
        <v>1017.5</v>
      </c>
    </row>
    <row r="12" spans="2:19" x14ac:dyDescent="0.25">
      <c r="B12" s="44" t="s">
        <v>63</v>
      </c>
      <c r="C12" s="1" t="s">
        <v>16</v>
      </c>
      <c r="D12" s="69" t="s">
        <v>11</v>
      </c>
      <c r="E12" s="114">
        <v>40939</v>
      </c>
      <c r="F12" s="7" t="s">
        <v>81</v>
      </c>
      <c r="G12" s="4">
        <v>6</v>
      </c>
      <c r="H12" s="128">
        <v>3</v>
      </c>
      <c r="I12" s="129" t="str">
        <f t="shared" ca="1" si="0"/>
        <v>9 ans</v>
      </c>
      <c r="J12" s="157" t="str">
        <f ca="1">IF(ISBLANK($B12),"",IF(AND(VALUE(LEFT($I12,1))&gt;=Paramètres!$B$5,VALUE(LEFT($I12,1))&lt;=Paramètres!$C$5),Paramètres!$D$5,IF(AND(VALUE(LEFT($I12,1))&gt;=Paramètres!$B$6,VALUE(LEFT($I12,1))&lt;=Paramètres!$C$6),Paramètres!$D$6,Paramètres!$D$7)))</f>
        <v>Monstres</v>
      </c>
      <c r="K12" s="24">
        <f ca="1">IF(ISBLANK($B12),"",IF(AND(VALUE(LEFT($I12,1))&gt;=Paramètres!$B$5,VALUE(LEFT($I12,1))&lt;=Paramètres!$C$5),Paramètres!$E$5,IF(AND(VALUE(LEFT($I12,1))&gt;=Paramètres!$B$6,VALUE(LEFT($I12,1))&lt;=Paramètres!$C$6),Paramètres!$E$6,Paramètres!$E$7)))</f>
        <v>200</v>
      </c>
      <c r="L12" s="26">
        <f>IF(ISBLANK($B12),"",VLOOKUP($F12,Paramètres!$G$3:$H$9,2,FALSE))</f>
        <v>15</v>
      </c>
      <c r="M12" s="25">
        <f t="shared" ca="1" si="1"/>
        <v>215</v>
      </c>
      <c r="N12" s="25">
        <f t="shared" ca="1" si="2"/>
        <v>1290</v>
      </c>
      <c r="O12" s="6">
        <f>IF(ISBLANK($B12),"",IF($G12&lt;=Paramètres!$J$3,Paramètres!$L$3,IF($G12&gt;=Paramètres!$J$5,Paramètres!$L$5,Paramètres!$L$4)))</f>
        <v>0.1</v>
      </c>
      <c r="P12" s="25">
        <f t="shared" ca="1" si="3"/>
        <v>129</v>
      </c>
      <c r="Q12" s="25">
        <f t="shared" ca="1" si="4"/>
        <v>1161</v>
      </c>
      <c r="R12" s="112">
        <v>60</v>
      </c>
      <c r="S12" s="58">
        <f t="shared" ca="1" si="5"/>
        <v>1101</v>
      </c>
    </row>
    <row r="13" spans="2:19" x14ac:dyDescent="0.25">
      <c r="B13" s="44" t="s">
        <v>59</v>
      </c>
      <c r="C13" s="1" t="s">
        <v>25</v>
      </c>
      <c r="D13" s="69" t="s">
        <v>32</v>
      </c>
      <c r="E13" s="114">
        <v>41345</v>
      </c>
      <c r="F13" s="4" t="s">
        <v>82</v>
      </c>
      <c r="G13" s="4">
        <v>2</v>
      </c>
      <c r="H13" s="128">
        <v>2</v>
      </c>
      <c r="I13" s="129" t="str">
        <f t="shared" ca="1" si="0"/>
        <v>8 ans</v>
      </c>
      <c r="J13" s="157" t="str">
        <f ca="1">IF(ISBLANK($B13),"",IF(AND(VALUE(LEFT($I13,1))&gt;=Paramètres!$B$5,VALUE(LEFT($I13,1))&lt;=Paramètres!$C$5),Paramètres!$D$5,IF(AND(VALUE(LEFT($I13,1))&gt;=Paramètres!$B$6,VALUE(LEFT($I13,1))&lt;=Paramètres!$C$6),Paramètres!$D$6,Paramètres!$D$7)))</f>
        <v>Monstres</v>
      </c>
      <c r="K13" s="24">
        <f ca="1">IF(ISBLANK($B13),"",IF(AND(VALUE(LEFT($I13,1))&gt;=Paramètres!$B$5,VALUE(LEFT($I13,1))&lt;=Paramètres!$C$5),Paramètres!$E$5,IF(AND(VALUE(LEFT($I13,1))&gt;=Paramètres!$B$6,VALUE(LEFT($I13,1))&lt;=Paramètres!$C$6),Paramètres!$E$6,Paramètres!$E$7)))</f>
        <v>200</v>
      </c>
      <c r="L13" s="26">
        <f>IF(ISBLANK($B13),"",VLOOKUP($F13,Paramètres!$G$3:$H$9,2,FALSE))</f>
        <v>5</v>
      </c>
      <c r="M13" s="25">
        <f t="shared" ca="1" si="1"/>
        <v>205</v>
      </c>
      <c r="N13" s="25">
        <f t="shared" ca="1" si="2"/>
        <v>410</v>
      </c>
      <c r="O13" s="6">
        <f>IF(ISBLANK($B13),"",IF($G13&lt;=Paramètres!$J$3,Paramètres!$L$3,IF($G13&gt;=Paramètres!$J$5,Paramètres!$L$5,Paramètres!$L$4)))</f>
        <v>0</v>
      </c>
      <c r="P13" s="25">
        <f t="shared" ca="1" si="3"/>
        <v>0</v>
      </c>
      <c r="Q13" s="25">
        <f t="shared" ca="1" si="4"/>
        <v>410</v>
      </c>
      <c r="R13" s="112">
        <v>100</v>
      </c>
      <c r="S13" s="58">
        <f t="shared" ca="1" si="5"/>
        <v>310</v>
      </c>
    </row>
    <row r="14" spans="2:19" x14ac:dyDescent="0.25">
      <c r="B14" s="44" t="s">
        <v>60</v>
      </c>
      <c r="C14" s="1" t="s">
        <v>30</v>
      </c>
      <c r="D14" s="69" t="s">
        <v>32</v>
      </c>
      <c r="E14" s="114">
        <v>41002</v>
      </c>
      <c r="F14" s="4" t="s">
        <v>85</v>
      </c>
      <c r="G14" s="4">
        <v>4</v>
      </c>
      <c r="H14" s="128">
        <v>0</v>
      </c>
      <c r="I14" s="129" t="str">
        <f t="shared" ca="1" si="0"/>
        <v>9 ans</v>
      </c>
      <c r="J14" s="157" t="str">
        <f ca="1">IF(ISBLANK($B14),"",IF(AND(VALUE(LEFT($I14,1))&gt;=Paramètres!$B$5,VALUE(LEFT($I14,1))&lt;=Paramètres!$C$5),Paramètres!$D$5,IF(AND(VALUE(LEFT($I14,1))&gt;=Paramètres!$B$6,VALUE(LEFT($I14,1))&lt;=Paramètres!$C$6),Paramètres!$D$6,Paramètres!$D$7)))</f>
        <v>Monstres</v>
      </c>
      <c r="K14" s="24">
        <f ca="1">IF(ISBLANK($B14),"",IF(AND(VALUE(LEFT($I14,1))&gt;=Paramètres!$B$5,VALUE(LEFT($I14,1))&lt;=Paramètres!$C$5),Paramètres!$E$5,IF(AND(VALUE(LEFT($I14,1))&gt;=Paramètres!$B$6,VALUE(LEFT($I14,1))&lt;=Paramètres!$C$6),Paramètres!$E$6,Paramètres!$E$7)))</f>
        <v>200</v>
      </c>
      <c r="L14" s="26">
        <f>IF(ISBLANK($B14),"",VLOOKUP($F14,Paramètres!$G$3:$H$9,2,FALSE))</f>
        <v>45</v>
      </c>
      <c r="M14" s="25">
        <f t="shared" ca="1" si="1"/>
        <v>245</v>
      </c>
      <c r="N14" s="25">
        <f t="shared" ca="1" si="2"/>
        <v>980</v>
      </c>
      <c r="O14" s="6">
        <f>IF(ISBLANK($B14),"",IF($G14&lt;=Paramètres!$J$3,Paramètres!$L$3,IF($G14&gt;=Paramètres!$J$5,Paramètres!$L$5,Paramètres!$L$4)))</f>
        <v>0.1</v>
      </c>
      <c r="P14" s="25">
        <f t="shared" ca="1" si="3"/>
        <v>98</v>
      </c>
      <c r="Q14" s="25">
        <f t="shared" ca="1" si="4"/>
        <v>882</v>
      </c>
      <c r="R14" s="112">
        <v>35</v>
      </c>
      <c r="S14" s="58">
        <f t="shared" ca="1" si="5"/>
        <v>847</v>
      </c>
    </row>
    <row r="15" spans="2:19" x14ac:dyDescent="0.25">
      <c r="B15" s="44" t="s">
        <v>54</v>
      </c>
      <c r="C15" s="1" t="s">
        <v>19</v>
      </c>
      <c r="D15" s="69" t="s">
        <v>11</v>
      </c>
      <c r="E15" s="114">
        <v>40709</v>
      </c>
      <c r="F15" s="7" t="s">
        <v>83</v>
      </c>
      <c r="G15" s="4">
        <v>2</v>
      </c>
      <c r="H15" s="128">
        <v>2</v>
      </c>
      <c r="I15" s="129" t="str">
        <f t="shared" ca="1" si="0"/>
        <v>9 ans</v>
      </c>
      <c r="J15" s="157" t="str">
        <f ca="1">IF(ISBLANK($B15),"",IF(AND(VALUE(LEFT($I15,1))&gt;=Paramètres!$B$5,VALUE(LEFT($I15,1))&lt;=Paramètres!$C$5),Paramètres!$D$5,IF(AND(VALUE(LEFT($I15,1))&gt;=Paramètres!$B$6,VALUE(LEFT($I15,1))&lt;=Paramètres!$C$6),Paramètres!$D$6,Paramètres!$D$7)))</f>
        <v>Monstres</v>
      </c>
      <c r="K15" s="24">
        <f ca="1">IF(ISBLANK($B15),"",IF(AND(VALUE(LEFT($I15,1))&gt;=Paramètres!$B$5,VALUE(LEFT($I15,1))&lt;=Paramètres!$C$5),Paramètres!$E$5,IF(AND(VALUE(LEFT($I15,1))&gt;=Paramètres!$B$6,VALUE(LEFT($I15,1))&lt;=Paramètres!$C$6),Paramètres!$E$6,Paramètres!$E$7)))</f>
        <v>200</v>
      </c>
      <c r="L15" s="26">
        <f>IF(ISBLANK($B15),"",VLOOKUP($F15,Paramètres!$G$3:$H$9,2,FALSE))</f>
        <v>0</v>
      </c>
      <c r="M15" s="25">
        <f t="shared" ca="1" si="1"/>
        <v>200</v>
      </c>
      <c r="N15" s="25">
        <f t="shared" ca="1" si="2"/>
        <v>400</v>
      </c>
      <c r="O15" s="6">
        <f>IF(ISBLANK($B15),"",IF($G15&lt;=Paramètres!$J$3,Paramètres!$L$3,IF($G15&gt;=Paramètres!$J$5,Paramètres!$L$5,Paramètres!$L$4)))</f>
        <v>0</v>
      </c>
      <c r="P15" s="25">
        <f t="shared" ca="1" si="3"/>
        <v>0</v>
      </c>
      <c r="Q15" s="25">
        <f t="shared" ca="1" si="4"/>
        <v>400</v>
      </c>
      <c r="R15" s="112">
        <v>25</v>
      </c>
      <c r="S15" s="58">
        <f t="shared" ca="1" si="5"/>
        <v>375</v>
      </c>
    </row>
    <row r="16" spans="2:19" x14ac:dyDescent="0.25">
      <c r="B16" s="44" t="s">
        <v>55</v>
      </c>
      <c r="C16" s="1" t="s">
        <v>21</v>
      </c>
      <c r="D16" s="69" t="s">
        <v>11</v>
      </c>
      <c r="E16" s="114">
        <v>39841</v>
      </c>
      <c r="F16" s="4" t="s">
        <v>38</v>
      </c>
      <c r="G16" s="4">
        <v>1</v>
      </c>
      <c r="H16" s="128">
        <v>5</v>
      </c>
      <c r="I16" s="129" t="str">
        <f t="shared" ca="1" si="0"/>
        <v>12 ans</v>
      </c>
      <c r="J16" s="157" t="str">
        <f ca="1">IF(ISBLANK($B16),"",IF(AND(VALUE(LEFT($I16,1))&gt;=Paramètres!$B$5,VALUE(LEFT($I16,1))&lt;=Paramètres!$C$5),Paramètres!$D$5,IF(AND(VALUE(LEFT($I16,1))&gt;=Paramètres!$B$6,VALUE(LEFT($I16,1))&lt;=Paramètres!$C$6),Paramètres!$D$6,Paramètres!$D$7)))</f>
        <v>Dragons</v>
      </c>
      <c r="K16" s="24">
        <f ca="1">IF(ISBLANK($B16),"",IF(AND(VALUE(LEFT($I16,1))&gt;=Paramètres!$B$5,VALUE(LEFT($I16,1))&lt;=Paramètres!$C$5),Paramètres!$E$5,IF(AND(VALUE(LEFT($I16,1))&gt;=Paramètres!$B$6,VALUE(LEFT($I16,1))&lt;=Paramètres!$C$6),Paramètres!$E$6,Paramètres!$E$7)))</f>
        <v>225</v>
      </c>
      <c r="L16" s="26">
        <f>IF(ISBLANK($B16),"",VLOOKUP($F16,Paramètres!$G$3:$H$9,2,FALSE))</f>
        <v>10</v>
      </c>
      <c r="M16" s="25">
        <f t="shared" ca="1" si="1"/>
        <v>235</v>
      </c>
      <c r="N16" s="25">
        <f t="shared" ca="1" si="2"/>
        <v>235</v>
      </c>
      <c r="O16" s="6">
        <f>IF(ISBLANK($B16),"",IF($G16&lt;=Paramètres!$J$3,Paramètres!$L$3,IF($G16&gt;=Paramètres!$J$5,Paramètres!$L$5,Paramètres!$L$4)))</f>
        <v>0</v>
      </c>
      <c r="P16" s="25">
        <f t="shared" ca="1" si="3"/>
        <v>0</v>
      </c>
      <c r="Q16" s="25">
        <f t="shared" ca="1" si="4"/>
        <v>235</v>
      </c>
      <c r="R16" s="112">
        <v>50</v>
      </c>
      <c r="S16" s="58">
        <f t="shared" ca="1" si="5"/>
        <v>185</v>
      </c>
    </row>
    <row r="17" spans="2:19" x14ac:dyDescent="0.25">
      <c r="B17" s="44" t="s">
        <v>58</v>
      </c>
      <c r="C17" s="1" t="s">
        <v>18</v>
      </c>
      <c r="D17" s="69" t="s">
        <v>11</v>
      </c>
      <c r="E17" s="114">
        <v>40360</v>
      </c>
      <c r="F17" s="7" t="s">
        <v>85</v>
      </c>
      <c r="G17" s="4">
        <v>3</v>
      </c>
      <c r="H17" s="128">
        <v>4</v>
      </c>
      <c r="I17" s="129" t="str">
        <f t="shared" ca="1" si="0"/>
        <v>10 ans</v>
      </c>
      <c r="J17" s="157" t="str">
        <f ca="1">IF(ISBLANK($B17),"",IF(AND(VALUE(LEFT($I17,1))&gt;=Paramètres!$B$5,VALUE(LEFT($I17,1))&lt;=Paramètres!$C$5),Paramètres!$D$5,IF(AND(VALUE(LEFT($I17,1))&gt;=Paramètres!$B$6,VALUE(LEFT($I17,1))&lt;=Paramètres!$C$6),Paramètres!$D$6,Paramètres!$D$7)))</f>
        <v>Dragons</v>
      </c>
      <c r="K17" s="24">
        <f ca="1">IF(ISBLANK($B17),"",IF(AND(VALUE(LEFT($I17,1))&gt;=Paramètres!$B$5,VALUE(LEFT($I17,1))&lt;=Paramètres!$C$5),Paramètres!$E$5,IF(AND(VALUE(LEFT($I17,1))&gt;=Paramètres!$B$6,VALUE(LEFT($I17,1))&lt;=Paramètres!$C$6),Paramètres!$E$6,Paramètres!$E$7)))</f>
        <v>225</v>
      </c>
      <c r="L17" s="26">
        <f>IF(ISBLANK($B17),"",VLOOKUP($F17,Paramètres!$G$3:$H$9,2,FALSE))</f>
        <v>45</v>
      </c>
      <c r="M17" s="25">
        <f t="shared" ca="1" si="1"/>
        <v>270</v>
      </c>
      <c r="N17" s="25">
        <f t="shared" ca="1" si="2"/>
        <v>810</v>
      </c>
      <c r="O17" s="6">
        <f>IF(ISBLANK($B17),"",IF($G17&lt;=Paramètres!$J$3,Paramètres!$L$3,IF($G17&gt;=Paramètres!$J$5,Paramètres!$L$5,Paramètres!$L$4)))</f>
        <v>0.05</v>
      </c>
      <c r="P17" s="25">
        <f t="shared" ca="1" si="3"/>
        <v>40.5</v>
      </c>
      <c r="Q17" s="25">
        <f t="shared" ca="1" si="4"/>
        <v>769.5</v>
      </c>
      <c r="R17" s="112">
        <v>25</v>
      </c>
      <c r="S17" s="58">
        <f t="shared" ca="1" si="5"/>
        <v>744.5</v>
      </c>
    </row>
    <row r="18" spans="2:19" x14ac:dyDescent="0.25">
      <c r="B18" s="44" t="s">
        <v>67</v>
      </c>
      <c r="C18" s="1" t="s">
        <v>22</v>
      </c>
      <c r="D18" s="69" t="s">
        <v>32</v>
      </c>
      <c r="E18" s="114">
        <v>41299</v>
      </c>
      <c r="F18" s="7" t="s">
        <v>85</v>
      </c>
      <c r="G18" s="4">
        <v>4</v>
      </c>
      <c r="H18" s="128">
        <v>2</v>
      </c>
      <c r="I18" s="129" t="str">
        <f t="shared" ca="1" si="0"/>
        <v>8 ans</v>
      </c>
      <c r="J18" s="157" t="str">
        <f ca="1">IF(ISBLANK($B18),"",IF(AND(VALUE(LEFT($I18,1))&gt;=Paramètres!$B$5,VALUE(LEFT($I18,1))&lt;=Paramètres!$C$5),Paramètres!$D$5,IF(AND(VALUE(LEFT($I18,1))&gt;=Paramètres!$B$6,VALUE(LEFT($I18,1))&lt;=Paramètres!$C$6),Paramètres!$D$6,Paramètres!$D$7)))</f>
        <v>Monstres</v>
      </c>
      <c r="K18" s="24">
        <f ca="1">IF(ISBLANK($B18),"",IF(AND(VALUE(LEFT($I18,1))&gt;=Paramètres!$B$5,VALUE(LEFT($I18,1))&lt;=Paramètres!$C$5),Paramètres!$E$5,IF(AND(VALUE(LEFT($I18,1))&gt;=Paramètres!$B$6,VALUE(LEFT($I18,1))&lt;=Paramètres!$C$6),Paramètres!$E$6,Paramètres!$E$7)))</f>
        <v>200</v>
      </c>
      <c r="L18" s="26">
        <f>IF(ISBLANK($B18),"",VLOOKUP($F18,Paramètres!$G$3:$H$9,2,FALSE))</f>
        <v>45</v>
      </c>
      <c r="M18" s="25">
        <f t="shared" ca="1" si="1"/>
        <v>245</v>
      </c>
      <c r="N18" s="25">
        <f t="shared" ca="1" si="2"/>
        <v>980</v>
      </c>
      <c r="O18" s="6">
        <f>IF(ISBLANK($B18),"",IF($G18&lt;=Paramètres!$J$3,Paramètres!$L$3,IF($G18&gt;=Paramètres!$J$5,Paramètres!$L$5,Paramètres!$L$4)))</f>
        <v>0.1</v>
      </c>
      <c r="P18" s="25">
        <f t="shared" ca="1" si="3"/>
        <v>98</v>
      </c>
      <c r="Q18" s="25">
        <f t="shared" ca="1" si="4"/>
        <v>882</v>
      </c>
      <c r="R18" s="112">
        <v>40</v>
      </c>
      <c r="S18" s="58">
        <f t="shared" ca="1" si="5"/>
        <v>842</v>
      </c>
    </row>
    <row r="19" spans="2:19" x14ac:dyDescent="0.25">
      <c r="B19" s="44" t="s">
        <v>68</v>
      </c>
      <c r="C19" s="1" t="s">
        <v>17</v>
      </c>
      <c r="D19" s="69" t="s">
        <v>11</v>
      </c>
      <c r="E19" s="114">
        <v>40141</v>
      </c>
      <c r="F19" s="1" t="s">
        <v>81</v>
      </c>
      <c r="G19" s="4">
        <v>5</v>
      </c>
      <c r="H19" s="128">
        <v>1</v>
      </c>
      <c r="I19" s="129" t="str">
        <f t="shared" ca="1" si="0"/>
        <v>11 ans</v>
      </c>
      <c r="J19" s="157" t="str">
        <f ca="1">IF(ISBLANK($B19),"",IF(AND(VALUE(LEFT($I19,1))&gt;=Paramètres!$B$5,VALUE(LEFT($I19,1))&lt;=Paramètres!$C$5),Paramètres!$D$5,IF(AND(VALUE(LEFT($I19,1))&gt;=Paramètres!$B$6,VALUE(LEFT($I19,1))&lt;=Paramètres!$C$6),Paramètres!$D$6,Paramètres!$D$7)))</f>
        <v>Dragons</v>
      </c>
      <c r="K19" s="24">
        <f ca="1">IF(ISBLANK($B19),"",IF(AND(VALUE(LEFT($I19,1))&gt;=Paramètres!$B$5,VALUE(LEFT($I19,1))&lt;=Paramètres!$C$5),Paramètres!$E$5,IF(AND(VALUE(LEFT($I19,1))&gt;=Paramètres!$B$6,VALUE(LEFT($I19,1))&lt;=Paramètres!$C$6),Paramètres!$E$6,Paramètres!$E$7)))</f>
        <v>225</v>
      </c>
      <c r="L19" s="26">
        <f>IF(ISBLANK($B19),"",VLOOKUP($F19,Paramètres!$G$3:$H$9,2,FALSE))</f>
        <v>15</v>
      </c>
      <c r="M19" s="25">
        <f t="shared" ca="1" si="1"/>
        <v>240</v>
      </c>
      <c r="N19" s="25">
        <f t="shared" ca="1" si="2"/>
        <v>1200</v>
      </c>
      <c r="O19" s="6">
        <f>IF(ISBLANK($B19),"",IF($G19&lt;=Paramètres!$J$3,Paramètres!$L$3,IF($G19&gt;=Paramètres!$J$5,Paramètres!$L$5,Paramètres!$L$4)))</f>
        <v>0.1</v>
      </c>
      <c r="P19" s="25">
        <f t="shared" ca="1" si="3"/>
        <v>120</v>
      </c>
      <c r="Q19" s="25">
        <f t="shared" ca="1" si="4"/>
        <v>1080</v>
      </c>
      <c r="R19" s="112">
        <v>20</v>
      </c>
      <c r="S19" s="58">
        <f t="shared" ca="1" si="5"/>
        <v>1060</v>
      </c>
    </row>
    <row r="20" spans="2:19" x14ac:dyDescent="0.25">
      <c r="B20" s="44" t="s">
        <v>69</v>
      </c>
      <c r="C20" s="1" t="s">
        <v>23</v>
      </c>
      <c r="D20" s="69" t="s">
        <v>32</v>
      </c>
      <c r="E20" s="114">
        <v>40513</v>
      </c>
      <c r="F20" s="1" t="s">
        <v>82</v>
      </c>
      <c r="G20" s="4">
        <v>1</v>
      </c>
      <c r="H20" s="128">
        <v>6</v>
      </c>
      <c r="I20" s="129" t="str">
        <f t="shared" ca="1" si="0"/>
        <v>10 ans</v>
      </c>
      <c r="J20" s="157" t="str">
        <f ca="1">IF(ISBLANK($B20),"",IF(AND(VALUE(LEFT($I20,1))&gt;=Paramètres!$B$5,VALUE(LEFT($I20,1))&lt;=Paramètres!$C$5),Paramètres!$D$5,IF(AND(VALUE(LEFT($I20,1))&gt;=Paramètres!$B$6,VALUE(LEFT($I20,1))&lt;=Paramètres!$C$6),Paramètres!$D$6,Paramètres!$D$7)))</f>
        <v>Dragons</v>
      </c>
      <c r="K20" s="24">
        <f ca="1">IF(ISBLANK($B20),"",IF(AND(VALUE(LEFT($I20,1))&gt;=Paramètres!$B$5,VALUE(LEFT($I20,1))&lt;=Paramètres!$C$5),Paramètres!$E$5,IF(AND(VALUE(LEFT($I20,1))&gt;=Paramètres!$B$6,VALUE(LEFT($I20,1))&lt;=Paramètres!$C$6),Paramètres!$E$6,Paramètres!$E$7)))</f>
        <v>225</v>
      </c>
      <c r="L20" s="26">
        <f>IF(ISBLANK($B20),"",VLOOKUP($F20,Paramètres!$G$3:$H$9,2,FALSE))</f>
        <v>5</v>
      </c>
      <c r="M20" s="25">
        <f t="shared" ca="1" si="1"/>
        <v>230</v>
      </c>
      <c r="N20" s="25">
        <f t="shared" ca="1" si="2"/>
        <v>230</v>
      </c>
      <c r="O20" s="6">
        <f>IF(ISBLANK($B20),"",IF($G20&lt;=Paramètres!$J$3,Paramètres!$L$3,IF($G20&gt;=Paramètres!$J$5,Paramètres!$L$5,Paramètres!$L$4)))</f>
        <v>0</v>
      </c>
      <c r="P20" s="25">
        <f t="shared" ca="1" si="3"/>
        <v>0</v>
      </c>
      <c r="Q20" s="25">
        <f t="shared" ca="1" si="4"/>
        <v>230</v>
      </c>
      <c r="R20" s="113">
        <v>50</v>
      </c>
      <c r="S20" s="58">
        <f t="shared" ca="1" si="5"/>
        <v>180</v>
      </c>
    </row>
    <row r="21" spans="2:19" x14ac:dyDescent="0.25">
      <c r="B21" s="44" t="s">
        <v>53</v>
      </c>
      <c r="C21" s="1" t="s">
        <v>24</v>
      </c>
      <c r="D21" s="69" t="s">
        <v>32</v>
      </c>
      <c r="E21" s="114">
        <v>41996</v>
      </c>
      <c r="F21" s="7" t="s">
        <v>83</v>
      </c>
      <c r="G21" s="4">
        <v>2</v>
      </c>
      <c r="H21" s="128">
        <v>0</v>
      </c>
      <c r="I21" s="129" t="str">
        <f t="shared" ca="1" si="0"/>
        <v>6 ans</v>
      </c>
      <c r="J21" s="157" t="str">
        <f ca="1">IF(ISBLANK($B21),"",IF(AND(VALUE(LEFT($I21,1))&gt;=Paramètres!$B$5,VALUE(LEFT($I21,1))&lt;=Paramètres!$C$5),Paramètres!$D$5,IF(AND(VALUE(LEFT($I21,1))&gt;=Paramètres!$B$6,VALUE(LEFT($I21,1))&lt;=Paramètres!$C$6),Paramètres!$D$6,Paramètres!$D$7)))</f>
        <v>Licornes</v>
      </c>
      <c r="K21" s="24">
        <f ca="1">IF(ISBLANK($B21),"",IF(AND(VALUE(LEFT($I21,1))&gt;=Paramètres!$B$5,VALUE(LEFT($I21,1))&lt;=Paramètres!$C$5),Paramètres!$E$5,IF(AND(VALUE(LEFT($I21,1))&gt;=Paramètres!$B$6,VALUE(LEFT($I21,1))&lt;=Paramètres!$C$6),Paramètres!$E$6,Paramètres!$E$7)))</f>
        <v>175</v>
      </c>
      <c r="L21" s="26">
        <f>IF(ISBLANK($B21),"",VLOOKUP($F21,Paramètres!$G$3:$H$9,2,FALSE))</f>
        <v>0</v>
      </c>
      <c r="M21" s="25">
        <f t="shared" ca="1" si="1"/>
        <v>175</v>
      </c>
      <c r="N21" s="25">
        <f t="shared" ca="1" si="2"/>
        <v>350</v>
      </c>
      <c r="O21" s="6">
        <f>IF(ISBLANK($B21),"",IF($G21&lt;=Paramètres!$J$3,Paramètres!$L$3,IF($G21&gt;=Paramètres!$J$5,Paramètres!$L$5,Paramètres!$L$4)))</f>
        <v>0</v>
      </c>
      <c r="P21" s="25">
        <f t="shared" ca="1" si="3"/>
        <v>0</v>
      </c>
      <c r="Q21" s="25">
        <f t="shared" ca="1" si="4"/>
        <v>350</v>
      </c>
      <c r="R21" s="112">
        <v>35</v>
      </c>
      <c r="S21" s="58">
        <f t="shared" ca="1" si="5"/>
        <v>315</v>
      </c>
    </row>
    <row r="22" spans="2:19" x14ac:dyDescent="0.25">
      <c r="B22" s="44" t="s">
        <v>57</v>
      </c>
      <c r="C22" s="1" t="s">
        <v>28</v>
      </c>
      <c r="D22" s="69" t="s">
        <v>32</v>
      </c>
      <c r="E22" s="114">
        <v>39670</v>
      </c>
      <c r="F22" s="1" t="s">
        <v>39</v>
      </c>
      <c r="G22" s="4">
        <v>3</v>
      </c>
      <c r="H22" s="128">
        <v>5</v>
      </c>
      <c r="I22" s="129" t="str">
        <f t="shared" ca="1" si="0"/>
        <v>12 ans</v>
      </c>
      <c r="J22" s="157" t="str">
        <f ca="1">IF(ISBLANK($B22),"",IF(AND(VALUE(LEFT($I22,1))&gt;=Paramètres!$B$5,VALUE(LEFT($I22,1))&lt;=Paramètres!$C$5),Paramètres!$D$5,IF(AND(VALUE(LEFT($I22,1))&gt;=Paramètres!$B$6,VALUE(LEFT($I22,1))&lt;=Paramètres!$C$6),Paramètres!$D$6,Paramètres!$D$7)))</f>
        <v>Dragons</v>
      </c>
      <c r="K22" s="24">
        <f ca="1">IF(ISBLANK($B22),"",IF(AND(VALUE(LEFT($I22,1))&gt;=Paramètres!$B$5,VALUE(LEFT($I22,1))&lt;=Paramètres!$C$5),Paramètres!$E$5,IF(AND(VALUE(LEFT($I22,1))&gt;=Paramètres!$B$6,VALUE(LEFT($I22,1))&lt;=Paramètres!$C$6),Paramètres!$E$6,Paramètres!$E$7)))</f>
        <v>225</v>
      </c>
      <c r="L22" s="26">
        <f>IF(ISBLANK($B22),"",VLOOKUP($F22,Paramètres!$G$3:$H$9,2,FALSE))</f>
        <v>10</v>
      </c>
      <c r="M22" s="25">
        <f t="shared" ca="1" si="1"/>
        <v>235</v>
      </c>
      <c r="N22" s="25">
        <f t="shared" ca="1" si="2"/>
        <v>705</v>
      </c>
      <c r="O22" s="6">
        <f>IF(ISBLANK($B22),"",IF($G22&lt;=Paramètres!$J$3,Paramètres!$L$3,IF($G22&gt;=Paramètres!$J$5,Paramètres!$L$5,Paramètres!$L$4)))</f>
        <v>0.05</v>
      </c>
      <c r="P22" s="25">
        <f t="shared" ca="1" si="3"/>
        <v>35.25</v>
      </c>
      <c r="Q22" s="25">
        <f t="shared" ca="1" si="4"/>
        <v>669.75</v>
      </c>
      <c r="R22" s="112">
        <v>50</v>
      </c>
      <c r="S22" s="58">
        <f t="shared" ca="1" si="5"/>
        <v>619.75</v>
      </c>
    </row>
    <row r="23" spans="2:19" x14ac:dyDescent="0.25">
      <c r="B23" s="44" t="s">
        <v>62</v>
      </c>
      <c r="C23" s="1" t="s">
        <v>26</v>
      </c>
      <c r="D23" s="69" t="s">
        <v>32</v>
      </c>
      <c r="E23" s="114">
        <v>41428</v>
      </c>
      <c r="F23" s="7" t="s">
        <v>82</v>
      </c>
      <c r="G23" s="4">
        <v>5</v>
      </c>
      <c r="H23" s="128">
        <v>0</v>
      </c>
      <c r="I23" s="129" t="str">
        <f t="shared" ca="1" si="0"/>
        <v>7 ans</v>
      </c>
      <c r="J23" s="157" t="str">
        <f ca="1">IF(ISBLANK($B23),"",IF(AND(VALUE(LEFT($I23,1))&gt;=Paramètres!$B$5,VALUE(LEFT($I23,1))&lt;=Paramètres!$C$5),Paramètres!$D$5,IF(AND(VALUE(LEFT($I23,1))&gt;=Paramètres!$B$6,VALUE(LEFT($I23,1))&lt;=Paramètres!$C$6),Paramètres!$D$6,Paramètres!$D$7)))</f>
        <v>Licornes</v>
      </c>
      <c r="K23" s="24">
        <f ca="1">IF(ISBLANK($B23),"",IF(AND(VALUE(LEFT($I23,1))&gt;=Paramètres!$B$5,VALUE(LEFT($I23,1))&lt;=Paramètres!$C$5),Paramètres!$E$5,IF(AND(VALUE(LEFT($I23,1))&gt;=Paramètres!$B$6,VALUE(LEFT($I23,1))&lt;=Paramètres!$C$6),Paramètres!$E$6,Paramètres!$E$7)))</f>
        <v>175</v>
      </c>
      <c r="L23" s="26">
        <f>IF(ISBLANK($B23),"",VLOOKUP($F23,Paramètres!$G$3:$H$9,2,FALSE))</f>
        <v>5</v>
      </c>
      <c r="M23" s="25">
        <f t="shared" ca="1" si="1"/>
        <v>180</v>
      </c>
      <c r="N23" s="25">
        <f t="shared" ca="1" si="2"/>
        <v>900</v>
      </c>
      <c r="O23" s="6">
        <f>IF(ISBLANK($B23),"",IF($G23&lt;=Paramètres!$J$3,Paramètres!$L$3,IF($G23&gt;=Paramètres!$J$5,Paramètres!$L$5,Paramètres!$L$4)))</f>
        <v>0.1</v>
      </c>
      <c r="P23" s="25">
        <f t="shared" ca="1" si="3"/>
        <v>90</v>
      </c>
      <c r="Q23" s="25">
        <f t="shared" ca="1" si="4"/>
        <v>810</v>
      </c>
      <c r="R23" s="112">
        <v>200</v>
      </c>
      <c r="S23" s="58">
        <f t="shared" ca="1" si="5"/>
        <v>610</v>
      </c>
    </row>
    <row r="24" spans="2:19" x14ac:dyDescent="0.25">
      <c r="B24" s="44" t="s">
        <v>56</v>
      </c>
      <c r="C24" s="1" t="s">
        <v>27</v>
      </c>
      <c r="D24" s="69" t="s">
        <v>32</v>
      </c>
      <c r="E24" s="114">
        <v>39827</v>
      </c>
      <c r="F24" s="7" t="s">
        <v>84</v>
      </c>
      <c r="G24" s="4">
        <v>6</v>
      </c>
      <c r="H24" s="128">
        <v>4</v>
      </c>
      <c r="I24" s="129" t="str">
        <f t="shared" ca="1" si="0"/>
        <v>12 ans</v>
      </c>
      <c r="J24" s="157" t="str">
        <f ca="1">IF(ISBLANK($B24),"",IF(AND(VALUE(LEFT($I24,1))&gt;=Paramètres!$B$5,VALUE(LEFT($I24,1))&lt;=Paramètres!$C$5),Paramètres!$D$5,IF(AND(VALUE(LEFT($I24,1))&gt;=Paramètres!$B$6,VALUE(LEFT($I24,1))&lt;=Paramètres!$C$6),Paramètres!$D$6,Paramètres!$D$7)))</f>
        <v>Dragons</v>
      </c>
      <c r="K24" s="24">
        <f ca="1">IF(ISBLANK($B24),"",IF(AND(VALUE(LEFT($I24,1))&gt;=Paramètres!$B$5,VALUE(LEFT($I24,1))&lt;=Paramètres!$C$5),Paramètres!$E$5,IF(AND(VALUE(LEFT($I24,1))&gt;=Paramètres!$B$6,VALUE(LEFT($I24,1))&lt;=Paramètres!$C$6),Paramètres!$E$6,Paramètres!$E$7)))</f>
        <v>225</v>
      </c>
      <c r="L24" s="26">
        <f>IF(ISBLANK($B24),"",VLOOKUP($F24,Paramètres!$G$3:$H$9,2,FALSE))</f>
        <v>0</v>
      </c>
      <c r="M24" s="25">
        <f t="shared" ca="1" si="1"/>
        <v>225</v>
      </c>
      <c r="N24" s="25">
        <f t="shared" ca="1" si="2"/>
        <v>1350</v>
      </c>
      <c r="O24" s="6">
        <f>IF(ISBLANK($B24),"",IF($G24&lt;=Paramètres!$J$3,Paramètres!$L$3,IF($G24&gt;=Paramètres!$J$5,Paramètres!$L$5,Paramètres!$L$4)))</f>
        <v>0.1</v>
      </c>
      <c r="P24" s="25">
        <f t="shared" ca="1" si="3"/>
        <v>135</v>
      </c>
      <c r="Q24" s="25">
        <f t="shared" ca="1" si="4"/>
        <v>1215</v>
      </c>
      <c r="R24" s="112">
        <v>25</v>
      </c>
      <c r="S24" s="58">
        <f t="shared" ca="1" si="5"/>
        <v>1190</v>
      </c>
    </row>
    <row r="25" spans="2:19" x14ac:dyDescent="0.25">
      <c r="B25" s="44" t="s">
        <v>61</v>
      </c>
      <c r="C25" s="1" t="s">
        <v>20</v>
      </c>
      <c r="D25" s="69" t="s">
        <v>11</v>
      </c>
      <c r="E25" s="114">
        <v>40793</v>
      </c>
      <c r="F25" s="4" t="s">
        <v>83</v>
      </c>
      <c r="G25" s="4">
        <v>2</v>
      </c>
      <c r="H25" s="128">
        <v>3</v>
      </c>
      <c r="I25" s="129" t="str">
        <f t="shared" ca="1" si="0"/>
        <v>9 ans</v>
      </c>
      <c r="J25" s="157" t="str">
        <f ca="1">IF(ISBLANK($B25),"",IF(AND(VALUE(LEFT($I25,1))&gt;=Paramètres!$B$5,VALUE(LEFT($I25,1))&lt;=Paramètres!$C$5),Paramètres!$D$5,IF(AND(VALUE(LEFT($I25,1))&gt;=Paramètres!$B$6,VALUE(LEFT($I25,1))&lt;=Paramètres!$C$6),Paramètres!$D$6,Paramètres!$D$7)))</f>
        <v>Monstres</v>
      </c>
      <c r="K25" s="24">
        <f ca="1">IF(ISBLANK($B25),"",IF(AND(VALUE(LEFT($I25,1))&gt;=Paramètres!$B$5,VALUE(LEFT($I25,1))&lt;=Paramètres!$C$5),Paramètres!$E$5,IF(AND(VALUE(LEFT($I25,1))&gt;=Paramètres!$B$6,VALUE(LEFT($I25,1))&lt;=Paramètres!$C$6),Paramètres!$E$6,Paramètres!$E$7)))</f>
        <v>200</v>
      </c>
      <c r="L25" s="26">
        <f>IF(ISBLANK($B25),"",VLOOKUP($F25,Paramètres!$G$3:$H$9,2,FALSE))</f>
        <v>0</v>
      </c>
      <c r="M25" s="25">
        <f t="shared" ca="1" si="1"/>
        <v>200</v>
      </c>
      <c r="N25" s="25">
        <f t="shared" ca="1" si="2"/>
        <v>400</v>
      </c>
      <c r="O25" s="6">
        <f>IF(ISBLANK($B25),"",IF($G25&lt;=Paramètres!$J$3,Paramètres!$L$3,IF($G25&gt;=Paramètres!$J$5,Paramètres!$L$5,Paramètres!$L$4)))</f>
        <v>0</v>
      </c>
      <c r="P25" s="25">
        <f t="shared" ca="1" si="3"/>
        <v>0</v>
      </c>
      <c r="Q25" s="25">
        <f t="shared" ca="1" si="4"/>
        <v>400</v>
      </c>
      <c r="R25" s="112">
        <v>30</v>
      </c>
      <c r="S25" s="58">
        <f t="shared" ca="1" si="5"/>
        <v>370</v>
      </c>
    </row>
    <row r="26" spans="2:19" x14ac:dyDescent="0.25">
      <c r="B26" s="44" t="s">
        <v>56</v>
      </c>
      <c r="C26" s="1" t="s">
        <v>29</v>
      </c>
      <c r="D26" s="69" t="s">
        <v>32</v>
      </c>
      <c r="E26" s="114">
        <v>39338</v>
      </c>
      <c r="F26" s="7" t="s">
        <v>38</v>
      </c>
      <c r="G26" s="4">
        <v>1</v>
      </c>
      <c r="H26" s="128">
        <v>4</v>
      </c>
      <c r="I26" s="129" t="str">
        <f t="shared" ca="1" si="0"/>
        <v>13 ans</v>
      </c>
      <c r="J26" s="157" t="str">
        <f ca="1">IF(ISBLANK($B26),"",IF(AND(VALUE(LEFT($I26,1))&gt;=Paramètres!$B$5,VALUE(LEFT($I26,1))&lt;=Paramètres!$C$5),Paramètres!$D$5,IF(AND(VALUE(LEFT($I26,1))&gt;=Paramètres!$B$6,VALUE(LEFT($I26,1))&lt;=Paramètres!$C$6),Paramètres!$D$6,Paramètres!$D$7)))</f>
        <v>Dragons</v>
      </c>
      <c r="K26" s="24">
        <f ca="1">IF(ISBLANK($B26),"",IF(AND(VALUE(LEFT($I26,1))&gt;=Paramètres!$B$5,VALUE(LEFT($I26,1))&lt;=Paramètres!$C$5),Paramètres!$E$5,IF(AND(VALUE(LEFT($I26,1))&gt;=Paramètres!$B$6,VALUE(LEFT($I26,1))&lt;=Paramètres!$C$6),Paramètres!$E$6,Paramètres!$E$7)))</f>
        <v>225</v>
      </c>
      <c r="L26" s="26">
        <f>IF(ISBLANK($B26),"",VLOOKUP($F26,Paramètres!$G$3:$H$9,2,FALSE))</f>
        <v>10</v>
      </c>
      <c r="M26" s="25">
        <f t="shared" ca="1" si="1"/>
        <v>235</v>
      </c>
      <c r="N26" s="25">
        <f t="shared" ca="1" si="2"/>
        <v>235</v>
      </c>
      <c r="O26" s="6">
        <f>IF(ISBLANK($B26),"",IF($G26&lt;=Paramètres!$J$3,Paramètres!$L$3,IF($G26&gt;=Paramètres!$J$5,Paramètres!$L$5,Paramètres!$L$4)))</f>
        <v>0</v>
      </c>
      <c r="P26" s="25">
        <f t="shared" ca="1" si="3"/>
        <v>0</v>
      </c>
      <c r="Q26" s="25">
        <f t="shared" ca="1" si="4"/>
        <v>235</v>
      </c>
      <c r="R26" s="112">
        <v>100</v>
      </c>
      <c r="S26" s="58">
        <f t="shared" ca="1" si="5"/>
        <v>135</v>
      </c>
    </row>
    <row r="27" spans="2:19" x14ac:dyDescent="0.25">
      <c r="B27" s="45" t="s">
        <v>98</v>
      </c>
      <c r="C27" s="12" t="s">
        <v>14</v>
      </c>
      <c r="D27" s="69" t="s">
        <v>32</v>
      </c>
      <c r="E27" s="115">
        <v>41072</v>
      </c>
      <c r="F27" s="1" t="s">
        <v>38</v>
      </c>
      <c r="G27" s="1">
        <v>3</v>
      </c>
      <c r="H27" s="130">
        <v>1</v>
      </c>
      <c r="I27" s="129" t="str">
        <f t="shared" ca="1" si="0"/>
        <v>8 ans</v>
      </c>
      <c r="J27" s="157" t="str">
        <f ca="1">IF(ISBLANK($B27),"",IF(AND(VALUE(LEFT($I27,1))&gt;=Paramètres!$B$5,VALUE(LEFT($I27,1))&lt;=Paramètres!$C$5),Paramètres!$D$5,IF(AND(VALUE(LEFT($I27,1))&gt;=Paramètres!$B$6,VALUE(LEFT($I27,1))&lt;=Paramètres!$C$6),Paramètres!$D$6,Paramètres!$D$7)))</f>
        <v>Monstres</v>
      </c>
      <c r="K27" s="24">
        <f ca="1">IF(ISBLANK($B27),"",IF(AND(VALUE(LEFT($I27,1))&gt;=Paramètres!$B$5,VALUE(LEFT($I27,1))&lt;=Paramètres!$C$5),Paramètres!$E$5,IF(AND(VALUE(LEFT($I27,1))&gt;=Paramètres!$B$6,VALUE(LEFT($I27,1))&lt;=Paramètres!$C$6),Paramètres!$E$6,Paramètres!$E$7)))</f>
        <v>200</v>
      </c>
      <c r="L27" s="26">
        <f>IF(ISBLANK($B27),"",VLOOKUP($F27,Paramètres!$G$3:$H$9,2,FALSE))</f>
        <v>10</v>
      </c>
      <c r="M27" s="25">
        <f t="shared" ca="1" si="1"/>
        <v>210</v>
      </c>
      <c r="N27" s="25">
        <f t="shared" ca="1" si="2"/>
        <v>630</v>
      </c>
      <c r="O27" s="6">
        <f>IF(ISBLANK($B27),"",IF($G27&lt;=Paramètres!$J$3,Paramètres!$L$3,IF($G27&gt;=Paramètres!$J$5,Paramètres!$L$5,Paramètres!$L$4)))</f>
        <v>0.05</v>
      </c>
      <c r="P27" s="25">
        <f t="shared" ca="1" si="3"/>
        <v>31.5</v>
      </c>
      <c r="Q27" s="25">
        <f t="shared" ca="1" si="4"/>
        <v>598.5</v>
      </c>
      <c r="R27" s="66">
        <v>50</v>
      </c>
      <c r="S27" s="58">
        <f t="shared" ca="1" si="5"/>
        <v>548.5</v>
      </c>
    </row>
    <row r="28" spans="2:19" x14ac:dyDescent="0.25">
      <c r="B28" s="45"/>
      <c r="C28" s="3"/>
      <c r="D28" s="69"/>
      <c r="E28" s="3"/>
      <c r="F28" s="3"/>
      <c r="G28" s="3"/>
      <c r="H28" s="128"/>
      <c r="I28" s="129" t="str">
        <f t="shared" si="0"/>
        <v/>
      </c>
      <c r="J28" s="157" t="str">
        <f>IF(ISBLANK($B28),"",IF(AND(VALUE(LEFT($I28,1))&gt;=Paramètres!$B$5,VALUE(LEFT($I28,1))&lt;=Paramètres!$C$5),Paramètres!$D$5,IF(AND(VALUE(LEFT($I28,1))&gt;=Paramètres!$B$6,VALUE(LEFT($I28,1))&lt;=Paramètres!$C$6),Paramètres!$D$6,Paramètres!$D$7)))</f>
        <v/>
      </c>
      <c r="K28" s="24" t="str">
        <f>IF(ISBLANK($B28),"",IF(AND(VALUE(LEFT($I28,1))&gt;=Paramètres!$B$5,VALUE(LEFT($I28,1))&lt;=Paramètres!$C$5),Paramètres!$E$5,IF(AND(VALUE(LEFT($I28,1))&gt;=Paramètres!$B$6,VALUE(LEFT($I28,1))&lt;=Paramètres!$C$6),Paramètres!$E$6,Paramètres!$E$7)))</f>
        <v/>
      </c>
      <c r="L28" s="26" t="str">
        <f>IF(ISBLANK($B28),"",VLOOKUP($F28,Paramètres!$G$3:$H$9,2,FALSE))</f>
        <v/>
      </c>
      <c r="M28" s="25" t="str">
        <f t="shared" si="1"/>
        <v/>
      </c>
      <c r="N28" s="25" t="str">
        <f t="shared" si="2"/>
        <v/>
      </c>
      <c r="O28" s="6" t="str">
        <f>IF(ISBLANK($B28),"",IF($G28&lt;=Paramètres!$J$3,Paramètres!$L$3,IF($G28&gt;=Paramètres!$J$5,Paramètres!$L$5,Paramètres!$L$4)))</f>
        <v/>
      </c>
      <c r="P28" s="25" t="str">
        <f t="shared" si="3"/>
        <v/>
      </c>
      <c r="Q28" s="25" t="str">
        <f t="shared" si="4"/>
        <v/>
      </c>
      <c r="R28" s="67"/>
      <c r="S28" s="58" t="str">
        <f t="shared" si="5"/>
        <v/>
      </c>
    </row>
    <row r="29" spans="2:19" x14ac:dyDescent="0.25">
      <c r="B29" s="45"/>
      <c r="C29" s="3"/>
      <c r="D29" s="69"/>
      <c r="E29" s="3"/>
      <c r="F29" s="3"/>
      <c r="G29" s="13"/>
      <c r="H29" s="128"/>
      <c r="I29" s="129" t="str">
        <f t="shared" si="0"/>
        <v/>
      </c>
      <c r="J29" s="157" t="str">
        <f>IF(ISBLANK($B29),"",IF(AND(VALUE(LEFT($I29,1))&gt;=Paramètres!$B$5,VALUE(LEFT($I29,1))&lt;=Paramètres!$C$5),Paramètres!$D$5,IF(AND(VALUE(LEFT($I29,1))&gt;=Paramètres!$B$6,VALUE(LEFT($I29,1))&lt;=Paramètres!$C$6),Paramètres!$D$6,Paramètres!$D$7)))</f>
        <v/>
      </c>
      <c r="K29" s="24" t="str">
        <f>IF(ISBLANK($B29),"",IF(AND(VALUE(LEFT($I29,1))&gt;=Paramètres!$B$5,VALUE(LEFT($I29,1))&lt;=Paramètres!$C$5),Paramètres!$E$5,IF(AND(VALUE(LEFT($I29,1))&gt;=Paramètres!$B$6,VALUE(LEFT($I29,1))&lt;=Paramètres!$C$6),Paramètres!$E$6,Paramètres!$E$7)))</f>
        <v/>
      </c>
      <c r="L29" s="26" t="str">
        <f>IF(ISBLANK($B29),"",VLOOKUP($F29,Paramètres!$G$3:$H$9,2,FALSE))</f>
        <v/>
      </c>
      <c r="M29" s="25" t="str">
        <f t="shared" si="1"/>
        <v/>
      </c>
      <c r="N29" s="25" t="str">
        <f t="shared" si="2"/>
        <v/>
      </c>
      <c r="O29" s="6" t="str">
        <f>IF(ISBLANK($B29),"",IF($G29&lt;=Paramètres!$J$3,Paramètres!$L$3,IF($G29&gt;=Paramètres!$J$5,Paramètres!$L$5,Paramètres!$L$4)))</f>
        <v/>
      </c>
      <c r="P29" s="25" t="str">
        <f t="shared" si="3"/>
        <v/>
      </c>
      <c r="Q29" s="25" t="str">
        <f t="shared" si="4"/>
        <v/>
      </c>
      <c r="R29" s="67"/>
      <c r="S29" s="58" t="str">
        <f t="shared" si="5"/>
        <v/>
      </c>
    </row>
    <row r="30" spans="2:19" ht="15.75" thickBot="1" x14ac:dyDescent="0.3">
      <c r="B30" s="59"/>
      <c r="C30" s="60"/>
      <c r="D30" s="70"/>
      <c r="E30" s="60"/>
      <c r="F30" s="60"/>
      <c r="G30" s="61"/>
      <c r="H30" s="131"/>
      <c r="I30" s="132" t="str">
        <f t="shared" si="0"/>
        <v/>
      </c>
      <c r="J30" s="158" t="str">
        <f>IF(ISBLANK($B30),"",IF(AND(VALUE(LEFT($I30,1))&gt;=Paramètres!$B$5,VALUE(LEFT($I30,1))&lt;=Paramètres!$C$5),Paramètres!$D$5,IF(AND(VALUE(LEFT($I30,1))&gt;=Paramètres!$B$6,VALUE(LEFT($I30,1))&lt;=Paramètres!$C$6),Paramètres!$D$6,Paramètres!$D$7)))</f>
        <v/>
      </c>
      <c r="K30" s="62" t="str">
        <f>IF(ISBLANK($B30),"",IF(AND(VALUE(LEFT($I30,1))&gt;=Paramètres!$B$5,VALUE(LEFT($I30,1))&lt;=Paramètres!$C$5),Paramètres!$E$5,IF(AND(VALUE(LEFT($I30,1))&gt;=Paramètres!$B$6,VALUE(LEFT($I30,1))&lt;=Paramètres!$C$6),Paramètres!$E$6,Paramètres!$E$7)))</f>
        <v/>
      </c>
      <c r="L30" s="159" t="str">
        <f>IF(ISBLANK($B30),"",VLOOKUP($F30,Paramètres!$G$3:$H$9,2,FALSE))</f>
        <v/>
      </c>
      <c r="M30" s="63" t="str">
        <f t="shared" si="1"/>
        <v/>
      </c>
      <c r="N30" s="63" t="str">
        <f t="shared" si="2"/>
        <v/>
      </c>
      <c r="O30" s="64" t="str">
        <f>IF(ISBLANK($B30),"",IF($G30&lt;=Paramètres!$J$3,Paramètres!$L$3,IF($G30&gt;=Paramètres!$J$5,Paramètres!$L$5,Paramètres!$L$4)))</f>
        <v/>
      </c>
      <c r="P30" s="63" t="str">
        <f t="shared" si="3"/>
        <v/>
      </c>
      <c r="Q30" s="63" t="str">
        <f t="shared" si="4"/>
        <v/>
      </c>
      <c r="R30" s="68"/>
      <c r="S30" s="65" t="str">
        <f t="shared" si="5"/>
        <v/>
      </c>
    </row>
    <row r="31" spans="2:19" x14ac:dyDescent="0.25">
      <c r="O31" s="2"/>
      <c r="P31" s="2"/>
    </row>
    <row r="32" spans="2:19" x14ac:dyDescent="0.25">
      <c r="M32" s="14"/>
    </row>
    <row r="33" spans="2:5" ht="15" customHeight="1" x14ac:dyDescent="0.25"/>
    <row r="34" spans="2:5" ht="15" customHeight="1" x14ac:dyDescent="0.25"/>
    <row r="35" spans="2:5" ht="15" customHeight="1" x14ac:dyDescent="0.25"/>
    <row r="36" spans="2:5" ht="15" customHeight="1" x14ac:dyDescent="0.25">
      <c r="B36" s="86"/>
      <c r="C36" s="18"/>
      <c r="D36" s="18"/>
      <c r="E36" s="17"/>
    </row>
    <row r="37" spans="2:5" x14ac:dyDescent="0.25">
      <c r="B37" s="86"/>
      <c r="C37" s="15"/>
      <c r="D37" s="16"/>
      <c r="E37" s="17"/>
    </row>
  </sheetData>
  <sheetProtection selectLockedCells="1"/>
  <conditionalFormatting sqref="B6:D30">
    <cfRule type="expression" dxfId="2" priority="2">
      <formula>$D6="F"</formula>
    </cfRule>
    <cfRule type="expression" dxfId="3" priority="1">
      <formula>$D6="G"</formula>
    </cfRule>
  </conditionalFormatting>
  <dataValidations count="2">
    <dataValidation type="whole" allowBlank="1" showInputMessage="1" showErrorMessage="1" errorTitle="Arrêt" error="Le nombre de semaine doit être entre 1 et 6." sqref="G6:G30" xr:uid="{F42B0DED-E0FC-4095-9CBB-B130B49A23E6}">
      <formula1>1</formula1>
      <formula2>6</formula2>
    </dataValidation>
    <dataValidation type="whole" errorStyle="warning" operator="lessThanOrEqual" allowBlank="1" showInputMessage="1" showErrorMessage="1" errorTitle="Condition non remplie" error="Le nombre d'inscriptions consécutives doit être inferieur ou égal à 6." sqref="H6:H30" xr:uid="{B51796D6-668E-49C8-B6B8-6633E1B3825E}">
      <formula1>6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5" scale="65" orientation="landscape" r:id="rId1"/>
  <headerFooter>
    <oddHeader>&amp;L&amp;D&amp;ROlivier Bourgault</oddHeader>
    <oddFooter xml:space="preserve">&amp;LCamp Loisirs Montcalm - 2021&amp;RPage &amp;P de &amp;N 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2F525B-6DC7-4769-B876-3F5D290638CA}">
          <x14:formula1>
            <xm:f>Paramètres!$G$3:$G$9</xm:f>
          </x14:formula1>
          <xm:sqref>F6:F30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1168-FF2E-4C83-9557-99C9F7F32742}">
  <sheetPr>
    <pageSetUpPr fitToPage="1"/>
  </sheetPr>
  <dimension ref="B1:S37"/>
  <sheetViews>
    <sheetView view="pageLayout" topLeftCell="A2" zoomScale="85" zoomScaleNormal="90" zoomScalePageLayoutView="85" workbookViewId="0">
      <selection activeCell="B18" sqref="B18"/>
    </sheetView>
  </sheetViews>
  <sheetFormatPr baseColWidth="10" defaultRowHeight="15" x14ac:dyDescent="0.25"/>
  <cols>
    <col min="1" max="1" width="4.28515625" customWidth="1"/>
    <col min="2" max="3" width="22.5703125" customWidth="1"/>
    <col min="4" max="4" width="14" customWidth="1"/>
    <col min="5" max="5" width="13.140625" customWidth="1"/>
    <col min="7" max="7" width="9.5703125" customWidth="1"/>
    <col min="8" max="8" width="13.5703125" bestFit="1" customWidth="1"/>
    <col min="9" max="9" width="12.7109375" customWidth="1"/>
    <col min="10" max="10" width="13.140625" customWidth="1"/>
    <col min="11" max="11" width="12.7109375" customWidth="1"/>
    <col min="12" max="12" width="12.5703125" customWidth="1"/>
    <col min="13" max="13" width="12" bestFit="1" customWidth="1"/>
    <col min="14" max="14" width="11.85546875" bestFit="1" customWidth="1"/>
    <col min="15" max="15" width="9" customWidth="1"/>
    <col min="16" max="16" width="13.140625" customWidth="1"/>
    <col min="17" max="17" width="13.140625" bestFit="1" customWidth="1"/>
    <col min="19" max="19" width="11.85546875" bestFit="1" customWidth="1"/>
  </cols>
  <sheetData>
    <row r="1" spans="2:19" ht="45.75" customHeight="1" x14ac:dyDescent="0.25">
      <c r="B1" s="27" t="str">
        <f ca="1">"Camp de Vacances Loisirs Montcalm "&amp;YEAR($C$2)</f>
        <v>Camp de Vacances Loisirs Montcalm 2021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</row>
    <row r="2" spans="2:19" ht="21.75" customHeight="1" thickBot="1" x14ac:dyDescent="0.3">
      <c r="B2" s="30" t="s">
        <v>7</v>
      </c>
      <c r="C2" s="155">
        <f ca="1">TODAY()</f>
        <v>44344</v>
      </c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2:19" ht="12" customHeight="1" thickBot="1" x14ac:dyDescent="0.3">
      <c r="B3" s="34"/>
      <c r="C3" s="35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8"/>
    </row>
    <row r="4" spans="2:19" ht="28.5" customHeight="1" thickBot="1" x14ac:dyDescent="0.3">
      <c r="B4" s="39" t="s">
        <v>89</v>
      </c>
      <c r="C4" s="40"/>
      <c r="D4" s="40"/>
      <c r="E4" s="41"/>
      <c r="F4" s="42"/>
      <c r="G4" s="42"/>
      <c r="H4" s="133"/>
      <c r="I4" s="134" t="s">
        <v>90</v>
      </c>
      <c r="J4" s="43"/>
      <c r="K4" s="43"/>
      <c r="L4" s="43"/>
      <c r="M4" s="43"/>
      <c r="N4" s="43"/>
      <c r="O4" s="43"/>
      <c r="P4" s="43"/>
      <c r="Q4" s="43"/>
      <c r="R4" s="133"/>
      <c r="S4" s="134" t="s">
        <v>92</v>
      </c>
    </row>
    <row r="5" spans="2:19" ht="45.75" thickBot="1" x14ac:dyDescent="0.3">
      <c r="B5" s="46" t="s">
        <v>0</v>
      </c>
      <c r="C5" s="47" t="s">
        <v>1</v>
      </c>
      <c r="D5" s="47" t="s">
        <v>10</v>
      </c>
      <c r="E5" s="48" t="s">
        <v>2</v>
      </c>
      <c r="F5" s="47" t="s">
        <v>33</v>
      </c>
      <c r="G5" s="48" t="s">
        <v>5</v>
      </c>
      <c r="H5" s="125" t="s">
        <v>44</v>
      </c>
      <c r="I5" s="126" t="s">
        <v>3</v>
      </c>
      <c r="J5" s="47" t="s">
        <v>4</v>
      </c>
      <c r="K5" s="48" t="s">
        <v>76</v>
      </c>
      <c r="L5" s="48" t="s">
        <v>88</v>
      </c>
      <c r="M5" s="48" t="s">
        <v>86</v>
      </c>
      <c r="N5" s="47" t="s">
        <v>77</v>
      </c>
      <c r="O5" s="48" t="s">
        <v>71</v>
      </c>
      <c r="P5" s="48" t="s">
        <v>40</v>
      </c>
      <c r="Q5" s="48" t="s">
        <v>31</v>
      </c>
      <c r="R5" s="48" t="s">
        <v>6</v>
      </c>
      <c r="S5" s="49" t="s">
        <v>70</v>
      </c>
    </row>
    <row r="6" spans="2:19" x14ac:dyDescent="0.25">
      <c r="B6" s="50" t="s">
        <v>64</v>
      </c>
      <c r="C6" s="51" t="s">
        <v>8</v>
      </c>
      <c r="D6" s="69" t="s">
        <v>11</v>
      </c>
      <c r="E6" s="52">
        <v>41847</v>
      </c>
      <c r="F6" s="53" t="s">
        <v>81</v>
      </c>
      <c r="G6" s="51">
        <v>2</v>
      </c>
      <c r="H6" s="127">
        <v>0</v>
      </c>
      <c r="I6" s="156" t="str">
        <f ca="1">IF(ISBLANK($B6),"",_xlfn.CONCAT(INT(($C$2-$E6)/365.25)," ans"))</f>
        <v>6 ans</v>
      </c>
      <c r="J6" s="157" t="str">
        <f ca="1">IF(ISBLANK($B6),"",IF(AND(VALUE(LEFT($I6,1))&gt;=Paramètres!$B$5,VALUE(LEFT($I6,1))&lt;=Paramètres!$C$5),Paramètres!$D$5,IF(AND(VALUE(LEFT($I6,1))&gt;=Paramètres!$B$6,VALUE(LEFT($I6,1))&lt;=Paramètres!$C$6),Paramètres!$D$6,Paramètres!$D$7)))</f>
        <v>Licornes</v>
      </c>
      <c r="K6" s="54">
        <f ca="1">IF(ISBLANK($B6),"",IF(AND(VALUE(LEFT($I6,1))&gt;=Paramètres!$B$5,VALUE(LEFT($I6,1))&lt;=Paramètres!$C$5),Paramètres!$E$5,IF(AND(VALUE(LEFT($I6,1))&gt;=Paramètres!$B$6,VALUE(LEFT($I6,1))&lt;=Paramètres!$C$6),Paramètres!$E$6,Paramètres!$E$7)))</f>
        <v>175</v>
      </c>
      <c r="L6" s="54">
        <f>IF(ISBLANK($B6),"",VLOOKUP($F6,Paramètres!$G$3:$H$9,2,FALSE))</f>
        <v>15</v>
      </c>
      <c r="M6" s="55">
        <f ca="1">IF(ISBLANK($B6),"",$K6+$L6)</f>
        <v>190</v>
      </c>
      <c r="N6" s="55">
        <f ca="1">IF(ISBLANK($B6),"",$M6*$G6)</f>
        <v>380</v>
      </c>
      <c r="O6" s="56">
        <f>IF(ISBLANK($B6),"",IF($G6&lt;Paramètres!$J$3,Paramètres!$L$3,IF($G6&gt;Paramètres!$J$5,Paramètres!$L$5,Paramètres!$L$4)))</f>
        <v>0.05</v>
      </c>
      <c r="P6" s="55">
        <f ca="1">IF(ISBLANK($B6),"",$N6*$O6)</f>
        <v>19</v>
      </c>
      <c r="Q6" s="55">
        <f ca="1">IF(ISBLANK($B6),"",$N6-$P6)</f>
        <v>361</v>
      </c>
      <c r="R6" s="111">
        <v>25</v>
      </c>
      <c r="S6" s="57">
        <f ca="1">IF(ISBLANK($B6),"",$Q6-$R6)</f>
        <v>336</v>
      </c>
    </row>
    <row r="7" spans="2:19" x14ac:dyDescent="0.25">
      <c r="B7" s="44" t="s">
        <v>51</v>
      </c>
      <c r="C7" s="1" t="s">
        <v>9</v>
      </c>
      <c r="D7" s="69" t="s">
        <v>11</v>
      </c>
      <c r="E7" s="114">
        <v>40141</v>
      </c>
      <c r="F7" s="4" t="s">
        <v>38</v>
      </c>
      <c r="G7" s="1">
        <v>3</v>
      </c>
      <c r="H7" s="128">
        <v>4</v>
      </c>
      <c r="I7" s="129" t="str">
        <f ca="1">IF(ISBLANK($B7),"",_xlfn.CONCAT(INT(($C$2-$E7)/365.25)," ans"))</f>
        <v>11 ans</v>
      </c>
      <c r="J7" s="157" t="str">
        <f ca="1">IF(ISBLANK($B7),"",IF(AND(VALUE(LEFT($I7,1))&gt;=Paramètres!$B$5,VALUE(LEFT($I7,1))&lt;=Paramètres!$C$5),Paramètres!$D$5,IF(AND(VALUE(LEFT($I7,1))&gt;=Paramètres!$B$6,VALUE(LEFT($I7,1))&lt;=Paramètres!$C$6),Paramètres!$D$6,Paramètres!$D$7)))</f>
        <v>Dragons</v>
      </c>
      <c r="K7" s="24">
        <f ca="1">IF(ISBLANK($B7),"",IF(AND(VALUE(LEFT($I7,1))&gt;=Paramètres!$B$5,VALUE(LEFT($I7,1))&lt;=Paramètres!$C$5),Paramètres!$E$5,IF(AND(VALUE(LEFT($I7,1))&gt;=Paramètres!$B$6,VALUE(LEFT($I7,1))&lt;=Paramètres!$C$6),Paramètres!$E$6,Paramètres!$E$7)))</f>
        <v>225</v>
      </c>
      <c r="L7" s="26">
        <f>IF(ISBLANK($B7),"",VLOOKUP($F7,Paramètres!$G$3:$H$9,2,FALSE))</f>
        <v>10</v>
      </c>
      <c r="M7" s="25">
        <f ca="1">IF(ISBLANK($B7),"",$K7+$L7)</f>
        <v>235</v>
      </c>
      <c r="N7" s="25">
        <f ca="1">IF(ISBLANK($B7),"",$M7*$G7)</f>
        <v>705</v>
      </c>
      <c r="O7" s="6">
        <f>IF(ISBLANK($B7),"",IF($G7&lt;Paramètres!$J$3,Paramètres!$L$3,IF($G7&gt;Paramètres!$J$5,Paramètres!$L$5,Paramètres!$L$4)))</f>
        <v>0.05</v>
      </c>
      <c r="P7" s="25">
        <f ca="1">IF(ISBLANK($B7),"",$N7*$O7)</f>
        <v>35.25</v>
      </c>
      <c r="Q7" s="25">
        <f ca="1">IF(ISBLANK($B7),"",$N7-$P7)</f>
        <v>669.75</v>
      </c>
      <c r="R7" s="111">
        <v>25</v>
      </c>
      <c r="S7" s="58">
        <f ca="1">IF(ISBLANK($B7),"",$Q7-$R7)</f>
        <v>644.75</v>
      </c>
    </row>
    <row r="8" spans="2:19" x14ac:dyDescent="0.25">
      <c r="B8" s="44" t="s">
        <v>52</v>
      </c>
      <c r="C8" s="1" t="s">
        <v>12</v>
      </c>
      <c r="D8" s="69" t="s">
        <v>32</v>
      </c>
      <c r="E8" s="114">
        <v>41963</v>
      </c>
      <c r="F8" s="7" t="s">
        <v>84</v>
      </c>
      <c r="G8" s="1">
        <v>5</v>
      </c>
      <c r="H8" s="128">
        <v>2</v>
      </c>
      <c r="I8" s="129" t="str">
        <f t="shared" ref="I8:I30" ca="1" si="0">IF(ISBLANK($B8),"",_xlfn.CONCAT(INT(($C$2-$E8)/365.25)," ans"))</f>
        <v>6 ans</v>
      </c>
      <c r="J8" s="157" t="str">
        <f ca="1">IF(ISBLANK($B8),"",IF(AND(VALUE(LEFT($I8,1))&gt;=Paramètres!$B$5,VALUE(LEFT($I8,1))&lt;=Paramètres!$C$5),Paramètres!$D$5,IF(AND(VALUE(LEFT($I8,1))&gt;=Paramètres!$B$6,VALUE(LEFT($I8,1))&lt;=Paramètres!$C$6),Paramètres!$D$6,Paramètres!$D$7)))</f>
        <v>Licornes</v>
      </c>
      <c r="K8" s="24">
        <f ca="1">IF(ISBLANK($B8),"",IF(AND(VALUE(LEFT($I8,1))&gt;=Paramètres!$B$5,VALUE(LEFT($I8,1))&lt;=Paramètres!$C$5),Paramètres!$E$5,IF(AND(VALUE(LEFT($I8,1))&gt;=Paramètres!$B$6,VALUE(LEFT($I8,1))&lt;=Paramètres!$C$6),Paramètres!$E$6,Paramètres!$E$7)))</f>
        <v>175</v>
      </c>
      <c r="L8" s="26">
        <f>IF(ISBLANK($B8),"",VLOOKUP($F8,Paramètres!$G$3:$H$9,2,FALSE))</f>
        <v>0</v>
      </c>
      <c r="M8" s="25">
        <f t="shared" ref="M8:M30" ca="1" si="1">IF(ISBLANK($B8),"",$K8+$L8)</f>
        <v>175</v>
      </c>
      <c r="N8" s="25">
        <f t="shared" ref="N8:N30" ca="1" si="2">IF(ISBLANK($B8),"",$M8*$G8)</f>
        <v>875</v>
      </c>
      <c r="O8" s="6">
        <f>IF(ISBLANK($B8),"",IF($G8&lt;Paramètres!$J$3,Paramètres!$L$3,IF($G8&gt;Paramètres!$J$5,Paramètres!$L$5,Paramètres!$L$4)))</f>
        <v>0.1</v>
      </c>
      <c r="P8" s="25">
        <f t="shared" ref="P8:P30" ca="1" si="3">IF(ISBLANK($B8),"",$N8*$O8)</f>
        <v>87.5</v>
      </c>
      <c r="Q8" s="25">
        <f t="shared" ref="Q8:Q30" ca="1" si="4">IF(ISBLANK($B8),"",$N8-$P8)</f>
        <v>787.5</v>
      </c>
      <c r="R8" s="111">
        <v>40</v>
      </c>
      <c r="S8" s="58">
        <f t="shared" ref="S8:S30" ca="1" si="5">IF(ISBLANK($B8),"",$Q8-$R8)</f>
        <v>747.5</v>
      </c>
    </row>
    <row r="9" spans="2:19" x14ac:dyDescent="0.25">
      <c r="B9" s="44" t="s">
        <v>65</v>
      </c>
      <c r="C9" s="1" t="s">
        <v>13</v>
      </c>
      <c r="D9" s="69" t="s">
        <v>32</v>
      </c>
      <c r="E9" s="114">
        <v>41891</v>
      </c>
      <c r="F9" s="7" t="s">
        <v>85</v>
      </c>
      <c r="G9" s="1">
        <v>2</v>
      </c>
      <c r="H9" s="128">
        <v>0</v>
      </c>
      <c r="I9" s="129" t="str">
        <f t="shared" ca="1" si="0"/>
        <v>6 ans</v>
      </c>
      <c r="J9" s="157" t="str">
        <f ca="1">IF(ISBLANK($B9),"",IF(AND(VALUE(LEFT($I9,1))&gt;=Paramètres!$B$5,VALUE(LEFT($I9,1))&lt;=Paramètres!$C$5),Paramètres!$D$5,IF(AND(VALUE(LEFT($I9,1))&gt;=Paramètres!$B$6,VALUE(LEFT($I9,1))&lt;=Paramètres!$C$6),Paramètres!$D$6,Paramètres!$D$7)))</f>
        <v>Licornes</v>
      </c>
      <c r="K9" s="24">
        <f ca="1">IF(ISBLANK($B9),"",IF(AND(VALUE(LEFT($I9,1))&gt;=Paramètres!$B$5,VALUE(LEFT($I9,1))&lt;=Paramètres!$C$5),Paramètres!$E$5,IF(AND(VALUE(LEFT($I9,1))&gt;=Paramètres!$B$6,VALUE(LEFT($I9,1))&lt;=Paramètres!$C$6),Paramètres!$E$6,Paramètres!$E$7)))</f>
        <v>175</v>
      </c>
      <c r="L9" s="26">
        <f>IF(ISBLANK($B9),"",VLOOKUP($F9,Paramètres!$G$3:$H$9,2,FALSE))</f>
        <v>45</v>
      </c>
      <c r="M9" s="25">
        <f t="shared" ca="1" si="1"/>
        <v>220</v>
      </c>
      <c r="N9" s="25">
        <f t="shared" ca="1" si="2"/>
        <v>440</v>
      </c>
      <c r="O9" s="6">
        <f>IF(ISBLANK($B9),"",IF($G9&lt;Paramètres!$J$3,Paramètres!$L$3,IF($G9&gt;Paramètres!$J$5,Paramètres!$L$5,Paramètres!$L$4)))</f>
        <v>0.05</v>
      </c>
      <c r="P9" s="25">
        <f t="shared" ca="1" si="3"/>
        <v>22</v>
      </c>
      <c r="Q9" s="25">
        <f t="shared" ca="1" si="4"/>
        <v>418</v>
      </c>
      <c r="R9" s="112">
        <v>25</v>
      </c>
      <c r="S9" s="58">
        <f t="shared" ca="1" si="5"/>
        <v>393</v>
      </c>
    </row>
    <row r="10" spans="2:19" x14ac:dyDescent="0.25">
      <c r="B10" s="44" t="s">
        <v>50</v>
      </c>
      <c r="C10" s="1" t="s">
        <v>14</v>
      </c>
      <c r="D10" s="69" t="s">
        <v>32</v>
      </c>
      <c r="E10" s="114">
        <v>40964</v>
      </c>
      <c r="F10" s="4" t="s">
        <v>84</v>
      </c>
      <c r="G10" s="4">
        <v>1</v>
      </c>
      <c r="H10" s="128">
        <v>0</v>
      </c>
      <c r="I10" s="129" t="str">
        <f t="shared" ca="1" si="0"/>
        <v>9 ans</v>
      </c>
      <c r="J10" s="157" t="str">
        <f ca="1">IF(ISBLANK($B10),"",IF(AND(VALUE(LEFT($I10,1))&gt;=Paramètres!$B$5,VALUE(LEFT($I10,1))&lt;=Paramètres!$C$5),Paramètres!$D$5,IF(AND(VALUE(LEFT($I10,1))&gt;=Paramètres!$B$6,VALUE(LEFT($I10,1))&lt;=Paramètres!$C$6),Paramètres!$D$6,Paramètres!$D$7)))</f>
        <v>Monstres</v>
      </c>
      <c r="K10" s="24">
        <f ca="1">IF(ISBLANK($B10),"",IF(AND(VALUE(LEFT($I10,1))&gt;=Paramètres!$B$5,VALUE(LEFT($I10,1))&lt;=Paramètres!$C$5),Paramètres!$E$5,IF(AND(VALUE(LEFT($I10,1))&gt;=Paramètres!$B$6,VALUE(LEFT($I10,1))&lt;=Paramètres!$C$6),Paramètres!$E$6,Paramètres!$E$7)))</f>
        <v>200</v>
      </c>
      <c r="L10" s="26">
        <f>IF(ISBLANK($B10),"",VLOOKUP($F10,Paramètres!$G$3:$H$9,2,FALSE))</f>
        <v>0</v>
      </c>
      <c r="M10" s="25">
        <f t="shared" ca="1" si="1"/>
        <v>200</v>
      </c>
      <c r="N10" s="25">
        <f t="shared" ca="1" si="2"/>
        <v>200</v>
      </c>
      <c r="O10" s="6">
        <f>IF(ISBLANK($B10),"",IF($G10&lt;Paramètres!$J$3,Paramètres!$L$3,IF($G10&gt;Paramètres!$J$5,Paramètres!$L$5,Paramètres!$L$4)))</f>
        <v>0</v>
      </c>
      <c r="P10" s="25">
        <f t="shared" ca="1" si="3"/>
        <v>0</v>
      </c>
      <c r="Q10" s="25">
        <f t="shared" ca="1" si="4"/>
        <v>200</v>
      </c>
      <c r="R10" s="112">
        <v>10</v>
      </c>
      <c r="S10" s="58">
        <f t="shared" ca="1" si="5"/>
        <v>190</v>
      </c>
    </row>
    <row r="11" spans="2:19" x14ac:dyDescent="0.25">
      <c r="B11" s="44" t="s">
        <v>66</v>
      </c>
      <c r="C11" s="1" t="s">
        <v>15</v>
      </c>
      <c r="D11" s="69" t="s">
        <v>11</v>
      </c>
      <c r="E11" s="114">
        <v>40083</v>
      </c>
      <c r="F11" s="4" t="s">
        <v>38</v>
      </c>
      <c r="G11" s="4">
        <v>5</v>
      </c>
      <c r="H11" s="128">
        <v>2</v>
      </c>
      <c r="I11" s="129" t="str">
        <f t="shared" ca="1" si="0"/>
        <v>11 ans</v>
      </c>
      <c r="J11" s="157" t="str">
        <f ca="1">IF(ISBLANK($B11),"",IF(AND(VALUE(LEFT($I11,1))&gt;=Paramètres!$B$5,VALUE(LEFT($I11,1))&lt;=Paramètres!$C$5),Paramètres!$D$5,IF(AND(VALUE(LEFT($I11,1))&gt;=Paramètres!$B$6,VALUE(LEFT($I11,1))&lt;=Paramètres!$C$6),Paramètres!$D$6,Paramètres!$D$7)))</f>
        <v>Dragons</v>
      </c>
      <c r="K11" s="24">
        <f ca="1">IF(ISBLANK($B11),"",IF(AND(VALUE(LEFT($I11,1))&gt;=Paramètres!$B$5,VALUE(LEFT($I11,1))&lt;=Paramètres!$C$5),Paramètres!$E$5,IF(AND(VALUE(LEFT($I11,1))&gt;=Paramètres!$B$6,VALUE(LEFT($I11,1))&lt;=Paramètres!$C$6),Paramètres!$E$6,Paramètres!$E$7)))</f>
        <v>225</v>
      </c>
      <c r="L11" s="26">
        <f>IF(ISBLANK($B11),"",VLOOKUP($F11,Paramètres!$G$3:$H$9,2,FALSE))</f>
        <v>10</v>
      </c>
      <c r="M11" s="25">
        <f t="shared" ca="1" si="1"/>
        <v>235</v>
      </c>
      <c r="N11" s="25">
        <f t="shared" ca="1" si="2"/>
        <v>1175</v>
      </c>
      <c r="O11" s="6">
        <f>IF(ISBLANK($B11),"",IF($G11&lt;Paramètres!$J$3,Paramètres!$L$3,IF($G11&gt;Paramètres!$J$5,Paramètres!$L$5,Paramètres!$L$4)))</f>
        <v>0.1</v>
      </c>
      <c r="P11" s="25">
        <f t="shared" ca="1" si="3"/>
        <v>117.5</v>
      </c>
      <c r="Q11" s="25">
        <f t="shared" ca="1" si="4"/>
        <v>1057.5</v>
      </c>
      <c r="R11" s="112">
        <v>40</v>
      </c>
      <c r="S11" s="58">
        <f t="shared" ca="1" si="5"/>
        <v>1017.5</v>
      </c>
    </row>
    <row r="12" spans="2:19" x14ac:dyDescent="0.25">
      <c r="B12" s="44" t="s">
        <v>63</v>
      </c>
      <c r="C12" s="1" t="s">
        <v>16</v>
      </c>
      <c r="D12" s="69" t="s">
        <v>11</v>
      </c>
      <c r="E12" s="114">
        <v>40939</v>
      </c>
      <c r="F12" s="7" t="s">
        <v>81</v>
      </c>
      <c r="G12" s="4">
        <v>6</v>
      </c>
      <c r="H12" s="128">
        <v>3</v>
      </c>
      <c r="I12" s="129" t="str">
        <f t="shared" ca="1" si="0"/>
        <v>9 ans</v>
      </c>
      <c r="J12" s="157" t="str">
        <f ca="1">IF(ISBLANK($B12),"",IF(AND(VALUE(LEFT($I12,1))&gt;=Paramètres!$B$5,VALUE(LEFT($I12,1))&lt;=Paramètres!$C$5),Paramètres!$D$5,IF(AND(VALUE(LEFT($I12,1))&gt;=Paramètres!$B$6,VALUE(LEFT($I12,1))&lt;=Paramètres!$C$6),Paramètres!$D$6,Paramètres!$D$7)))</f>
        <v>Monstres</v>
      </c>
      <c r="K12" s="24">
        <f ca="1">IF(ISBLANK($B12),"",IF(AND(VALUE(LEFT($I12,1))&gt;=Paramètres!$B$5,VALUE(LEFT($I12,1))&lt;=Paramètres!$C$5),Paramètres!$E$5,IF(AND(VALUE(LEFT($I12,1))&gt;=Paramètres!$B$6,VALUE(LEFT($I12,1))&lt;=Paramètres!$C$6),Paramètres!$E$6,Paramètres!$E$7)))</f>
        <v>200</v>
      </c>
      <c r="L12" s="26">
        <f>IF(ISBLANK($B12),"",VLOOKUP($F12,Paramètres!$G$3:$H$9,2,FALSE))</f>
        <v>15</v>
      </c>
      <c r="M12" s="25">
        <f t="shared" ca="1" si="1"/>
        <v>215</v>
      </c>
      <c r="N12" s="25">
        <f t="shared" ca="1" si="2"/>
        <v>1290</v>
      </c>
      <c r="O12" s="6">
        <f>IF(ISBLANK($B12),"",IF($G12&lt;Paramètres!$J$3,Paramètres!$L$3,IF($G12&gt;Paramètres!$J$5,Paramètres!$L$5,Paramètres!$L$4)))</f>
        <v>0.1</v>
      </c>
      <c r="P12" s="25">
        <f t="shared" ca="1" si="3"/>
        <v>129</v>
      </c>
      <c r="Q12" s="25">
        <f t="shared" ca="1" si="4"/>
        <v>1161</v>
      </c>
      <c r="R12" s="112">
        <v>60</v>
      </c>
      <c r="S12" s="58">
        <f t="shared" ca="1" si="5"/>
        <v>1101</v>
      </c>
    </row>
    <row r="13" spans="2:19" x14ac:dyDescent="0.25">
      <c r="B13" s="44" t="s">
        <v>59</v>
      </c>
      <c r="C13" s="1" t="s">
        <v>25</v>
      </c>
      <c r="D13" s="69" t="s">
        <v>32</v>
      </c>
      <c r="E13" s="114">
        <v>41345</v>
      </c>
      <c r="F13" s="4" t="s">
        <v>82</v>
      </c>
      <c r="G13" s="4">
        <v>2</v>
      </c>
      <c r="H13" s="128">
        <v>2</v>
      </c>
      <c r="I13" s="129" t="str">
        <f t="shared" ca="1" si="0"/>
        <v>8 ans</v>
      </c>
      <c r="J13" s="157" t="str">
        <f ca="1">IF(ISBLANK($B13),"",IF(AND(VALUE(LEFT($I13,1))&gt;=Paramètres!$B$5,VALUE(LEFT($I13,1))&lt;=Paramètres!$C$5),Paramètres!$D$5,IF(AND(VALUE(LEFT($I13,1))&gt;=Paramètres!$B$6,VALUE(LEFT($I13,1))&lt;=Paramètres!$C$6),Paramètres!$D$6,Paramètres!$D$7)))</f>
        <v>Monstres</v>
      </c>
      <c r="K13" s="24">
        <f ca="1">IF(ISBLANK($B13),"",IF(AND(VALUE(LEFT($I13,1))&gt;=Paramètres!$B$5,VALUE(LEFT($I13,1))&lt;=Paramètres!$C$5),Paramètres!$E$5,IF(AND(VALUE(LEFT($I13,1))&gt;=Paramètres!$B$6,VALUE(LEFT($I13,1))&lt;=Paramètres!$C$6),Paramètres!$E$6,Paramètres!$E$7)))</f>
        <v>200</v>
      </c>
      <c r="L13" s="26">
        <f>IF(ISBLANK($B13),"",VLOOKUP($F13,Paramètres!$G$3:$H$9,2,FALSE))</f>
        <v>5</v>
      </c>
      <c r="M13" s="25">
        <f t="shared" ca="1" si="1"/>
        <v>205</v>
      </c>
      <c r="N13" s="25">
        <f t="shared" ca="1" si="2"/>
        <v>410</v>
      </c>
      <c r="O13" s="6">
        <f>IF(ISBLANK($B13),"",IF($G13&lt;Paramètres!$J$3,Paramètres!$L$3,IF($G13&gt;Paramètres!$J$5,Paramètres!$L$5,Paramètres!$L$4)))</f>
        <v>0.05</v>
      </c>
      <c r="P13" s="25">
        <f t="shared" ca="1" si="3"/>
        <v>20.5</v>
      </c>
      <c r="Q13" s="25">
        <f t="shared" ca="1" si="4"/>
        <v>389.5</v>
      </c>
      <c r="R13" s="112">
        <v>100</v>
      </c>
      <c r="S13" s="58">
        <f t="shared" ca="1" si="5"/>
        <v>289.5</v>
      </c>
    </row>
    <row r="14" spans="2:19" x14ac:dyDescent="0.25">
      <c r="B14" s="44" t="s">
        <v>60</v>
      </c>
      <c r="C14" s="1" t="s">
        <v>30</v>
      </c>
      <c r="D14" s="69" t="s">
        <v>32</v>
      </c>
      <c r="E14" s="114">
        <v>41002</v>
      </c>
      <c r="F14" s="4" t="s">
        <v>85</v>
      </c>
      <c r="G14" s="4">
        <v>4</v>
      </c>
      <c r="H14" s="128">
        <v>0</v>
      </c>
      <c r="I14" s="129" t="str">
        <f t="shared" ca="1" si="0"/>
        <v>9 ans</v>
      </c>
      <c r="J14" s="157" t="str">
        <f ca="1">IF(ISBLANK($B14),"",IF(AND(VALUE(LEFT($I14,1))&gt;=Paramètres!$B$5,VALUE(LEFT($I14,1))&lt;=Paramètres!$C$5),Paramètres!$D$5,IF(AND(VALUE(LEFT($I14,1))&gt;=Paramètres!$B$6,VALUE(LEFT($I14,1))&lt;=Paramètres!$C$6),Paramètres!$D$6,Paramètres!$D$7)))</f>
        <v>Monstres</v>
      </c>
      <c r="K14" s="24">
        <f ca="1">IF(ISBLANK($B14),"",IF(AND(VALUE(LEFT($I14,1))&gt;=Paramètres!$B$5,VALUE(LEFT($I14,1))&lt;=Paramètres!$C$5),Paramètres!$E$5,IF(AND(VALUE(LEFT($I14,1))&gt;=Paramètres!$B$6,VALUE(LEFT($I14,1))&lt;=Paramètres!$C$6),Paramètres!$E$6,Paramètres!$E$7)))</f>
        <v>200</v>
      </c>
      <c r="L14" s="26">
        <f>IF(ISBLANK($B14),"",VLOOKUP($F14,Paramètres!$G$3:$H$9,2,FALSE))</f>
        <v>45</v>
      </c>
      <c r="M14" s="25">
        <f t="shared" ca="1" si="1"/>
        <v>245</v>
      </c>
      <c r="N14" s="25">
        <f t="shared" ca="1" si="2"/>
        <v>980</v>
      </c>
      <c r="O14" s="6">
        <f>IF(ISBLANK($B14),"",IF($G14&lt;Paramètres!$J$3,Paramètres!$L$3,IF($G14&gt;Paramètres!$J$5,Paramètres!$L$5,Paramètres!$L$4)))</f>
        <v>0.05</v>
      </c>
      <c r="P14" s="25">
        <f t="shared" ca="1" si="3"/>
        <v>49</v>
      </c>
      <c r="Q14" s="25">
        <f t="shared" ca="1" si="4"/>
        <v>931</v>
      </c>
      <c r="R14" s="112">
        <v>35</v>
      </c>
      <c r="S14" s="58">
        <f t="shared" ca="1" si="5"/>
        <v>896</v>
      </c>
    </row>
    <row r="15" spans="2:19" x14ac:dyDescent="0.25">
      <c r="B15" s="44" t="s">
        <v>54</v>
      </c>
      <c r="C15" s="1" t="s">
        <v>19</v>
      </c>
      <c r="D15" s="69" t="s">
        <v>11</v>
      </c>
      <c r="E15" s="114">
        <v>40709</v>
      </c>
      <c r="F15" s="7" t="s">
        <v>83</v>
      </c>
      <c r="G15" s="4">
        <v>2</v>
      </c>
      <c r="H15" s="128">
        <v>2</v>
      </c>
      <c r="I15" s="129" t="str">
        <f t="shared" ca="1" si="0"/>
        <v>9 ans</v>
      </c>
      <c r="J15" s="157" t="str">
        <f ca="1">IF(ISBLANK($B15),"",IF(AND(VALUE(LEFT($I15,1))&gt;=Paramètres!$B$5,VALUE(LEFT($I15,1))&lt;=Paramètres!$C$5),Paramètres!$D$5,IF(AND(VALUE(LEFT($I15,1))&gt;=Paramètres!$B$6,VALUE(LEFT($I15,1))&lt;=Paramètres!$C$6),Paramètres!$D$6,Paramètres!$D$7)))</f>
        <v>Monstres</v>
      </c>
      <c r="K15" s="24">
        <f ca="1">IF(ISBLANK($B15),"",IF(AND(VALUE(LEFT($I15,1))&gt;=Paramètres!$B$5,VALUE(LEFT($I15,1))&lt;=Paramètres!$C$5),Paramètres!$E$5,IF(AND(VALUE(LEFT($I15,1))&gt;=Paramètres!$B$6,VALUE(LEFT($I15,1))&lt;=Paramètres!$C$6),Paramètres!$E$6,Paramètres!$E$7)))</f>
        <v>200</v>
      </c>
      <c r="L15" s="26">
        <f>IF(ISBLANK($B15),"",VLOOKUP($F15,Paramètres!$G$3:$H$9,2,FALSE))</f>
        <v>0</v>
      </c>
      <c r="M15" s="25">
        <f t="shared" ca="1" si="1"/>
        <v>200</v>
      </c>
      <c r="N15" s="25">
        <f t="shared" ca="1" si="2"/>
        <v>400</v>
      </c>
      <c r="O15" s="6">
        <f>IF(ISBLANK($B15),"",IF($G15&lt;Paramètres!$J$3,Paramètres!$L$3,IF($G15&gt;Paramètres!$J$5,Paramètres!$L$5,Paramètres!$L$4)))</f>
        <v>0.05</v>
      </c>
      <c r="P15" s="25">
        <f t="shared" ca="1" si="3"/>
        <v>20</v>
      </c>
      <c r="Q15" s="25">
        <f t="shared" ca="1" si="4"/>
        <v>380</v>
      </c>
      <c r="R15" s="112">
        <v>25</v>
      </c>
      <c r="S15" s="58">
        <f t="shared" ca="1" si="5"/>
        <v>355</v>
      </c>
    </row>
    <row r="16" spans="2:19" x14ac:dyDescent="0.25">
      <c r="B16" s="44" t="s">
        <v>55</v>
      </c>
      <c r="C16" s="1" t="s">
        <v>21</v>
      </c>
      <c r="D16" s="69" t="s">
        <v>11</v>
      </c>
      <c r="E16" s="114">
        <v>39841</v>
      </c>
      <c r="F16" s="4" t="s">
        <v>38</v>
      </c>
      <c r="G16" s="4">
        <v>1</v>
      </c>
      <c r="H16" s="128">
        <v>5</v>
      </c>
      <c r="I16" s="129" t="str">
        <f t="shared" ca="1" si="0"/>
        <v>12 ans</v>
      </c>
      <c r="J16" s="157" t="str">
        <f ca="1">IF(ISBLANK($B16),"",IF(AND(VALUE(LEFT($I16,1))&gt;=Paramètres!$B$5,VALUE(LEFT($I16,1))&lt;=Paramètres!$C$5),Paramètres!$D$5,IF(AND(VALUE(LEFT($I16,1))&gt;=Paramètres!$B$6,VALUE(LEFT($I16,1))&lt;=Paramètres!$C$6),Paramètres!$D$6,Paramètres!$D$7)))</f>
        <v>Dragons</v>
      </c>
      <c r="K16" s="24">
        <f ca="1">IF(ISBLANK($B16),"",IF(AND(VALUE(LEFT($I16,1))&gt;=Paramètres!$B$5,VALUE(LEFT($I16,1))&lt;=Paramètres!$C$5),Paramètres!$E$5,IF(AND(VALUE(LEFT($I16,1))&gt;=Paramètres!$B$6,VALUE(LEFT($I16,1))&lt;=Paramètres!$C$6),Paramètres!$E$6,Paramètres!$E$7)))</f>
        <v>225</v>
      </c>
      <c r="L16" s="26">
        <f>IF(ISBLANK($B16),"",VLOOKUP($F16,Paramètres!$G$3:$H$9,2,FALSE))</f>
        <v>10</v>
      </c>
      <c r="M16" s="25">
        <f t="shared" ca="1" si="1"/>
        <v>235</v>
      </c>
      <c r="N16" s="25">
        <f t="shared" ca="1" si="2"/>
        <v>235</v>
      </c>
      <c r="O16" s="6">
        <f>IF(ISBLANK($B16),"",IF($G16&lt;Paramètres!$J$3,Paramètres!$L$3,IF($G16&gt;Paramètres!$J$5,Paramètres!$L$5,Paramètres!$L$4)))</f>
        <v>0</v>
      </c>
      <c r="P16" s="25">
        <f t="shared" ca="1" si="3"/>
        <v>0</v>
      </c>
      <c r="Q16" s="25">
        <f t="shared" ca="1" si="4"/>
        <v>235</v>
      </c>
      <c r="R16" s="112">
        <v>50</v>
      </c>
      <c r="S16" s="58">
        <f t="shared" ca="1" si="5"/>
        <v>185</v>
      </c>
    </row>
    <row r="17" spans="2:19" x14ac:dyDescent="0.25">
      <c r="B17" s="44" t="s">
        <v>58</v>
      </c>
      <c r="C17" s="1" t="s">
        <v>18</v>
      </c>
      <c r="D17" s="69" t="s">
        <v>11</v>
      </c>
      <c r="E17" s="114">
        <v>40360</v>
      </c>
      <c r="F17" s="7" t="s">
        <v>85</v>
      </c>
      <c r="G17" s="4">
        <v>3</v>
      </c>
      <c r="H17" s="128">
        <v>4</v>
      </c>
      <c r="I17" s="129" t="str">
        <f t="shared" ca="1" si="0"/>
        <v>10 ans</v>
      </c>
      <c r="J17" s="157" t="str">
        <f ca="1">IF(ISBLANK($B17),"",IF(AND(VALUE(LEFT($I17,1))&gt;=Paramètres!$B$5,VALUE(LEFT($I17,1))&lt;=Paramètres!$C$5),Paramètres!$D$5,IF(AND(VALUE(LEFT($I17,1))&gt;=Paramètres!$B$6,VALUE(LEFT($I17,1))&lt;=Paramètres!$C$6),Paramètres!$D$6,Paramètres!$D$7)))</f>
        <v>Dragons</v>
      </c>
      <c r="K17" s="24">
        <f ca="1">IF(ISBLANK($B17),"",IF(AND(VALUE(LEFT($I17,1))&gt;=Paramètres!$B$5,VALUE(LEFT($I17,1))&lt;=Paramètres!$C$5),Paramètres!$E$5,IF(AND(VALUE(LEFT($I17,1))&gt;=Paramètres!$B$6,VALUE(LEFT($I17,1))&lt;=Paramètres!$C$6),Paramètres!$E$6,Paramètres!$E$7)))</f>
        <v>225</v>
      </c>
      <c r="L17" s="26">
        <f>IF(ISBLANK($B17),"",VLOOKUP($F17,Paramètres!$G$3:$H$9,2,FALSE))</f>
        <v>45</v>
      </c>
      <c r="M17" s="25">
        <f t="shared" ca="1" si="1"/>
        <v>270</v>
      </c>
      <c r="N17" s="25">
        <f t="shared" ca="1" si="2"/>
        <v>810</v>
      </c>
      <c r="O17" s="6">
        <f>IF(ISBLANK($B17),"",IF($G17&lt;Paramètres!$J$3,Paramètres!$L$3,IF($G17&gt;Paramètres!$J$5,Paramètres!$L$5,Paramètres!$L$4)))</f>
        <v>0.05</v>
      </c>
      <c r="P17" s="25">
        <f t="shared" ca="1" si="3"/>
        <v>40.5</v>
      </c>
      <c r="Q17" s="25">
        <f t="shared" ca="1" si="4"/>
        <v>769.5</v>
      </c>
      <c r="R17" s="112">
        <v>25</v>
      </c>
      <c r="S17" s="58">
        <f t="shared" ca="1" si="5"/>
        <v>744.5</v>
      </c>
    </row>
    <row r="18" spans="2:19" x14ac:dyDescent="0.25">
      <c r="B18" s="44" t="s">
        <v>67</v>
      </c>
      <c r="C18" s="1" t="s">
        <v>22</v>
      </c>
      <c r="D18" s="69" t="s">
        <v>32</v>
      </c>
      <c r="E18" s="114">
        <v>41299</v>
      </c>
      <c r="F18" s="7" t="s">
        <v>85</v>
      </c>
      <c r="G18" s="4">
        <v>4</v>
      </c>
      <c r="H18" s="128">
        <v>2</v>
      </c>
      <c r="I18" s="129" t="str">
        <f t="shared" ca="1" si="0"/>
        <v>8 ans</v>
      </c>
      <c r="J18" s="157" t="str">
        <f ca="1">IF(ISBLANK($B18),"",IF(AND(VALUE(LEFT($I18,1))&gt;=Paramètres!$B$5,VALUE(LEFT($I18,1))&lt;=Paramètres!$C$5),Paramètres!$D$5,IF(AND(VALUE(LEFT($I18,1))&gt;=Paramètres!$B$6,VALUE(LEFT($I18,1))&lt;=Paramètres!$C$6),Paramètres!$D$6,Paramètres!$D$7)))</f>
        <v>Monstres</v>
      </c>
      <c r="K18" s="24">
        <f ca="1">IF(ISBLANK($B18),"",IF(AND(VALUE(LEFT($I18,1))&gt;=Paramètres!$B$5,VALUE(LEFT($I18,1))&lt;=Paramètres!$C$5),Paramètres!$E$5,IF(AND(VALUE(LEFT($I18,1))&gt;=Paramètres!$B$6,VALUE(LEFT($I18,1))&lt;=Paramètres!$C$6),Paramètres!$E$6,Paramètres!$E$7)))</f>
        <v>200</v>
      </c>
      <c r="L18" s="26">
        <f>IF(ISBLANK($B18),"",VLOOKUP($F18,Paramètres!$G$3:$H$9,2,FALSE))</f>
        <v>45</v>
      </c>
      <c r="M18" s="25">
        <f t="shared" ca="1" si="1"/>
        <v>245</v>
      </c>
      <c r="N18" s="25">
        <f t="shared" ca="1" si="2"/>
        <v>980</v>
      </c>
      <c r="O18" s="6">
        <f>IF(ISBLANK($B18),"",IF($G18&lt;Paramètres!$J$3,Paramètres!$L$3,IF($G18&gt;Paramètres!$J$5,Paramètres!$L$5,Paramètres!$L$4)))</f>
        <v>0.05</v>
      </c>
      <c r="P18" s="25">
        <f t="shared" ca="1" si="3"/>
        <v>49</v>
      </c>
      <c r="Q18" s="25">
        <f t="shared" ca="1" si="4"/>
        <v>931</v>
      </c>
      <c r="R18" s="112">
        <v>40</v>
      </c>
      <c r="S18" s="58">
        <f t="shared" ca="1" si="5"/>
        <v>891</v>
      </c>
    </row>
    <row r="19" spans="2:19" x14ac:dyDescent="0.25">
      <c r="B19" s="44" t="s">
        <v>68</v>
      </c>
      <c r="C19" s="1" t="s">
        <v>17</v>
      </c>
      <c r="D19" s="69" t="s">
        <v>11</v>
      </c>
      <c r="E19" s="114">
        <v>40141</v>
      </c>
      <c r="F19" s="1" t="s">
        <v>81</v>
      </c>
      <c r="G19" s="4">
        <v>5</v>
      </c>
      <c r="H19" s="128">
        <v>1</v>
      </c>
      <c r="I19" s="129" t="str">
        <f t="shared" ca="1" si="0"/>
        <v>11 ans</v>
      </c>
      <c r="J19" s="157" t="str">
        <f ca="1">IF(ISBLANK($B19),"",IF(AND(VALUE(LEFT($I19,1))&gt;=Paramètres!$B$5,VALUE(LEFT($I19,1))&lt;=Paramètres!$C$5),Paramètres!$D$5,IF(AND(VALUE(LEFT($I19,1))&gt;=Paramètres!$B$6,VALUE(LEFT($I19,1))&lt;=Paramètres!$C$6),Paramètres!$D$6,Paramètres!$D$7)))</f>
        <v>Dragons</v>
      </c>
      <c r="K19" s="24">
        <f ca="1">IF(ISBLANK($B19),"",IF(AND(VALUE(LEFT($I19,1))&gt;=Paramètres!$B$5,VALUE(LEFT($I19,1))&lt;=Paramètres!$C$5),Paramètres!$E$5,IF(AND(VALUE(LEFT($I19,1))&gt;=Paramètres!$B$6,VALUE(LEFT($I19,1))&lt;=Paramètres!$C$6),Paramètres!$E$6,Paramètres!$E$7)))</f>
        <v>225</v>
      </c>
      <c r="L19" s="26">
        <f>IF(ISBLANK($B19),"",VLOOKUP($F19,Paramètres!$G$3:$H$9,2,FALSE))</f>
        <v>15</v>
      </c>
      <c r="M19" s="25">
        <f t="shared" ca="1" si="1"/>
        <v>240</v>
      </c>
      <c r="N19" s="25">
        <f t="shared" ca="1" si="2"/>
        <v>1200</v>
      </c>
      <c r="O19" s="6">
        <f>IF(ISBLANK($B19),"",IF($G19&lt;Paramètres!$J$3,Paramètres!$L$3,IF($G19&gt;Paramètres!$J$5,Paramètres!$L$5,Paramètres!$L$4)))</f>
        <v>0.1</v>
      </c>
      <c r="P19" s="25">
        <f t="shared" ca="1" si="3"/>
        <v>120</v>
      </c>
      <c r="Q19" s="25">
        <f t="shared" ca="1" si="4"/>
        <v>1080</v>
      </c>
      <c r="R19" s="112">
        <v>20</v>
      </c>
      <c r="S19" s="58">
        <f t="shared" ca="1" si="5"/>
        <v>1060</v>
      </c>
    </row>
    <row r="20" spans="2:19" x14ac:dyDescent="0.25">
      <c r="B20" s="44" t="s">
        <v>69</v>
      </c>
      <c r="C20" s="1" t="s">
        <v>23</v>
      </c>
      <c r="D20" s="69" t="s">
        <v>32</v>
      </c>
      <c r="E20" s="114">
        <v>40513</v>
      </c>
      <c r="F20" s="1" t="s">
        <v>82</v>
      </c>
      <c r="G20" s="4">
        <v>1</v>
      </c>
      <c r="H20" s="128">
        <v>6</v>
      </c>
      <c r="I20" s="129" t="str">
        <f t="shared" ca="1" si="0"/>
        <v>10 ans</v>
      </c>
      <c r="J20" s="157" t="str">
        <f ca="1">IF(ISBLANK($B20),"",IF(AND(VALUE(LEFT($I20,1))&gt;=Paramètres!$B$5,VALUE(LEFT($I20,1))&lt;=Paramètres!$C$5),Paramètres!$D$5,IF(AND(VALUE(LEFT($I20,1))&gt;=Paramètres!$B$6,VALUE(LEFT($I20,1))&lt;=Paramètres!$C$6),Paramètres!$D$6,Paramètres!$D$7)))</f>
        <v>Dragons</v>
      </c>
      <c r="K20" s="24">
        <f ca="1">IF(ISBLANK($B20),"",IF(AND(VALUE(LEFT($I20,1))&gt;=Paramètres!$B$5,VALUE(LEFT($I20,1))&lt;=Paramètres!$C$5),Paramètres!$E$5,IF(AND(VALUE(LEFT($I20,1))&gt;=Paramètres!$B$6,VALUE(LEFT($I20,1))&lt;=Paramètres!$C$6),Paramètres!$E$6,Paramètres!$E$7)))</f>
        <v>225</v>
      </c>
      <c r="L20" s="26">
        <f>IF(ISBLANK($B20),"",VLOOKUP($F20,Paramètres!$G$3:$H$9,2,FALSE))</f>
        <v>5</v>
      </c>
      <c r="M20" s="25">
        <f t="shared" ca="1" si="1"/>
        <v>230</v>
      </c>
      <c r="N20" s="25">
        <f t="shared" ca="1" si="2"/>
        <v>230</v>
      </c>
      <c r="O20" s="6">
        <f>IF(ISBLANK($B20),"",IF($G20&lt;Paramètres!$J$3,Paramètres!$L$3,IF($G20&gt;Paramètres!$J$5,Paramètres!$L$5,Paramètres!$L$4)))</f>
        <v>0</v>
      </c>
      <c r="P20" s="25">
        <f t="shared" ca="1" si="3"/>
        <v>0</v>
      </c>
      <c r="Q20" s="25">
        <f t="shared" ca="1" si="4"/>
        <v>230</v>
      </c>
      <c r="R20" s="113">
        <v>50</v>
      </c>
      <c r="S20" s="58">
        <f t="shared" ca="1" si="5"/>
        <v>180</v>
      </c>
    </row>
    <row r="21" spans="2:19" x14ac:dyDescent="0.25">
      <c r="B21" s="44" t="s">
        <v>53</v>
      </c>
      <c r="C21" s="1" t="s">
        <v>24</v>
      </c>
      <c r="D21" s="69" t="s">
        <v>32</v>
      </c>
      <c r="E21" s="114">
        <v>41996</v>
      </c>
      <c r="F21" s="7" t="s">
        <v>83</v>
      </c>
      <c r="G21" s="4">
        <v>2</v>
      </c>
      <c r="H21" s="128">
        <v>0</v>
      </c>
      <c r="I21" s="129" t="str">
        <f t="shared" ca="1" si="0"/>
        <v>6 ans</v>
      </c>
      <c r="J21" s="157" t="str">
        <f ca="1">IF(ISBLANK($B21),"",IF(AND(VALUE(LEFT($I21,1))&gt;=Paramètres!$B$5,VALUE(LEFT($I21,1))&lt;=Paramètres!$C$5),Paramètres!$D$5,IF(AND(VALUE(LEFT($I21,1))&gt;=Paramètres!$B$6,VALUE(LEFT($I21,1))&lt;=Paramètres!$C$6),Paramètres!$D$6,Paramètres!$D$7)))</f>
        <v>Licornes</v>
      </c>
      <c r="K21" s="24">
        <f ca="1">IF(ISBLANK($B21),"",IF(AND(VALUE(LEFT($I21,1))&gt;=Paramètres!$B$5,VALUE(LEFT($I21,1))&lt;=Paramètres!$C$5),Paramètres!$E$5,IF(AND(VALUE(LEFT($I21,1))&gt;=Paramètres!$B$6,VALUE(LEFT($I21,1))&lt;=Paramètres!$C$6),Paramètres!$E$6,Paramètres!$E$7)))</f>
        <v>175</v>
      </c>
      <c r="L21" s="26">
        <f>IF(ISBLANK($B21),"",VLOOKUP($F21,Paramètres!$G$3:$H$9,2,FALSE))</f>
        <v>0</v>
      </c>
      <c r="M21" s="25">
        <f t="shared" ca="1" si="1"/>
        <v>175</v>
      </c>
      <c r="N21" s="25">
        <f t="shared" ca="1" si="2"/>
        <v>350</v>
      </c>
      <c r="O21" s="6">
        <f>IF(ISBLANK($B21),"",IF($G21&lt;Paramètres!$J$3,Paramètres!$L$3,IF($G21&gt;Paramètres!$J$5,Paramètres!$L$5,Paramètres!$L$4)))</f>
        <v>0.05</v>
      </c>
      <c r="P21" s="25">
        <f t="shared" ca="1" si="3"/>
        <v>17.5</v>
      </c>
      <c r="Q21" s="25">
        <f t="shared" ca="1" si="4"/>
        <v>332.5</v>
      </c>
      <c r="R21" s="112">
        <v>35</v>
      </c>
      <c r="S21" s="58">
        <f t="shared" ca="1" si="5"/>
        <v>297.5</v>
      </c>
    </row>
    <row r="22" spans="2:19" x14ac:dyDescent="0.25">
      <c r="B22" s="44" t="s">
        <v>57</v>
      </c>
      <c r="C22" s="1" t="s">
        <v>28</v>
      </c>
      <c r="D22" s="69" t="s">
        <v>32</v>
      </c>
      <c r="E22" s="114">
        <v>39670</v>
      </c>
      <c r="F22" s="1" t="s">
        <v>39</v>
      </c>
      <c r="G22" s="4">
        <v>3</v>
      </c>
      <c r="H22" s="128">
        <v>5</v>
      </c>
      <c r="I22" s="129" t="str">
        <f t="shared" ca="1" si="0"/>
        <v>12 ans</v>
      </c>
      <c r="J22" s="157" t="str">
        <f ca="1">IF(ISBLANK($B22),"",IF(AND(VALUE(LEFT($I22,1))&gt;=Paramètres!$B$5,VALUE(LEFT($I22,1))&lt;=Paramètres!$C$5),Paramètres!$D$5,IF(AND(VALUE(LEFT($I22,1))&gt;=Paramètres!$B$6,VALUE(LEFT($I22,1))&lt;=Paramètres!$C$6),Paramètres!$D$6,Paramètres!$D$7)))</f>
        <v>Dragons</v>
      </c>
      <c r="K22" s="24">
        <f ca="1">IF(ISBLANK($B22),"",IF(AND(VALUE(LEFT($I22,1))&gt;=Paramètres!$B$5,VALUE(LEFT($I22,1))&lt;=Paramètres!$C$5),Paramètres!$E$5,IF(AND(VALUE(LEFT($I22,1))&gt;=Paramètres!$B$6,VALUE(LEFT($I22,1))&lt;=Paramètres!$C$6),Paramètres!$E$6,Paramètres!$E$7)))</f>
        <v>225</v>
      </c>
      <c r="L22" s="26">
        <f>IF(ISBLANK($B22),"",VLOOKUP($F22,Paramètres!$G$3:$H$9,2,FALSE))</f>
        <v>10</v>
      </c>
      <c r="M22" s="25">
        <f t="shared" ca="1" si="1"/>
        <v>235</v>
      </c>
      <c r="N22" s="25">
        <f t="shared" ca="1" si="2"/>
        <v>705</v>
      </c>
      <c r="O22" s="6">
        <f>IF(ISBLANK($B22),"",IF($G22&lt;Paramètres!$J$3,Paramètres!$L$3,IF($G22&gt;Paramètres!$J$5,Paramètres!$L$5,Paramètres!$L$4)))</f>
        <v>0.05</v>
      </c>
      <c r="P22" s="25">
        <f t="shared" ca="1" si="3"/>
        <v>35.25</v>
      </c>
      <c r="Q22" s="25">
        <f t="shared" ca="1" si="4"/>
        <v>669.75</v>
      </c>
      <c r="R22" s="112">
        <v>50</v>
      </c>
      <c r="S22" s="58">
        <f t="shared" ca="1" si="5"/>
        <v>619.75</v>
      </c>
    </row>
    <row r="23" spans="2:19" x14ac:dyDescent="0.25">
      <c r="B23" s="44" t="s">
        <v>62</v>
      </c>
      <c r="C23" s="1" t="s">
        <v>26</v>
      </c>
      <c r="D23" s="69" t="s">
        <v>32</v>
      </c>
      <c r="E23" s="114">
        <v>41428</v>
      </c>
      <c r="F23" s="7" t="s">
        <v>82</v>
      </c>
      <c r="G23" s="4">
        <v>5</v>
      </c>
      <c r="H23" s="128">
        <v>0</v>
      </c>
      <c r="I23" s="129" t="str">
        <f t="shared" ca="1" si="0"/>
        <v>7 ans</v>
      </c>
      <c r="J23" s="157" t="str">
        <f ca="1">IF(ISBLANK($B23),"",IF(AND(VALUE(LEFT($I23,1))&gt;=Paramètres!$B$5,VALUE(LEFT($I23,1))&lt;=Paramètres!$C$5),Paramètres!$D$5,IF(AND(VALUE(LEFT($I23,1))&gt;=Paramètres!$B$6,VALUE(LEFT($I23,1))&lt;=Paramètres!$C$6),Paramètres!$D$6,Paramètres!$D$7)))</f>
        <v>Licornes</v>
      </c>
      <c r="K23" s="24">
        <f ca="1">IF(ISBLANK($B23),"",IF(AND(VALUE(LEFT($I23,1))&gt;=Paramètres!$B$5,VALUE(LEFT($I23,1))&lt;=Paramètres!$C$5),Paramètres!$E$5,IF(AND(VALUE(LEFT($I23,1))&gt;=Paramètres!$B$6,VALUE(LEFT($I23,1))&lt;=Paramètres!$C$6),Paramètres!$E$6,Paramètres!$E$7)))</f>
        <v>175</v>
      </c>
      <c r="L23" s="26">
        <f>IF(ISBLANK($B23),"",VLOOKUP($F23,Paramètres!$G$3:$H$9,2,FALSE))</f>
        <v>5</v>
      </c>
      <c r="M23" s="25">
        <f t="shared" ca="1" si="1"/>
        <v>180</v>
      </c>
      <c r="N23" s="25">
        <f t="shared" ca="1" si="2"/>
        <v>900</v>
      </c>
      <c r="O23" s="6">
        <f>IF(ISBLANK($B23),"",IF($G23&lt;Paramètres!$J$3,Paramètres!$L$3,IF($G23&gt;Paramètres!$J$5,Paramètres!$L$5,Paramètres!$L$4)))</f>
        <v>0.1</v>
      </c>
      <c r="P23" s="25">
        <f t="shared" ca="1" si="3"/>
        <v>90</v>
      </c>
      <c r="Q23" s="25">
        <f t="shared" ca="1" si="4"/>
        <v>810</v>
      </c>
      <c r="R23" s="112">
        <v>200</v>
      </c>
      <c r="S23" s="58">
        <f t="shared" ca="1" si="5"/>
        <v>610</v>
      </c>
    </row>
    <row r="24" spans="2:19" x14ac:dyDescent="0.25">
      <c r="B24" s="44" t="s">
        <v>56</v>
      </c>
      <c r="C24" s="1" t="s">
        <v>27</v>
      </c>
      <c r="D24" s="69" t="s">
        <v>32</v>
      </c>
      <c r="E24" s="114">
        <v>39827</v>
      </c>
      <c r="F24" s="7" t="s">
        <v>84</v>
      </c>
      <c r="G24" s="4">
        <v>6</v>
      </c>
      <c r="H24" s="128">
        <v>4</v>
      </c>
      <c r="I24" s="129" t="str">
        <f t="shared" ca="1" si="0"/>
        <v>12 ans</v>
      </c>
      <c r="J24" s="157" t="str">
        <f ca="1">IF(ISBLANK($B24),"",IF(AND(VALUE(LEFT($I24,1))&gt;=Paramètres!$B$5,VALUE(LEFT($I24,1))&lt;=Paramètres!$C$5),Paramètres!$D$5,IF(AND(VALUE(LEFT($I24,1))&gt;=Paramètres!$B$6,VALUE(LEFT($I24,1))&lt;=Paramètres!$C$6),Paramètres!$D$6,Paramètres!$D$7)))</f>
        <v>Dragons</v>
      </c>
      <c r="K24" s="24">
        <f ca="1">IF(ISBLANK($B24),"",IF(AND(VALUE(LEFT($I24,1))&gt;=Paramètres!$B$5,VALUE(LEFT($I24,1))&lt;=Paramètres!$C$5),Paramètres!$E$5,IF(AND(VALUE(LEFT($I24,1))&gt;=Paramètres!$B$6,VALUE(LEFT($I24,1))&lt;=Paramètres!$C$6),Paramètres!$E$6,Paramètres!$E$7)))</f>
        <v>225</v>
      </c>
      <c r="L24" s="26">
        <f>IF(ISBLANK($B24),"",VLOOKUP($F24,Paramètres!$G$3:$H$9,2,FALSE))</f>
        <v>0</v>
      </c>
      <c r="M24" s="25">
        <f t="shared" ca="1" si="1"/>
        <v>225</v>
      </c>
      <c r="N24" s="25">
        <f t="shared" ca="1" si="2"/>
        <v>1350</v>
      </c>
      <c r="O24" s="6">
        <f>IF(ISBLANK($B24),"",IF($G24&lt;Paramètres!$J$3,Paramètres!$L$3,IF($G24&gt;Paramètres!$J$5,Paramètres!$L$5,Paramètres!$L$4)))</f>
        <v>0.1</v>
      </c>
      <c r="P24" s="25">
        <f t="shared" ca="1" si="3"/>
        <v>135</v>
      </c>
      <c r="Q24" s="25">
        <f t="shared" ca="1" si="4"/>
        <v>1215</v>
      </c>
      <c r="R24" s="112">
        <v>25</v>
      </c>
      <c r="S24" s="58">
        <f t="shared" ca="1" si="5"/>
        <v>1190</v>
      </c>
    </row>
    <row r="25" spans="2:19" x14ac:dyDescent="0.25">
      <c r="B25" s="44" t="s">
        <v>61</v>
      </c>
      <c r="C25" s="1" t="s">
        <v>20</v>
      </c>
      <c r="D25" s="69" t="s">
        <v>11</v>
      </c>
      <c r="E25" s="114">
        <v>40793</v>
      </c>
      <c r="F25" s="4" t="s">
        <v>83</v>
      </c>
      <c r="G25" s="4">
        <v>2</v>
      </c>
      <c r="H25" s="128">
        <v>3</v>
      </c>
      <c r="I25" s="129" t="str">
        <f t="shared" ca="1" si="0"/>
        <v>9 ans</v>
      </c>
      <c r="J25" s="157" t="str">
        <f ca="1">IF(ISBLANK($B25),"",IF(AND(VALUE(LEFT($I25,1))&gt;=Paramètres!$B$5,VALUE(LEFT($I25,1))&lt;=Paramètres!$C$5),Paramètres!$D$5,IF(AND(VALUE(LEFT($I25,1))&gt;=Paramètres!$B$6,VALUE(LEFT($I25,1))&lt;=Paramètres!$C$6),Paramètres!$D$6,Paramètres!$D$7)))</f>
        <v>Monstres</v>
      </c>
      <c r="K25" s="24">
        <f ca="1">IF(ISBLANK($B25),"",IF(AND(VALUE(LEFT($I25,1))&gt;=Paramètres!$B$5,VALUE(LEFT($I25,1))&lt;=Paramètres!$C$5),Paramètres!$E$5,IF(AND(VALUE(LEFT($I25,1))&gt;=Paramètres!$B$6,VALUE(LEFT($I25,1))&lt;=Paramètres!$C$6),Paramètres!$E$6,Paramètres!$E$7)))</f>
        <v>200</v>
      </c>
      <c r="L25" s="26">
        <f>IF(ISBLANK($B25),"",VLOOKUP($F25,Paramètres!$G$3:$H$9,2,FALSE))</f>
        <v>0</v>
      </c>
      <c r="M25" s="25">
        <f t="shared" ca="1" si="1"/>
        <v>200</v>
      </c>
      <c r="N25" s="25">
        <f t="shared" ca="1" si="2"/>
        <v>400</v>
      </c>
      <c r="O25" s="6">
        <f>IF(ISBLANK($B25),"",IF($G25&lt;Paramètres!$J$3,Paramètres!$L$3,IF($G25&gt;Paramètres!$J$5,Paramètres!$L$5,Paramètres!$L$4)))</f>
        <v>0.05</v>
      </c>
      <c r="P25" s="25">
        <f t="shared" ca="1" si="3"/>
        <v>20</v>
      </c>
      <c r="Q25" s="25">
        <f t="shared" ca="1" si="4"/>
        <v>380</v>
      </c>
      <c r="R25" s="112">
        <v>30</v>
      </c>
      <c r="S25" s="58">
        <f t="shared" ca="1" si="5"/>
        <v>350</v>
      </c>
    </row>
    <row r="26" spans="2:19" x14ac:dyDescent="0.25">
      <c r="B26" s="44" t="s">
        <v>56</v>
      </c>
      <c r="C26" s="1" t="s">
        <v>29</v>
      </c>
      <c r="D26" s="69" t="s">
        <v>32</v>
      </c>
      <c r="E26" s="114">
        <v>39338</v>
      </c>
      <c r="F26" s="7" t="s">
        <v>38</v>
      </c>
      <c r="G26" s="4">
        <v>1</v>
      </c>
      <c r="H26" s="128">
        <v>4</v>
      </c>
      <c r="I26" s="129" t="str">
        <f t="shared" ca="1" si="0"/>
        <v>13 ans</v>
      </c>
      <c r="J26" s="157" t="str">
        <f ca="1">IF(ISBLANK($B26),"",IF(AND(VALUE(LEFT($I26,1))&gt;=Paramètres!$B$5,VALUE(LEFT($I26,1))&lt;=Paramètres!$C$5),Paramètres!$D$5,IF(AND(VALUE(LEFT($I26,1))&gt;=Paramètres!$B$6,VALUE(LEFT($I26,1))&lt;=Paramètres!$C$6),Paramètres!$D$6,Paramètres!$D$7)))</f>
        <v>Dragons</v>
      </c>
      <c r="K26" s="24">
        <f ca="1">IF(ISBLANK($B26),"",IF(AND(VALUE(LEFT($I26,1))&gt;=Paramètres!$B$5,VALUE(LEFT($I26,1))&lt;=Paramètres!$C$5),Paramètres!$E$5,IF(AND(VALUE(LEFT($I26,1))&gt;=Paramètres!$B$6,VALUE(LEFT($I26,1))&lt;=Paramètres!$C$6),Paramètres!$E$6,Paramètres!$E$7)))</f>
        <v>225</v>
      </c>
      <c r="L26" s="26">
        <f>IF(ISBLANK($B26),"",VLOOKUP($F26,Paramètres!$G$3:$H$9,2,FALSE))</f>
        <v>10</v>
      </c>
      <c r="M26" s="25">
        <f t="shared" ca="1" si="1"/>
        <v>235</v>
      </c>
      <c r="N26" s="25">
        <f t="shared" ca="1" si="2"/>
        <v>235</v>
      </c>
      <c r="O26" s="6">
        <f>IF(ISBLANK($B26),"",IF($G26&lt;Paramètres!$J$3,Paramètres!$L$3,IF($G26&gt;Paramètres!$J$5,Paramètres!$L$5,Paramètres!$L$4)))</f>
        <v>0</v>
      </c>
      <c r="P26" s="25">
        <f t="shared" ca="1" si="3"/>
        <v>0</v>
      </c>
      <c r="Q26" s="25">
        <f t="shared" ca="1" si="4"/>
        <v>235</v>
      </c>
      <c r="R26" s="112">
        <v>100</v>
      </c>
      <c r="S26" s="58">
        <f t="shared" ca="1" si="5"/>
        <v>135</v>
      </c>
    </row>
    <row r="27" spans="2:19" x14ac:dyDescent="0.25">
      <c r="B27" s="45" t="s">
        <v>98</v>
      </c>
      <c r="C27" s="12" t="s">
        <v>14</v>
      </c>
      <c r="D27" s="69" t="s">
        <v>32</v>
      </c>
      <c r="E27" s="115">
        <v>41072</v>
      </c>
      <c r="F27" s="1" t="s">
        <v>38</v>
      </c>
      <c r="G27" s="1">
        <v>3</v>
      </c>
      <c r="H27" s="130">
        <v>1</v>
      </c>
      <c r="I27" s="129" t="str">
        <f t="shared" ca="1" si="0"/>
        <v>8 ans</v>
      </c>
      <c r="J27" s="157" t="str">
        <f ca="1">IF(ISBLANK($B27),"",IF(AND(VALUE(LEFT($I27,1))&gt;=Paramètres!$B$5,VALUE(LEFT($I27,1))&lt;=Paramètres!$C$5),Paramètres!$D$5,IF(AND(VALUE(LEFT($I27,1))&gt;=Paramètres!$B$6,VALUE(LEFT($I27,1))&lt;=Paramètres!$C$6),Paramètres!$D$6,Paramètres!$D$7)))</f>
        <v>Monstres</v>
      </c>
      <c r="K27" s="24">
        <f ca="1">IF(ISBLANK($B27),"",IF(AND(VALUE(LEFT($I27,1))&gt;=Paramètres!$B$5,VALUE(LEFT($I27,1))&lt;=Paramètres!$C$5),Paramètres!$E$5,IF(AND(VALUE(LEFT($I27,1))&gt;=Paramètres!$B$6,VALUE(LEFT($I27,1))&lt;=Paramètres!$C$6),Paramètres!$E$6,Paramètres!$E$7)))</f>
        <v>200</v>
      </c>
      <c r="L27" s="26">
        <f>IF(ISBLANK($B27),"",VLOOKUP($F27,Paramètres!$G$3:$H$9,2,FALSE))</f>
        <v>10</v>
      </c>
      <c r="M27" s="25">
        <f t="shared" ca="1" si="1"/>
        <v>210</v>
      </c>
      <c r="N27" s="25">
        <f t="shared" ca="1" si="2"/>
        <v>630</v>
      </c>
      <c r="O27" s="6">
        <f>IF(ISBLANK($B27),"",IF($G27&lt;Paramètres!$J$3,Paramètres!$L$3,IF($G27&gt;Paramètres!$J$5,Paramètres!$L$5,Paramètres!$L$4)))</f>
        <v>0.05</v>
      </c>
      <c r="P27" s="25">
        <f t="shared" ca="1" si="3"/>
        <v>31.5</v>
      </c>
      <c r="Q27" s="25">
        <f t="shared" ca="1" si="4"/>
        <v>598.5</v>
      </c>
      <c r="R27" s="66">
        <v>50</v>
      </c>
      <c r="S27" s="58">
        <f t="shared" ca="1" si="5"/>
        <v>548.5</v>
      </c>
    </row>
    <row r="28" spans="2:19" x14ac:dyDescent="0.25">
      <c r="B28" s="45"/>
      <c r="C28" s="3"/>
      <c r="D28" s="69"/>
      <c r="E28" s="3"/>
      <c r="F28" s="3"/>
      <c r="G28" s="3"/>
      <c r="H28" s="128"/>
      <c r="I28" s="129" t="str">
        <f t="shared" si="0"/>
        <v/>
      </c>
      <c r="J28" s="157" t="str">
        <f>IF(ISBLANK($B28),"",IF(AND(VALUE(LEFT($I28,1))&gt;=Paramètres!$B$5,VALUE(LEFT($I28,1))&lt;=Paramètres!$C$5),Paramètres!$D$5,IF(AND(VALUE(LEFT($I28,1))&gt;=Paramètres!$B$6,VALUE(LEFT($I28,1))&lt;=Paramètres!$C$6),Paramètres!$D$6,Paramètres!$D$7)))</f>
        <v/>
      </c>
      <c r="K28" s="24" t="str">
        <f>IF(ISBLANK($B28),"",IF(AND(VALUE(LEFT($I28,1))&gt;=Paramètres!$B$5,VALUE(LEFT($I28,1))&lt;=Paramètres!$C$5),Paramètres!$E$5,IF(AND(VALUE(LEFT($I28,1))&gt;=Paramètres!$B$6,VALUE(LEFT($I28,1))&lt;=Paramètres!$C$6),Paramètres!$E$6,Paramètres!$E$7)))</f>
        <v/>
      </c>
      <c r="L28" s="26" t="str">
        <f>IF(ISBLANK($B28),"",VLOOKUP($F28,Paramètres!$G$3:$H$9,2,FALSE))</f>
        <v/>
      </c>
      <c r="M28" s="25" t="str">
        <f t="shared" si="1"/>
        <v/>
      </c>
      <c r="N28" s="25" t="str">
        <f t="shared" si="2"/>
        <v/>
      </c>
      <c r="O28" s="6" t="str">
        <f>IF(ISBLANK($B28),"",IF($G28&lt;Paramètres!$J$3,Paramètres!$L$3,IF($G28&gt;Paramètres!$J$5,Paramètres!$L$5,Paramètres!$L$4)))</f>
        <v/>
      </c>
      <c r="P28" s="25" t="str">
        <f t="shared" si="3"/>
        <v/>
      </c>
      <c r="Q28" s="25" t="str">
        <f t="shared" si="4"/>
        <v/>
      </c>
      <c r="R28" s="67"/>
      <c r="S28" s="58" t="str">
        <f t="shared" si="5"/>
        <v/>
      </c>
    </row>
    <row r="29" spans="2:19" x14ac:dyDescent="0.25">
      <c r="B29" s="45"/>
      <c r="C29" s="3"/>
      <c r="D29" s="69"/>
      <c r="E29" s="3"/>
      <c r="F29" s="3"/>
      <c r="G29" s="13"/>
      <c r="H29" s="128"/>
      <c r="I29" s="129" t="str">
        <f t="shared" si="0"/>
        <v/>
      </c>
      <c r="J29" s="157" t="str">
        <f>IF(ISBLANK($B29),"",IF(AND(VALUE(LEFT($I29,1))&gt;=Paramètres!$B$5,VALUE(LEFT($I29,1))&lt;=Paramètres!$C$5),Paramètres!$D$5,IF(AND(VALUE(LEFT($I29,1))&gt;=Paramètres!$B$6,VALUE(LEFT($I29,1))&lt;=Paramètres!$C$6),Paramètres!$D$6,Paramètres!$D$7)))</f>
        <v/>
      </c>
      <c r="K29" s="24" t="str">
        <f>IF(ISBLANK($B29),"",IF(AND(VALUE(LEFT($I29,1))&gt;=Paramètres!$B$5,VALUE(LEFT($I29,1))&lt;=Paramètres!$C$5),Paramètres!$E$5,IF(AND(VALUE(LEFT($I29,1))&gt;=Paramètres!$B$6,VALUE(LEFT($I29,1))&lt;=Paramètres!$C$6),Paramètres!$E$6,Paramètres!$E$7)))</f>
        <v/>
      </c>
      <c r="L29" s="26" t="str">
        <f>IF(ISBLANK($B29),"",VLOOKUP($F29,Paramètres!$G$3:$H$9,2,FALSE))</f>
        <v/>
      </c>
      <c r="M29" s="25" t="str">
        <f t="shared" si="1"/>
        <v/>
      </c>
      <c r="N29" s="25" t="str">
        <f t="shared" si="2"/>
        <v/>
      </c>
      <c r="O29" s="6" t="str">
        <f>IF(ISBLANK($B29),"",IF($G29&lt;Paramètres!$J$3,Paramètres!$L$3,IF($G29&gt;Paramètres!$J$5,Paramètres!$L$5,Paramètres!$L$4)))</f>
        <v/>
      </c>
      <c r="P29" s="25" t="str">
        <f t="shared" si="3"/>
        <v/>
      </c>
      <c r="Q29" s="25" t="str">
        <f t="shared" si="4"/>
        <v/>
      </c>
      <c r="R29" s="67"/>
      <c r="S29" s="58" t="str">
        <f t="shared" si="5"/>
        <v/>
      </c>
    </row>
    <row r="30" spans="2:19" ht="15.75" thickBot="1" x14ac:dyDescent="0.3">
      <c r="B30" s="59"/>
      <c r="C30" s="60"/>
      <c r="D30" s="70"/>
      <c r="E30" s="60"/>
      <c r="F30" s="60"/>
      <c r="G30" s="61"/>
      <c r="H30" s="131"/>
      <c r="I30" s="132" t="str">
        <f t="shared" si="0"/>
        <v/>
      </c>
      <c r="J30" s="158" t="str">
        <f>IF(ISBLANK($B30),"",IF(AND(VALUE(LEFT($I30,1))&gt;=Paramètres!$B$5,VALUE(LEFT($I30,1))&lt;=Paramètres!$C$5),Paramètres!$D$5,IF(AND(VALUE(LEFT($I30,1))&gt;=Paramètres!$B$6,VALUE(LEFT($I30,1))&lt;=Paramètres!$C$6),Paramètres!$D$6,Paramètres!$D$7)))</f>
        <v/>
      </c>
      <c r="K30" s="62" t="str">
        <f>IF(ISBLANK($B30),"",IF(AND(VALUE(LEFT($I30,1))&gt;=Paramètres!$B$5,VALUE(LEFT($I30,1))&lt;=Paramètres!$C$5),Paramètres!$E$5,IF(AND(VALUE(LEFT($I30,1))&gt;=Paramètres!$B$6,VALUE(LEFT($I30,1))&lt;=Paramètres!$C$6),Paramètres!$E$6,Paramètres!$E$7)))</f>
        <v/>
      </c>
      <c r="L30" s="159" t="str">
        <f>IF(ISBLANK($B30),"",VLOOKUP($F30,Paramètres!$G$3:$H$9,2,FALSE))</f>
        <v/>
      </c>
      <c r="M30" s="63" t="str">
        <f t="shared" si="1"/>
        <v/>
      </c>
      <c r="N30" s="63" t="str">
        <f t="shared" si="2"/>
        <v/>
      </c>
      <c r="O30" s="64" t="str">
        <f>IF(ISBLANK($B30),"",IF($G30&lt;Paramètres!$J$3,Paramètres!$L$3,IF($G30&gt;Paramètres!$J$5,Paramètres!$L$5,Paramètres!$L$4)))</f>
        <v/>
      </c>
      <c r="P30" s="63" t="str">
        <f t="shared" si="3"/>
        <v/>
      </c>
      <c r="Q30" s="63" t="str">
        <f t="shared" si="4"/>
        <v/>
      </c>
      <c r="R30" s="68"/>
      <c r="S30" s="65" t="str">
        <f t="shared" si="5"/>
        <v/>
      </c>
    </row>
    <row r="31" spans="2:19" x14ac:dyDescent="0.25">
      <c r="O31" s="2"/>
      <c r="P31" s="2"/>
    </row>
    <row r="32" spans="2:19" x14ac:dyDescent="0.25">
      <c r="M32" s="14"/>
    </row>
    <row r="33" spans="2:5" ht="15" customHeight="1" x14ac:dyDescent="0.25"/>
    <row r="34" spans="2:5" ht="15" customHeight="1" x14ac:dyDescent="0.25"/>
    <row r="35" spans="2:5" ht="15" customHeight="1" x14ac:dyDescent="0.25"/>
    <row r="36" spans="2:5" ht="15" customHeight="1" x14ac:dyDescent="0.25">
      <c r="B36" s="86"/>
      <c r="C36" s="18"/>
      <c r="D36" s="18"/>
      <c r="E36" s="17"/>
    </row>
    <row r="37" spans="2:5" x14ac:dyDescent="0.25">
      <c r="B37" s="86"/>
      <c r="C37" s="15"/>
      <c r="D37" s="16"/>
      <c r="E37" s="17"/>
    </row>
  </sheetData>
  <sheetProtection selectLockedCells="1"/>
  <dataValidations count="2">
    <dataValidation type="whole" errorStyle="warning" operator="lessThanOrEqual" allowBlank="1" showInputMessage="1" showErrorMessage="1" errorTitle="Condition non remplie" error="Le nombre d'inscriptions consécutives doit être inferieur ou égal à 6." sqref="H6:H30" xr:uid="{C00B3648-3AB7-4228-848F-F617F47BB722}">
      <formula1>6</formula1>
    </dataValidation>
    <dataValidation type="whole" allowBlank="1" showInputMessage="1" showErrorMessage="1" errorTitle="Arrêt" error="Le nombre de semaine doit être entre 1 et 6." sqref="G6:G30" xr:uid="{33B772AF-A18F-4B47-82BA-F1C169003682}">
      <formula1>1</formula1>
      <formula2>6</formula2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5" scale="65" orientation="landscape" r:id="rId1"/>
  <headerFooter>
    <oddHeader>&amp;L&amp;D&amp;ROlivier Bourgault</oddHeader>
    <oddFooter xml:space="preserve">&amp;LCamp Loisirs Montcalm - 2021&amp;RPage &amp;P de &amp;N 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AB6600-DC29-4EE1-887D-8D2EF9653C90}">
          <x14:formula1>
            <xm:f>Paramètres!$G$3:$G$9</xm:f>
          </x14:formula1>
          <xm:sqref>F6:F30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8731-1FD7-4618-AD28-5129183F4DE0}">
  <sheetPr filterMode="1">
    <pageSetUpPr fitToPage="1"/>
  </sheetPr>
  <dimension ref="B1:S37"/>
  <sheetViews>
    <sheetView view="pageLayout" zoomScale="85" zoomScaleNormal="90" zoomScalePageLayoutView="85" workbookViewId="0">
      <selection activeCell="H52" sqref="H52"/>
    </sheetView>
  </sheetViews>
  <sheetFormatPr baseColWidth="10" defaultRowHeight="15" x14ac:dyDescent="0.25"/>
  <cols>
    <col min="1" max="1" width="4.28515625" customWidth="1"/>
    <col min="2" max="3" width="22.5703125" customWidth="1"/>
    <col min="4" max="4" width="14" customWidth="1"/>
    <col min="5" max="5" width="13.140625" customWidth="1"/>
    <col min="7" max="7" width="9.5703125" customWidth="1"/>
    <col min="8" max="8" width="13.5703125" bestFit="1" customWidth="1"/>
    <col min="9" max="9" width="12.7109375" customWidth="1"/>
    <col min="10" max="10" width="13.140625" customWidth="1"/>
    <col min="11" max="11" width="12.7109375" customWidth="1"/>
    <col min="12" max="12" width="12.5703125" customWidth="1"/>
    <col min="13" max="13" width="12" bestFit="1" customWidth="1"/>
    <col min="14" max="14" width="11.85546875" bestFit="1" customWidth="1"/>
    <col min="15" max="15" width="9" customWidth="1"/>
    <col min="16" max="16" width="13.140625" customWidth="1"/>
    <col min="17" max="17" width="13.140625" bestFit="1" customWidth="1"/>
    <col min="19" max="19" width="11.85546875" bestFit="1" customWidth="1"/>
  </cols>
  <sheetData>
    <row r="1" spans="2:19" ht="45.75" customHeight="1" x14ac:dyDescent="0.25">
      <c r="B1" s="27" t="str">
        <f ca="1">"Camp de Vacances Loisirs Montcalm "&amp;YEAR($C$2)</f>
        <v>Camp de Vacances Loisirs Montcalm 2021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</row>
    <row r="2" spans="2:19" ht="21.75" customHeight="1" thickBot="1" x14ac:dyDescent="0.3">
      <c r="B2" s="30" t="s">
        <v>7</v>
      </c>
      <c r="C2" s="155">
        <f ca="1">TODAY()</f>
        <v>44344</v>
      </c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2:19" ht="12" customHeight="1" thickBot="1" x14ac:dyDescent="0.3">
      <c r="B3" s="34"/>
      <c r="C3" s="35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8"/>
    </row>
    <row r="4" spans="2:19" ht="28.5" customHeight="1" thickBot="1" x14ac:dyDescent="0.3">
      <c r="B4" s="39" t="s">
        <v>89</v>
      </c>
      <c r="C4" s="40"/>
      <c r="D4" s="40"/>
      <c r="E4" s="41"/>
      <c r="F4" s="42"/>
      <c r="G4" s="42"/>
      <c r="H4" s="133"/>
      <c r="I4" s="134" t="s">
        <v>90</v>
      </c>
      <c r="J4" s="43"/>
      <c r="K4" s="43"/>
      <c r="L4" s="43"/>
      <c r="M4" s="43"/>
      <c r="N4" s="43"/>
      <c r="O4" s="43"/>
      <c r="P4" s="43"/>
      <c r="Q4" s="43"/>
      <c r="R4" s="133"/>
      <c r="S4" s="134" t="s">
        <v>92</v>
      </c>
    </row>
    <row r="5" spans="2:19" ht="45" x14ac:dyDescent="0.25">
      <c r="B5" s="46" t="s">
        <v>0</v>
      </c>
      <c r="C5" s="47" t="s">
        <v>1</v>
      </c>
      <c r="D5" s="47" t="s">
        <v>10</v>
      </c>
      <c r="E5" s="48" t="s">
        <v>2</v>
      </c>
      <c r="F5" s="47" t="s">
        <v>33</v>
      </c>
      <c r="G5" s="48" t="s">
        <v>5</v>
      </c>
      <c r="H5" s="125" t="s">
        <v>44</v>
      </c>
      <c r="I5" s="126" t="s">
        <v>3</v>
      </c>
      <c r="J5" s="47" t="s">
        <v>4</v>
      </c>
      <c r="K5" s="48" t="s">
        <v>76</v>
      </c>
      <c r="L5" s="48" t="s">
        <v>88</v>
      </c>
      <c r="M5" s="48" t="s">
        <v>86</v>
      </c>
      <c r="N5" s="47" t="s">
        <v>77</v>
      </c>
      <c r="O5" s="48" t="s">
        <v>71</v>
      </c>
      <c r="P5" s="48" t="s">
        <v>40</v>
      </c>
      <c r="Q5" s="48" t="s">
        <v>31</v>
      </c>
      <c r="R5" s="48" t="s">
        <v>6</v>
      </c>
      <c r="S5" s="49" t="s">
        <v>70</v>
      </c>
    </row>
    <row r="6" spans="2:19" hidden="1" x14ac:dyDescent="0.25">
      <c r="B6" s="50" t="s">
        <v>64</v>
      </c>
      <c r="C6" s="51" t="s">
        <v>8</v>
      </c>
      <c r="D6" s="69" t="s">
        <v>11</v>
      </c>
      <c r="E6" s="52">
        <v>41847</v>
      </c>
      <c r="F6" s="53" t="s">
        <v>81</v>
      </c>
      <c r="G6" s="51">
        <v>2</v>
      </c>
      <c r="H6" s="127">
        <v>0</v>
      </c>
      <c r="I6" s="156" t="str">
        <f ca="1">IF(ISBLANK($B6),"",_xlfn.CONCAT(INT(($C$2-$E6)/365.25)," ans"))</f>
        <v>6 ans</v>
      </c>
      <c r="J6" s="157" t="str">
        <f ca="1">IF(ISBLANK($B6),"",IF(AND(VALUE(LEFT($I6,1))&gt;=Paramètres!$B$5,VALUE(LEFT($I6,1))&lt;=Paramètres!$C$5),Paramètres!$D$5,IF(AND(VALUE(LEFT($I6,1))&gt;=Paramètres!$B$6,VALUE(LEFT($I6,1))&lt;=Paramètres!$C$6),Paramètres!$D$6,Paramètres!$D$7)))</f>
        <v>Licornes</v>
      </c>
      <c r="K6" s="54">
        <f ca="1">IF(ISBLANK($B6),"",IF(AND(VALUE(LEFT($I6,1))&gt;=Paramètres!$B$5,VALUE(LEFT($I6,1))&lt;=Paramètres!$C$5),Paramètres!$E$5,IF(AND(VALUE(LEFT($I6,1))&gt;=Paramètres!$B$6,VALUE(LEFT($I6,1))&lt;=Paramètres!$C$6),Paramètres!$E$6,Paramètres!$E$7)))</f>
        <v>175</v>
      </c>
      <c r="L6" s="54">
        <f>IF(ISBLANK($B6),"",VLOOKUP($F6,Paramètres!$G$3:$H$9,2,FALSE))</f>
        <v>15</v>
      </c>
      <c r="M6" s="55">
        <f ca="1">IF(ISBLANK($B6),"",$K6+$L6)</f>
        <v>190</v>
      </c>
      <c r="N6" s="55">
        <f ca="1">IF(ISBLANK($B6),"",$M6*$G6)</f>
        <v>380</v>
      </c>
      <c r="O6" s="56">
        <f>IF(ISBLANK($B6),"",IF($G6&lt;Paramètres!$J$3,Paramètres!$L$3,IF($G6&gt;Paramètres!$J$5,Paramètres!$L$5,Paramètres!$L$4)))</f>
        <v>0.05</v>
      </c>
      <c r="P6" s="55">
        <f ca="1">IF(ISBLANK($B6),"",$N6*$O6)</f>
        <v>19</v>
      </c>
      <c r="Q6" s="55">
        <f ca="1">IF(ISBLANK($B6),"",$N6-$P6)</f>
        <v>361</v>
      </c>
      <c r="R6" s="111">
        <v>25</v>
      </c>
      <c r="S6" s="57">
        <f ca="1">IF(ISBLANK($B6),"",$Q6-$R6)</f>
        <v>336</v>
      </c>
    </row>
    <row r="7" spans="2:19" hidden="1" x14ac:dyDescent="0.25">
      <c r="B7" s="44" t="s">
        <v>51</v>
      </c>
      <c r="C7" s="1" t="s">
        <v>9</v>
      </c>
      <c r="D7" s="69" t="s">
        <v>11</v>
      </c>
      <c r="E7" s="114">
        <v>40141</v>
      </c>
      <c r="F7" s="4" t="s">
        <v>38</v>
      </c>
      <c r="G7" s="1">
        <v>3</v>
      </c>
      <c r="H7" s="128">
        <v>4</v>
      </c>
      <c r="I7" s="129" t="str">
        <f ca="1">IF(ISBLANK($B7),"",_xlfn.CONCAT(INT(($C$2-$E7)/365.25)," ans"))</f>
        <v>11 ans</v>
      </c>
      <c r="J7" s="157" t="str">
        <f ca="1">IF(ISBLANK($B7),"",IF(AND(VALUE(LEFT($I7,1))&gt;=Paramètres!$B$5,VALUE(LEFT($I7,1))&lt;=Paramètres!$C$5),Paramètres!$D$5,IF(AND(VALUE(LEFT($I7,1))&gt;=Paramètres!$B$6,VALUE(LEFT($I7,1))&lt;=Paramètres!$C$6),Paramètres!$D$6,Paramètres!$D$7)))</f>
        <v>Dragons</v>
      </c>
      <c r="K7" s="24">
        <f ca="1">IF(ISBLANK($B7),"",IF(AND(VALUE(LEFT($I7,1))&gt;=Paramètres!$B$5,VALUE(LEFT($I7,1))&lt;=Paramètres!$C$5),Paramètres!$E$5,IF(AND(VALUE(LEFT($I7,1))&gt;=Paramètres!$B$6,VALUE(LEFT($I7,1))&lt;=Paramètres!$C$6),Paramètres!$E$6,Paramètres!$E$7)))</f>
        <v>225</v>
      </c>
      <c r="L7" s="26">
        <f>IF(ISBLANK($B7),"",VLOOKUP($F7,Paramètres!$G$3:$H$9,2,FALSE))</f>
        <v>10</v>
      </c>
      <c r="M7" s="25">
        <f ca="1">IF(ISBLANK($B7),"",$K7+$L7)</f>
        <v>235</v>
      </c>
      <c r="N7" s="25">
        <f ca="1">IF(ISBLANK($B7),"",$M7*$G7)</f>
        <v>705</v>
      </c>
      <c r="O7" s="6">
        <f>IF(ISBLANK($B7),"",IF($G7&lt;Paramètres!$J$3,Paramètres!$L$3,IF($G7&gt;Paramètres!$J$5,Paramètres!$L$5,Paramètres!$L$4)))</f>
        <v>0.05</v>
      </c>
      <c r="P7" s="25">
        <f ca="1">IF(ISBLANK($B7),"",$N7*$O7)</f>
        <v>35.25</v>
      </c>
      <c r="Q7" s="25">
        <f ca="1">IF(ISBLANK($B7),"",$N7-$P7)</f>
        <v>669.75</v>
      </c>
      <c r="R7" s="111">
        <v>25</v>
      </c>
      <c r="S7" s="58">
        <f ca="1">IF(ISBLANK($B7),"",$Q7-$R7)</f>
        <v>644.75</v>
      </c>
    </row>
    <row r="8" spans="2:19" hidden="1" x14ac:dyDescent="0.25">
      <c r="B8" s="44" t="s">
        <v>52</v>
      </c>
      <c r="C8" s="1" t="s">
        <v>12</v>
      </c>
      <c r="D8" s="69" t="s">
        <v>32</v>
      </c>
      <c r="E8" s="114">
        <v>41963</v>
      </c>
      <c r="F8" s="7" t="s">
        <v>84</v>
      </c>
      <c r="G8" s="1">
        <v>5</v>
      </c>
      <c r="H8" s="128">
        <v>2</v>
      </c>
      <c r="I8" s="129" t="str">
        <f t="shared" ref="I8:I30" ca="1" si="0">IF(ISBLANK($B8),"",_xlfn.CONCAT(INT(($C$2-$E8)/365.25)," ans"))</f>
        <v>6 ans</v>
      </c>
      <c r="J8" s="157" t="str">
        <f ca="1">IF(ISBLANK($B8),"",IF(AND(VALUE(LEFT($I8,1))&gt;=Paramètres!$B$5,VALUE(LEFT($I8,1))&lt;=Paramètres!$C$5),Paramètres!$D$5,IF(AND(VALUE(LEFT($I8,1))&gt;=Paramètres!$B$6,VALUE(LEFT($I8,1))&lt;=Paramètres!$C$6),Paramètres!$D$6,Paramètres!$D$7)))</f>
        <v>Licornes</v>
      </c>
      <c r="K8" s="24">
        <f ca="1">IF(ISBLANK($B8),"",IF(AND(VALUE(LEFT($I8,1))&gt;=Paramètres!$B$5,VALUE(LEFT($I8,1))&lt;=Paramètres!$C$5),Paramètres!$E$5,IF(AND(VALUE(LEFT($I8,1))&gt;=Paramètres!$B$6,VALUE(LEFT($I8,1))&lt;=Paramètres!$C$6),Paramètres!$E$6,Paramètres!$E$7)))</f>
        <v>175</v>
      </c>
      <c r="L8" s="26">
        <f>IF(ISBLANK($B8),"",VLOOKUP($F8,Paramètres!$G$3:$H$9,2,FALSE))</f>
        <v>0</v>
      </c>
      <c r="M8" s="25">
        <f t="shared" ref="M8:M30" ca="1" si="1">IF(ISBLANK($B8),"",$K8+$L8)</f>
        <v>175</v>
      </c>
      <c r="N8" s="25">
        <f t="shared" ref="N8:N30" ca="1" si="2">IF(ISBLANK($B8),"",$M8*$G8)</f>
        <v>875</v>
      </c>
      <c r="O8" s="6">
        <f>IF(ISBLANK($B8),"",IF($G8&lt;Paramètres!$J$3,Paramètres!$L$3,IF($G8&gt;Paramètres!$J$5,Paramètres!$L$5,Paramètres!$L$4)))</f>
        <v>0.1</v>
      </c>
      <c r="P8" s="25">
        <f t="shared" ref="P8:P30" ca="1" si="3">IF(ISBLANK($B8),"",$N8*$O8)</f>
        <v>87.5</v>
      </c>
      <c r="Q8" s="25">
        <f t="shared" ref="Q8:Q30" ca="1" si="4">IF(ISBLANK($B8),"",$N8-$P8)</f>
        <v>787.5</v>
      </c>
      <c r="R8" s="111">
        <v>40</v>
      </c>
      <c r="S8" s="58">
        <f t="shared" ref="S8:S30" ca="1" si="5">IF(ISBLANK($B8),"",$Q8-$R8)</f>
        <v>747.5</v>
      </c>
    </row>
    <row r="9" spans="2:19" hidden="1" x14ac:dyDescent="0.25">
      <c r="B9" s="44" t="s">
        <v>65</v>
      </c>
      <c r="C9" s="1" t="s">
        <v>13</v>
      </c>
      <c r="D9" s="69" t="s">
        <v>32</v>
      </c>
      <c r="E9" s="114">
        <v>41891</v>
      </c>
      <c r="F9" s="7" t="s">
        <v>85</v>
      </c>
      <c r="G9" s="1">
        <v>2</v>
      </c>
      <c r="H9" s="128">
        <v>0</v>
      </c>
      <c r="I9" s="129" t="str">
        <f t="shared" ca="1" si="0"/>
        <v>6 ans</v>
      </c>
      <c r="J9" s="157" t="str">
        <f ca="1">IF(ISBLANK($B9),"",IF(AND(VALUE(LEFT($I9,1))&gt;=Paramètres!$B$5,VALUE(LEFT($I9,1))&lt;=Paramètres!$C$5),Paramètres!$D$5,IF(AND(VALUE(LEFT($I9,1))&gt;=Paramètres!$B$6,VALUE(LEFT($I9,1))&lt;=Paramètres!$C$6),Paramètres!$D$6,Paramètres!$D$7)))</f>
        <v>Licornes</v>
      </c>
      <c r="K9" s="24">
        <f ca="1">IF(ISBLANK($B9),"",IF(AND(VALUE(LEFT($I9,1))&gt;=Paramètres!$B$5,VALUE(LEFT($I9,1))&lt;=Paramètres!$C$5),Paramètres!$E$5,IF(AND(VALUE(LEFT($I9,1))&gt;=Paramètres!$B$6,VALUE(LEFT($I9,1))&lt;=Paramètres!$C$6),Paramètres!$E$6,Paramètres!$E$7)))</f>
        <v>175</v>
      </c>
      <c r="L9" s="26">
        <f>IF(ISBLANK($B9),"",VLOOKUP($F9,Paramètres!$G$3:$H$9,2,FALSE))</f>
        <v>45</v>
      </c>
      <c r="M9" s="25">
        <f t="shared" ca="1" si="1"/>
        <v>220</v>
      </c>
      <c r="N9" s="25">
        <f t="shared" ca="1" si="2"/>
        <v>440</v>
      </c>
      <c r="O9" s="6">
        <f>IF(ISBLANK($B9),"",IF($G9&lt;Paramètres!$J$3,Paramètres!$L$3,IF($G9&gt;Paramètres!$J$5,Paramètres!$L$5,Paramètres!$L$4)))</f>
        <v>0.05</v>
      </c>
      <c r="P9" s="25">
        <f t="shared" ca="1" si="3"/>
        <v>22</v>
      </c>
      <c r="Q9" s="25">
        <f t="shared" ca="1" si="4"/>
        <v>418</v>
      </c>
      <c r="R9" s="112">
        <v>25</v>
      </c>
      <c r="S9" s="58">
        <f t="shared" ca="1" si="5"/>
        <v>393</v>
      </c>
    </row>
    <row r="10" spans="2:19" hidden="1" x14ac:dyDescent="0.25">
      <c r="B10" s="44" t="s">
        <v>50</v>
      </c>
      <c r="C10" s="1" t="s">
        <v>14</v>
      </c>
      <c r="D10" s="69" t="s">
        <v>32</v>
      </c>
      <c r="E10" s="114">
        <v>40964</v>
      </c>
      <c r="F10" s="4" t="s">
        <v>84</v>
      </c>
      <c r="G10" s="4">
        <v>1</v>
      </c>
      <c r="H10" s="128">
        <v>0</v>
      </c>
      <c r="I10" s="129" t="str">
        <f t="shared" ca="1" si="0"/>
        <v>9 ans</v>
      </c>
      <c r="J10" s="157" t="str">
        <f ca="1">IF(ISBLANK($B10),"",IF(AND(VALUE(LEFT($I10,1))&gt;=Paramètres!$B$5,VALUE(LEFT($I10,1))&lt;=Paramètres!$C$5),Paramètres!$D$5,IF(AND(VALUE(LEFT($I10,1))&gt;=Paramètres!$B$6,VALUE(LEFT($I10,1))&lt;=Paramètres!$C$6),Paramètres!$D$6,Paramètres!$D$7)))</f>
        <v>Monstres</v>
      </c>
      <c r="K10" s="24">
        <f ca="1">IF(ISBLANK($B10),"",IF(AND(VALUE(LEFT($I10,1))&gt;=Paramètres!$B$5,VALUE(LEFT($I10,1))&lt;=Paramètres!$C$5),Paramètres!$E$5,IF(AND(VALUE(LEFT($I10,1))&gt;=Paramètres!$B$6,VALUE(LEFT($I10,1))&lt;=Paramètres!$C$6),Paramètres!$E$6,Paramètres!$E$7)))</f>
        <v>200</v>
      </c>
      <c r="L10" s="26">
        <f>IF(ISBLANK($B10),"",VLOOKUP($F10,Paramètres!$G$3:$H$9,2,FALSE))</f>
        <v>0</v>
      </c>
      <c r="M10" s="25">
        <f t="shared" ca="1" si="1"/>
        <v>200</v>
      </c>
      <c r="N10" s="25">
        <f t="shared" ca="1" si="2"/>
        <v>200</v>
      </c>
      <c r="O10" s="6">
        <f>IF(ISBLANK($B10),"",IF($G10&lt;Paramètres!$J$3,Paramètres!$L$3,IF($G10&gt;Paramètres!$J$5,Paramètres!$L$5,Paramètres!$L$4)))</f>
        <v>0</v>
      </c>
      <c r="P10" s="25">
        <f t="shared" ca="1" si="3"/>
        <v>0</v>
      </c>
      <c r="Q10" s="25">
        <f t="shared" ca="1" si="4"/>
        <v>200</v>
      </c>
      <c r="R10" s="112">
        <v>10</v>
      </c>
      <c r="S10" s="58">
        <f t="shared" ca="1" si="5"/>
        <v>190</v>
      </c>
    </row>
    <row r="11" spans="2:19" hidden="1" x14ac:dyDescent="0.25">
      <c r="B11" s="44" t="s">
        <v>66</v>
      </c>
      <c r="C11" s="1" t="s">
        <v>15</v>
      </c>
      <c r="D11" s="69" t="s">
        <v>11</v>
      </c>
      <c r="E11" s="114">
        <v>40083</v>
      </c>
      <c r="F11" s="4" t="s">
        <v>38</v>
      </c>
      <c r="G11" s="4">
        <v>5</v>
      </c>
      <c r="H11" s="128">
        <v>2</v>
      </c>
      <c r="I11" s="129" t="str">
        <f t="shared" ca="1" si="0"/>
        <v>11 ans</v>
      </c>
      <c r="J11" s="157" t="str">
        <f ca="1">IF(ISBLANK($B11),"",IF(AND(VALUE(LEFT($I11,1))&gt;=Paramètres!$B$5,VALUE(LEFT($I11,1))&lt;=Paramètres!$C$5),Paramètres!$D$5,IF(AND(VALUE(LEFT($I11,1))&gt;=Paramètres!$B$6,VALUE(LEFT($I11,1))&lt;=Paramètres!$C$6),Paramètres!$D$6,Paramètres!$D$7)))</f>
        <v>Dragons</v>
      </c>
      <c r="K11" s="24">
        <f ca="1">IF(ISBLANK($B11),"",IF(AND(VALUE(LEFT($I11,1))&gt;=Paramètres!$B$5,VALUE(LEFT($I11,1))&lt;=Paramètres!$C$5),Paramètres!$E$5,IF(AND(VALUE(LEFT($I11,1))&gt;=Paramètres!$B$6,VALUE(LEFT($I11,1))&lt;=Paramètres!$C$6),Paramètres!$E$6,Paramètres!$E$7)))</f>
        <v>225</v>
      </c>
      <c r="L11" s="26">
        <f>IF(ISBLANK($B11),"",VLOOKUP($F11,Paramètres!$G$3:$H$9,2,FALSE))</f>
        <v>10</v>
      </c>
      <c r="M11" s="25">
        <f t="shared" ca="1" si="1"/>
        <v>235</v>
      </c>
      <c r="N11" s="25">
        <f t="shared" ca="1" si="2"/>
        <v>1175</v>
      </c>
      <c r="O11" s="6">
        <f>IF(ISBLANK($B11),"",IF($G11&lt;Paramètres!$J$3,Paramètres!$L$3,IF($G11&gt;Paramètres!$J$5,Paramètres!$L$5,Paramètres!$L$4)))</f>
        <v>0.1</v>
      </c>
      <c r="P11" s="25">
        <f t="shared" ca="1" si="3"/>
        <v>117.5</v>
      </c>
      <c r="Q11" s="25">
        <f t="shared" ca="1" si="4"/>
        <v>1057.5</v>
      </c>
      <c r="R11" s="112">
        <v>40</v>
      </c>
      <c r="S11" s="58">
        <f t="shared" ca="1" si="5"/>
        <v>1017.5</v>
      </c>
    </row>
    <row r="12" spans="2:19" hidden="1" x14ac:dyDescent="0.25">
      <c r="B12" s="44" t="s">
        <v>63</v>
      </c>
      <c r="C12" s="1" t="s">
        <v>16</v>
      </c>
      <c r="D12" s="69" t="s">
        <v>11</v>
      </c>
      <c r="E12" s="114">
        <v>40939</v>
      </c>
      <c r="F12" s="7" t="s">
        <v>81</v>
      </c>
      <c r="G12" s="4">
        <v>6</v>
      </c>
      <c r="H12" s="128">
        <v>3</v>
      </c>
      <c r="I12" s="129" t="str">
        <f t="shared" ca="1" si="0"/>
        <v>9 ans</v>
      </c>
      <c r="J12" s="157" t="str">
        <f ca="1">IF(ISBLANK($B12),"",IF(AND(VALUE(LEFT($I12,1))&gt;=Paramètres!$B$5,VALUE(LEFT($I12,1))&lt;=Paramètres!$C$5),Paramètres!$D$5,IF(AND(VALUE(LEFT($I12,1))&gt;=Paramètres!$B$6,VALUE(LEFT($I12,1))&lt;=Paramètres!$C$6),Paramètres!$D$6,Paramètres!$D$7)))</f>
        <v>Monstres</v>
      </c>
      <c r="K12" s="24">
        <f ca="1">IF(ISBLANK($B12),"",IF(AND(VALUE(LEFT($I12,1))&gt;=Paramètres!$B$5,VALUE(LEFT($I12,1))&lt;=Paramètres!$C$5),Paramètres!$E$5,IF(AND(VALUE(LEFT($I12,1))&gt;=Paramètres!$B$6,VALUE(LEFT($I12,1))&lt;=Paramètres!$C$6),Paramètres!$E$6,Paramètres!$E$7)))</f>
        <v>200</v>
      </c>
      <c r="L12" s="26">
        <f>IF(ISBLANK($B12),"",VLOOKUP($F12,Paramètres!$G$3:$H$9,2,FALSE))</f>
        <v>15</v>
      </c>
      <c r="M12" s="25">
        <f t="shared" ca="1" si="1"/>
        <v>215</v>
      </c>
      <c r="N12" s="25">
        <f t="shared" ca="1" si="2"/>
        <v>1290</v>
      </c>
      <c r="O12" s="6">
        <f>IF(ISBLANK($B12),"",IF($G12&lt;Paramètres!$J$3,Paramètres!$L$3,IF($G12&gt;Paramètres!$J$5,Paramètres!$L$5,Paramètres!$L$4)))</f>
        <v>0.1</v>
      </c>
      <c r="P12" s="25">
        <f t="shared" ca="1" si="3"/>
        <v>129</v>
      </c>
      <c r="Q12" s="25">
        <f t="shared" ca="1" si="4"/>
        <v>1161</v>
      </c>
      <c r="R12" s="112">
        <v>60</v>
      </c>
      <c r="S12" s="58">
        <f t="shared" ca="1" si="5"/>
        <v>1101</v>
      </c>
    </row>
    <row r="13" spans="2:19" hidden="1" x14ac:dyDescent="0.25">
      <c r="B13" s="44" t="s">
        <v>59</v>
      </c>
      <c r="C13" s="1" t="s">
        <v>25</v>
      </c>
      <c r="D13" s="69" t="s">
        <v>32</v>
      </c>
      <c r="E13" s="114">
        <v>41345</v>
      </c>
      <c r="F13" s="4" t="s">
        <v>82</v>
      </c>
      <c r="G13" s="4">
        <v>2</v>
      </c>
      <c r="H13" s="128">
        <v>2</v>
      </c>
      <c r="I13" s="129" t="str">
        <f t="shared" ca="1" si="0"/>
        <v>8 ans</v>
      </c>
      <c r="J13" s="157" t="str">
        <f ca="1">IF(ISBLANK($B13),"",IF(AND(VALUE(LEFT($I13,1))&gt;=Paramètres!$B$5,VALUE(LEFT($I13,1))&lt;=Paramètres!$C$5),Paramètres!$D$5,IF(AND(VALUE(LEFT($I13,1))&gt;=Paramètres!$B$6,VALUE(LEFT($I13,1))&lt;=Paramètres!$C$6),Paramètres!$D$6,Paramètres!$D$7)))</f>
        <v>Monstres</v>
      </c>
      <c r="K13" s="24">
        <f ca="1">IF(ISBLANK($B13),"",IF(AND(VALUE(LEFT($I13,1))&gt;=Paramètres!$B$5,VALUE(LEFT($I13,1))&lt;=Paramètres!$C$5),Paramètres!$E$5,IF(AND(VALUE(LEFT($I13,1))&gt;=Paramètres!$B$6,VALUE(LEFT($I13,1))&lt;=Paramètres!$C$6),Paramètres!$E$6,Paramètres!$E$7)))</f>
        <v>200</v>
      </c>
      <c r="L13" s="26">
        <f>IF(ISBLANK($B13),"",VLOOKUP($F13,Paramètres!$G$3:$H$9,2,FALSE))</f>
        <v>5</v>
      </c>
      <c r="M13" s="25">
        <f t="shared" ca="1" si="1"/>
        <v>205</v>
      </c>
      <c r="N13" s="25">
        <f t="shared" ca="1" si="2"/>
        <v>410</v>
      </c>
      <c r="O13" s="6">
        <f>IF(ISBLANK($B13),"",IF($G13&lt;Paramètres!$J$3,Paramètres!$L$3,IF($G13&gt;Paramètres!$J$5,Paramètres!$L$5,Paramètres!$L$4)))</f>
        <v>0.05</v>
      </c>
      <c r="P13" s="25">
        <f t="shared" ca="1" si="3"/>
        <v>20.5</v>
      </c>
      <c r="Q13" s="25">
        <f t="shared" ca="1" si="4"/>
        <v>389.5</v>
      </c>
      <c r="R13" s="112">
        <v>100</v>
      </c>
      <c r="S13" s="58">
        <f t="shared" ca="1" si="5"/>
        <v>289.5</v>
      </c>
    </row>
    <row r="14" spans="2:19" hidden="1" x14ac:dyDescent="0.25">
      <c r="B14" s="44" t="s">
        <v>60</v>
      </c>
      <c r="C14" s="1" t="s">
        <v>30</v>
      </c>
      <c r="D14" s="69" t="s">
        <v>32</v>
      </c>
      <c r="E14" s="114">
        <v>41002</v>
      </c>
      <c r="F14" s="4" t="s">
        <v>85</v>
      </c>
      <c r="G14" s="4">
        <v>4</v>
      </c>
      <c r="H14" s="128">
        <v>0</v>
      </c>
      <c r="I14" s="129" t="str">
        <f t="shared" ca="1" si="0"/>
        <v>9 ans</v>
      </c>
      <c r="J14" s="157" t="str">
        <f ca="1">IF(ISBLANK($B14),"",IF(AND(VALUE(LEFT($I14,1))&gt;=Paramètres!$B$5,VALUE(LEFT($I14,1))&lt;=Paramètres!$C$5),Paramètres!$D$5,IF(AND(VALUE(LEFT($I14,1))&gt;=Paramètres!$B$6,VALUE(LEFT($I14,1))&lt;=Paramètres!$C$6),Paramètres!$D$6,Paramètres!$D$7)))</f>
        <v>Monstres</v>
      </c>
      <c r="K14" s="24">
        <f ca="1">IF(ISBLANK($B14),"",IF(AND(VALUE(LEFT($I14,1))&gt;=Paramètres!$B$5,VALUE(LEFT($I14,1))&lt;=Paramètres!$C$5),Paramètres!$E$5,IF(AND(VALUE(LEFT($I14,1))&gt;=Paramètres!$B$6,VALUE(LEFT($I14,1))&lt;=Paramètres!$C$6),Paramètres!$E$6,Paramètres!$E$7)))</f>
        <v>200</v>
      </c>
      <c r="L14" s="26">
        <f>IF(ISBLANK($B14),"",VLOOKUP($F14,Paramètres!$G$3:$H$9,2,FALSE))</f>
        <v>45</v>
      </c>
      <c r="M14" s="25">
        <f t="shared" ca="1" si="1"/>
        <v>245</v>
      </c>
      <c r="N14" s="25">
        <f t="shared" ca="1" si="2"/>
        <v>980</v>
      </c>
      <c r="O14" s="6">
        <f>IF(ISBLANK($B14),"",IF($G14&lt;Paramètres!$J$3,Paramètres!$L$3,IF($G14&gt;Paramètres!$J$5,Paramètres!$L$5,Paramètres!$L$4)))</f>
        <v>0.05</v>
      </c>
      <c r="P14" s="25">
        <f t="shared" ca="1" si="3"/>
        <v>49</v>
      </c>
      <c r="Q14" s="25">
        <f t="shared" ca="1" si="4"/>
        <v>931</v>
      </c>
      <c r="R14" s="112">
        <v>35</v>
      </c>
      <c r="S14" s="58">
        <f t="shared" ca="1" si="5"/>
        <v>896</v>
      </c>
    </row>
    <row r="15" spans="2:19" hidden="1" x14ac:dyDescent="0.25">
      <c r="B15" s="44" t="s">
        <v>54</v>
      </c>
      <c r="C15" s="1" t="s">
        <v>19</v>
      </c>
      <c r="D15" s="69" t="s">
        <v>11</v>
      </c>
      <c r="E15" s="114">
        <v>40709</v>
      </c>
      <c r="F15" s="7" t="s">
        <v>83</v>
      </c>
      <c r="G15" s="4">
        <v>2</v>
      </c>
      <c r="H15" s="128">
        <v>2</v>
      </c>
      <c r="I15" s="129" t="str">
        <f t="shared" ca="1" si="0"/>
        <v>9 ans</v>
      </c>
      <c r="J15" s="157" t="str">
        <f ca="1">IF(ISBLANK($B15),"",IF(AND(VALUE(LEFT($I15,1))&gt;=Paramètres!$B$5,VALUE(LEFT($I15,1))&lt;=Paramètres!$C$5),Paramètres!$D$5,IF(AND(VALUE(LEFT($I15,1))&gt;=Paramètres!$B$6,VALUE(LEFT($I15,1))&lt;=Paramètres!$C$6),Paramètres!$D$6,Paramètres!$D$7)))</f>
        <v>Monstres</v>
      </c>
      <c r="K15" s="24">
        <f ca="1">IF(ISBLANK($B15),"",IF(AND(VALUE(LEFT($I15,1))&gt;=Paramètres!$B$5,VALUE(LEFT($I15,1))&lt;=Paramètres!$C$5),Paramètres!$E$5,IF(AND(VALUE(LEFT($I15,1))&gt;=Paramètres!$B$6,VALUE(LEFT($I15,1))&lt;=Paramètres!$C$6),Paramètres!$E$6,Paramètres!$E$7)))</f>
        <v>200</v>
      </c>
      <c r="L15" s="26">
        <f>IF(ISBLANK($B15),"",VLOOKUP($F15,Paramètres!$G$3:$H$9,2,FALSE))</f>
        <v>0</v>
      </c>
      <c r="M15" s="25">
        <f t="shared" ca="1" si="1"/>
        <v>200</v>
      </c>
      <c r="N15" s="25">
        <f t="shared" ca="1" si="2"/>
        <v>400</v>
      </c>
      <c r="O15" s="6">
        <f>IF(ISBLANK($B15),"",IF($G15&lt;Paramètres!$J$3,Paramètres!$L$3,IF($G15&gt;Paramètres!$J$5,Paramètres!$L$5,Paramètres!$L$4)))</f>
        <v>0.05</v>
      </c>
      <c r="P15" s="25">
        <f t="shared" ca="1" si="3"/>
        <v>20</v>
      </c>
      <c r="Q15" s="25">
        <f t="shared" ca="1" si="4"/>
        <v>380</v>
      </c>
      <c r="R15" s="112">
        <v>25</v>
      </c>
      <c r="S15" s="58">
        <f t="shared" ca="1" si="5"/>
        <v>355</v>
      </c>
    </row>
    <row r="16" spans="2:19" hidden="1" x14ac:dyDescent="0.25">
      <c r="B16" s="44" t="s">
        <v>55</v>
      </c>
      <c r="C16" s="1" t="s">
        <v>21</v>
      </c>
      <c r="D16" s="69" t="s">
        <v>11</v>
      </c>
      <c r="E16" s="114">
        <v>39841</v>
      </c>
      <c r="F16" s="4" t="s">
        <v>38</v>
      </c>
      <c r="G16" s="4">
        <v>1</v>
      </c>
      <c r="H16" s="128">
        <v>5</v>
      </c>
      <c r="I16" s="129" t="str">
        <f t="shared" ca="1" si="0"/>
        <v>12 ans</v>
      </c>
      <c r="J16" s="157" t="str">
        <f ca="1">IF(ISBLANK($B16),"",IF(AND(VALUE(LEFT($I16,1))&gt;=Paramètres!$B$5,VALUE(LEFT($I16,1))&lt;=Paramètres!$C$5),Paramètres!$D$5,IF(AND(VALUE(LEFT($I16,1))&gt;=Paramètres!$B$6,VALUE(LEFT($I16,1))&lt;=Paramètres!$C$6),Paramètres!$D$6,Paramètres!$D$7)))</f>
        <v>Dragons</v>
      </c>
      <c r="K16" s="24">
        <f ca="1">IF(ISBLANK($B16),"",IF(AND(VALUE(LEFT($I16,1))&gt;=Paramètres!$B$5,VALUE(LEFT($I16,1))&lt;=Paramètres!$C$5),Paramètres!$E$5,IF(AND(VALUE(LEFT($I16,1))&gt;=Paramètres!$B$6,VALUE(LEFT($I16,1))&lt;=Paramètres!$C$6),Paramètres!$E$6,Paramètres!$E$7)))</f>
        <v>225</v>
      </c>
      <c r="L16" s="26">
        <f>IF(ISBLANK($B16),"",VLOOKUP($F16,Paramètres!$G$3:$H$9,2,FALSE))</f>
        <v>10</v>
      </c>
      <c r="M16" s="25">
        <f t="shared" ca="1" si="1"/>
        <v>235</v>
      </c>
      <c r="N16" s="25">
        <f t="shared" ca="1" si="2"/>
        <v>235</v>
      </c>
      <c r="O16" s="6">
        <f>IF(ISBLANK($B16),"",IF($G16&lt;Paramètres!$J$3,Paramètres!$L$3,IF($G16&gt;Paramètres!$J$5,Paramètres!$L$5,Paramètres!$L$4)))</f>
        <v>0</v>
      </c>
      <c r="P16" s="25">
        <f t="shared" ca="1" si="3"/>
        <v>0</v>
      </c>
      <c r="Q16" s="25">
        <f t="shared" ca="1" si="4"/>
        <v>235</v>
      </c>
      <c r="R16" s="112">
        <v>50</v>
      </c>
      <c r="S16" s="58">
        <f t="shared" ca="1" si="5"/>
        <v>185</v>
      </c>
    </row>
    <row r="17" spans="2:19" hidden="1" x14ac:dyDescent="0.25">
      <c r="B17" s="44" t="s">
        <v>58</v>
      </c>
      <c r="C17" s="1" t="s">
        <v>18</v>
      </c>
      <c r="D17" s="69" t="s">
        <v>11</v>
      </c>
      <c r="E17" s="114">
        <v>40360</v>
      </c>
      <c r="F17" s="7" t="s">
        <v>85</v>
      </c>
      <c r="G17" s="4">
        <v>3</v>
      </c>
      <c r="H17" s="128">
        <v>4</v>
      </c>
      <c r="I17" s="129" t="str">
        <f t="shared" ca="1" si="0"/>
        <v>10 ans</v>
      </c>
      <c r="J17" s="157" t="str">
        <f ca="1">IF(ISBLANK($B17),"",IF(AND(VALUE(LEFT($I17,1))&gt;=Paramètres!$B$5,VALUE(LEFT($I17,1))&lt;=Paramètres!$C$5),Paramètres!$D$5,IF(AND(VALUE(LEFT($I17,1))&gt;=Paramètres!$B$6,VALUE(LEFT($I17,1))&lt;=Paramètres!$C$6),Paramètres!$D$6,Paramètres!$D$7)))</f>
        <v>Dragons</v>
      </c>
      <c r="K17" s="24">
        <f ca="1">IF(ISBLANK($B17),"",IF(AND(VALUE(LEFT($I17,1))&gt;=Paramètres!$B$5,VALUE(LEFT($I17,1))&lt;=Paramètres!$C$5),Paramètres!$E$5,IF(AND(VALUE(LEFT($I17,1))&gt;=Paramètres!$B$6,VALUE(LEFT($I17,1))&lt;=Paramètres!$C$6),Paramètres!$E$6,Paramètres!$E$7)))</f>
        <v>225</v>
      </c>
      <c r="L17" s="26">
        <f>IF(ISBLANK($B17),"",VLOOKUP($F17,Paramètres!$G$3:$H$9,2,FALSE))</f>
        <v>45</v>
      </c>
      <c r="M17" s="25">
        <f t="shared" ca="1" si="1"/>
        <v>270</v>
      </c>
      <c r="N17" s="25">
        <f t="shared" ca="1" si="2"/>
        <v>810</v>
      </c>
      <c r="O17" s="6">
        <f>IF(ISBLANK($B17),"",IF($G17&lt;Paramètres!$J$3,Paramètres!$L$3,IF($G17&gt;Paramètres!$J$5,Paramètres!$L$5,Paramètres!$L$4)))</f>
        <v>0.05</v>
      </c>
      <c r="P17" s="25">
        <f t="shared" ca="1" si="3"/>
        <v>40.5</v>
      </c>
      <c r="Q17" s="25">
        <f t="shared" ca="1" si="4"/>
        <v>769.5</v>
      </c>
      <c r="R17" s="112">
        <v>25</v>
      </c>
      <c r="S17" s="58">
        <f t="shared" ca="1" si="5"/>
        <v>744.5</v>
      </c>
    </row>
    <row r="18" spans="2:19" hidden="1" x14ac:dyDescent="0.25">
      <c r="B18" s="44" t="s">
        <v>67</v>
      </c>
      <c r="C18" s="1" t="s">
        <v>22</v>
      </c>
      <c r="D18" s="69" t="s">
        <v>32</v>
      </c>
      <c r="E18" s="114">
        <v>41299</v>
      </c>
      <c r="F18" s="7" t="s">
        <v>85</v>
      </c>
      <c r="G18" s="4">
        <v>4</v>
      </c>
      <c r="H18" s="128">
        <v>2</v>
      </c>
      <c r="I18" s="129" t="str">
        <f t="shared" ca="1" si="0"/>
        <v>8 ans</v>
      </c>
      <c r="J18" s="157" t="str">
        <f ca="1">IF(ISBLANK($B18),"",IF(AND(VALUE(LEFT($I18,1))&gt;=Paramètres!$B$5,VALUE(LEFT($I18,1))&lt;=Paramètres!$C$5),Paramètres!$D$5,IF(AND(VALUE(LEFT($I18,1))&gt;=Paramètres!$B$6,VALUE(LEFT($I18,1))&lt;=Paramètres!$C$6),Paramètres!$D$6,Paramètres!$D$7)))</f>
        <v>Monstres</v>
      </c>
      <c r="K18" s="24">
        <f ca="1">IF(ISBLANK($B18),"",IF(AND(VALUE(LEFT($I18,1))&gt;=Paramètres!$B$5,VALUE(LEFT($I18,1))&lt;=Paramètres!$C$5),Paramètres!$E$5,IF(AND(VALUE(LEFT($I18,1))&gt;=Paramètres!$B$6,VALUE(LEFT($I18,1))&lt;=Paramètres!$C$6),Paramètres!$E$6,Paramètres!$E$7)))</f>
        <v>200</v>
      </c>
      <c r="L18" s="26">
        <f>IF(ISBLANK($B18),"",VLOOKUP($F18,Paramètres!$G$3:$H$9,2,FALSE))</f>
        <v>45</v>
      </c>
      <c r="M18" s="25">
        <f t="shared" ca="1" si="1"/>
        <v>245</v>
      </c>
      <c r="N18" s="25">
        <f t="shared" ca="1" si="2"/>
        <v>980</v>
      </c>
      <c r="O18" s="6">
        <f>IF(ISBLANK($B18),"",IF($G18&lt;Paramètres!$J$3,Paramètres!$L$3,IF($G18&gt;Paramètres!$J$5,Paramètres!$L$5,Paramètres!$L$4)))</f>
        <v>0.05</v>
      </c>
      <c r="P18" s="25">
        <f t="shared" ca="1" si="3"/>
        <v>49</v>
      </c>
      <c r="Q18" s="25">
        <f t="shared" ca="1" si="4"/>
        <v>931</v>
      </c>
      <c r="R18" s="112">
        <v>40</v>
      </c>
      <c r="S18" s="58">
        <f t="shared" ca="1" si="5"/>
        <v>891</v>
      </c>
    </row>
    <row r="19" spans="2:19" hidden="1" x14ac:dyDescent="0.25">
      <c r="B19" s="44" t="s">
        <v>68</v>
      </c>
      <c r="C19" s="1" t="s">
        <v>17</v>
      </c>
      <c r="D19" s="69" t="s">
        <v>11</v>
      </c>
      <c r="E19" s="114">
        <v>40141</v>
      </c>
      <c r="F19" s="1" t="s">
        <v>81</v>
      </c>
      <c r="G19" s="4">
        <v>5</v>
      </c>
      <c r="H19" s="128">
        <v>1</v>
      </c>
      <c r="I19" s="129" t="str">
        <f t="shared" ca="1" si="0"/>
        <v>11 ans</v>
      </c>
      <c r="J19" s="157" t="str">
        <f ca="1">IF(ISBLANK($B19),"",IF(AND(VALUE(LEFT($I19,1))&gt;=Paramètres!$B$5,VALUE(LEFT($I19,1))&lt;=Paramètres!$C$5),Paramètres!$D$5,IF(AND(VALUE(LEFT($I19,1))&gt;=Paramètres!$B$6,VALUE(LEFT($I19,1))&lt;=Paramètres!$C$6),Paramètres!$D$6,Paramètres!$D$7)))</f>
        <v>Dragons</v>
      </c>
      <c r="K19" s="24">
        <f ca="1">IF(ISBLANK($B19),"",IF(AND(VALUE(LEFT($I19,1))&gt;=Paramètres!$B$5,VALUE(LEFT($I19,1))&lt;=Paramètres!$C$5),Paramètres!$E$5,IF(AND(VALUE(LEFT($I19,1))&gt;=Paramètres!$B$6,VALUE(LEFT($I19,1))&lt;=Paramètres!$C$6),Paramètres!$E$6,Paramètres!$E$7)))</f>
        <v>225</v>
      </c>
      <c r="L19" s="26">
        <f>IF(ISBLANK($B19),"",VLOOKUP($F19,Paramètres!$G$3:$H$9,2,FALSE))</f>
        <v>15</v>
      </c>
      <c r="M19" s="25">
        <f t="shared" ca="1" si="1"/>
        <v>240</v>
      </c>
      <c r="N19" s="25">
        <f t="shared" ca="1" si="2"/>
        <v>1200</v>
      </c>
      <c r="O19" s="6">
        <f>IF(ISBLANK($B19),"",IF($G19&lt;Paramètres!$J$3,Paramètres!$L$3,IF($G19&gt;Paramètres!$J$5,Paramètres!$L$5,Paramètres!$L$4)))</f>
        <v>0.1</v>
      </c>
      <c r="P19" s="25">
        <f t="shared" ca="1" si="3"/>
        <v>120</v>
      </c>
      <c r="Q19" s="25">
        <f t="shared" ca="1" si="4"/>
        <v>1080</v>
      </c>
      <c r="R19" s="112">
        <v>20</v>
      </c>
      <c r="S19" s="58">
        <f t="shared" ca="1" si="5"/>
        <v>1060</v>
      </c>
    </row>
    <row r="20" spans="2:19" hidden="1" x14ac:dyDescent="0.25">
      <c r="B20" s="44" t="s">
        <v>69</v>
      </c>
      <c r="C20" s="1" t="s">
        <v>23</v>
      </c>
      <c r="D20" s="69" t="s">
        <v>32</v>
      </c>
      <c r="E20" s="114">
        <v>40513</v>
      </c>
      <c r="F20" s="1" t="s">
        <v>82</v>
      </c>
      <c r="G20" s="4">
        <v>1</v>
      </c>
      <c r="H20" s="128">
        <v>6</v>
      </c>
      <c r="I20" s="129" t="str">
        <f t="shared" ca="1" si="0"/>
        <v>10 ans</v>
      </c>
      <c r="J20" s="157" t="str">
        <f ca="1">IF(ISBLANK($B20),"",IF(AND(VALUE(LEFT($I20,1))&gt;=Paramètres!$B$5,VALUE(LEFT($I20,1))&lt;=Paramètres!$C$5),Paramètres!$D$5,IF(AND(VALUE(LEFT($I20,1))&gt;=Paramètres!$B$6,VALUE(LEFT($I20,1))&lt;=Paramètres!$C$6),Paramètres!$D$6,Paramètres!$D$7)))</f>
        <v>Dragons</v>
      </c>
      <c r="K20" s="24">
        <f ca="1">IF(ISBLANK($B20),"",IF(AND(VALUE(LEFT($I20,1))&gt;=Paramètres!$B$5,VALUE(LEFT($I20,1))&lt;=Paramètres!$C$5),Paramètres!$E$5,IF(AND(VALUE(LEFT($I20,1))&gt;=Paramètres!$B$6,VALUE(LEFT($I20,1))&lt;=Paramètres!$C$6),Paramètres!$E$6,Paramètres!$E$7)))</f>
        <v>225</v>
      </c>
      <c r="L20" s="26">
        <f>IF(ISBLANK($B20),"",VLOOKUP($F20,Paramètres!$G$3:$H$9,2,FALSE))</f>
        <v>5</v>
      </c>
      <c r="M20" s="25">
        <f t="shared" ca="1" si="1"/>
        <v>230</v>
      </c>
      <c r="N20" s="25">
        <f t="shared" ca="1" si="2"/>
        <v>230</v>
      </c>
      <c r="O20" s="6">
        <f>IF(ISBLANK($B20),"",IF($G20&lt;Paramètres!$J$3,Paramètres!$L$3,IF($G20&gt;Paramètres!$J$5,Paramètres!$L$5,Paramètres!$L$4)))</f>
        <v>0</v>
      </c>
      <c r="P20" s="25">
        <f t="shared" ca="1" si="3"/>
        <v>0</v>
      </c>
      <c r="Q20" s="25">
        <f t="shared" ca="1" si="4"/>
        <v>230</v>
      </c>
      <c r="R20" s="113">
        <v>50</v>
      </c>
      <c r="S20" s="58">
        <f t="shared" ca="1" si="5"/>
        <v>180</v>
      </c>
    </row>
    <row r="21" spans="2:19" x14ac:dyDescent="0.25">
      <c r="B21" s="44" t="s">
        <v>53</v>
      </c>
      <c r="C21" s="1" t="s">
        <v>24</v>
      </c>
      <c r="D21" s="69" t="s">
        <v>32</v>
      </c>
      <c r="E21" s="114">
        <v>41996</v>
      </c>
      <c r="F21" s="7" t="s">
        <v>83</v>
      </c>
      <c r="G21" s="4">
        <v>2</v>
      </c>
      <c r="H21" s="128">
        <v>0</v>
      </c>
      <c r="I21" s="129" t="str">
        <f t="shared" ca="1" si="0"/>
        <v>6 ans</v>
      </c>
      <c r="J21" s="157" t="str">
        <f ca="1">IF(ISBLANK($B21),"",IF(AND(VALUE(LEFT($I21,1))&gt;=Paramètres!$B$5,VALUE(LEFT($I21,1))&lt;=Paramètres!$C$5),Paramètres!$D$5,IF(AND(VALUE(LEFT($I21,1))&gt;=Paramètres!$B$6,VALUE(LEFT($I21,1))&lt;=Paramètres!$C$6),Paramètres!$D$6,Paramètres!$D$7)))</f>
        <v>Licornes</v>
      </c>
      <c r="K21" s="24">
        <f ca="1">IF(ISBLANK($B21),"",IF(AND(VALUE(LEFT($I21,1))&gt;=Paramètres!$B$5,VALUE(LEFT($I21,1))&lt;=Paramètres!$C$5),Paramètres!$E$5,IF(AND(VALUE(LEFT($I21,1))&gt;=Paramètres!$B$6,VALUE(LEFT($I21,1))&lt;=Paramètres!$C$6),Paramètres!$E$6,Paramètres!$E$7)))</f>
        <v>175</v>
      </c>
      <c r="L21" s="26">
        <f>IF(ISBLANK($B21),"",VLOOKUP($F21,Paramètres!$G$3:$H$9,2,FALSE))</f>
        <v>0</v>
      </c>
      <c r="M21" s="25">
        <f t="shared" ca="1" si="1"/>
        <v>175</v>
      </c>
      <c r="N21" s="25">
        <f t="shared" ca="1" si="2"/>
        <v>350</v>
      </c>
      <c r="O21" s="6">
        <f>IF(ISBLANK($B21),"",IF($G21&lt;Paramètres!$J$3,Paramètres!$L$3,IF($G21&gt;Paramètres!$J$5,Paramètres!$L$5,Paramètres!$L$4)))</f>
        <v>0.05</v>
      </c>
      <c r="P21" s="25">
        <f t="shared" ca="1" si="3"/>
        <v>17.5</v>
      </c>
      <c r="Q21" s="25">
        <f t="shared" ca="1" si="4"/>
        <v>332.5</v>
      </c>
      <c r="R21" s="112">
        <v>35</v>
      </c>
      <c r="S21" s="58">
        <f t="shared" ca="1" si="5"/>
        <v>297.5</v>
      </c>
    </row>
    <row r="22" spans="2:19" hidden="1" x14ac:dyDescent="0.25">
      <c r="B22" s="44" t="s">
        <v>57</v>
      </c>
      <c r="C22" s="1" t="s">
        <v>28</v>
      </c>
      <c r="D22" s="69" t="s">
        <v>32</v>
      </c>
      <c r="E22" s="114">
        <v>39670</v>
      </c>
      <c r="F22" s="1" t="s">
        <v>39</v>
      </c>
      <c r="G22" s="4">
        <v>3</v>
      </c>
      <c r="H22" s="128">
        <v>5</v>
      </c>
      <c r="I22" s="129" t="str">
        <f t="shared" ca="1" si="0"/>
        <v>12 ans</v>
      </c>
      <c r="J22" s="157" t="str">
        <f ca="1">IF(ISBLANK($B22),"",IF(AND(VALUE(LEFT($I22,1))&gt;=Paramètres!$B$5,VALUE(LEFT($I22,1))&lt;=Paramètres!$C$5),Paramètres!$D$5,IF(AND(VALUE(LEFT($I22,1))&gt;=Paramètres!$B$6,VALUE(LEFT($I22,1))&lt;=Paramètres!$C$6),Paramètres!$D$6,Paramètres!$D$7)))</f>
        <v>Dragons</v>
      </c>
      <c r="K22" s="24">
        <f ca="1">IF(ISBLANK($B22),"",IF(AND(VALUE(LEFT($I22,1))&gt;=Paramètres!$B$5,VALUE(LEFT($I22,1))&lt;=Paramètres!$C$5),Paramètres!$E$5,IF(AND(VALUE(LEFT($I22,1))&gt;=Paramètres!$B$6,VALUE(LEFT($I22,1))&lt;=Paramètres!$C$6),Paramètres!$E$6,Paramètres!$E$7)))</f>
        <v>225</v>
      </c>
      <c r="L22" s="26">
        <f>IF(ISBLANK($B22),"",VLOOKUP($F22,Paramètres!$G$3:$H$9,2,FALSE))</f>
        <v>10</v>
      </c>
      <c r="M22" s="25">
        <f t="shared" ca="1" si="1"/>
        <v>235</v>
      </c>
      <c r="N22" s="25">
        <f t="shared" ca="1" si="2"/>
        <v>705</v>
      </c>
      <c r="O22" s="6">
        <f>IF(ISBLANK($B22),"",IF($G22&lt;Paramètres!$J$3,Paramètres!$L$3,IF($G22&gt;Paramètres!$J$5,Paramètres!$L$5,Paramètres!$L$4)))</f>
        <v>0.05</v>
      </c>
      <c r="P22" s="25">
        <f t="shared" ca="1" si="3"/>
        <v>35.25</v>
      </c>
      <c r="Q22" s="25">
        <f t="shared" ca="1" si="4"/>
        <v>669.75</v>
      </c>
      <c r="R22" s="112">
        <v>50</v>
      </c>
      <c r="S22" s="58">
        <f t="shared" ca="1" si="5"/>
        <v>619.75</v>
      </c>
    </row>
    <row r="23" spans="2:19" x14ac:dyDescent="0.25">
      <c r="B23" s="44" t="s">
        <v>62</v>
      </c>
      <c r="C23" s="1" t="s">
        <v>26</v>
      </c>
      <c r="D23" s="69" t="s">
        <v>32</v>
      </c>
      <c r="E23" s="114">
        <v>41428</v>
      </c>
      <c r="F23" s="7" t="s">
        <v>82</v>
      </c>
      <c r="G23" s="4">
        <v>5</v>
      </c>
      <c r="H23" s="128">
        <v>0</v>
      </c>
      <c r="I23" s="129" t="str">
        <f t="shared" ca="1" si="0"/>
        <v>7 ans</v>
      </c>
      <c r="J23" s="157" t="str">
        <f ca="1">IF(ISBLANK($B23),"",IF(AND(VALUE(LEFT($I23,1))&gt;=Paramètres!$B$5,VALUE(LEFT($I23,1))&lt;=Paramètres!$C$5),Paramètres!$D$5,IF(AND(VALUE(LEFT($I23,1))&gt;=Paramètres!$B$6,VALUE(LEFT($I23,1))&lt;=Paramètres!$C$6),Paramètres!$D$6,Paramètres!$D$7)))</f>
        <v>Licornes</v>
      </c>
      <c r="K23" s="24">
        <f ca="1">IF(ISBLANK($B23),"",IF(AND(VALUE(LEFT($I23,1))&gt;=Paramètres!$B$5,VALUE(LEFT($I23,1))&lt;=Paramètres!$C$5),Paramètres!$E$5,IF(AND(VALUE(LEFT($I23,1))&gt;=Paramètres!$B$6,VALUE(LEFT($I23,1))&lt;=Paramètres!$C$6),Paramètres!$E$6,Paramètres!$E$7)))</f>
        <v>175</v>
      </c>
      <c r="L23" s="26">
        <f>IF(ISBLANK($B23),"",VLOOKUP($F23,Paramètres!$G$3:$H$9,2,FALSE))</f>
        <v>5</v>
      </c>
      <c r="M23" s="25">
        <f t="shared" ca="1" si="1"/>
        <v>180</v>
      </c>
      <c r="N23" s="25">
        <f t="shared" ca="1" si="2"/>
        <v>900</v>
      </c>
      <c r="O23" s="6">
        <f>IF(ISBLANK($B23),"",IF($G23&lt;Paramètres!$J$3,Paramètres!$L$3,IF($G23&gt;Paramètres!$J$5,Paramètres!$L$5,Paramètres!$L$4)))</f>
        <v>0.1</v>
      </c>
      <c r="P23" s="25">
        <f t="shared" ca="1" si="3"/>
        <v>90</v>
      </c>
      <c r="Q23" s="25">
        <f t="shared" ca="1" si="4"/>
        <v>810</v>
      </c>
      <c r="R23" s="112">
        <v>200</v>
      </c>
      <c r="S23" s="58">
        <f t="shared" ca="1" si="5"/>
        <v>610</v>
      </c>
    </row>
    <row r="24" spans="2:19" hidden="1" x14ac:dyDescent="0.25">
      <c r="B24" s="44" t="s">
        <v>56</v>
      </c>
      <c r="C24" s="1" t="s">
        <v>27</v>
      </c>
      <c r="D24" s="69" t="s">
        <v>32</v>
      </c>
      <c r="E24" s="114">
        <v>39827</v>
      </c>
      <c r="F24" s="7" t="s">
        <v>84</v>
      </c>
      <c r="G24" s="4">
        <v>6</v>
      </c>
      <c r="H24" s="128">
        <v>4</v>
      </c>
      <c r="I24" s="129" t="str">
        <f t="shared" ca="1" si="0"/>
        <v>12 ans</v>
      </c>
      <c r="J24" s="157" t="str">
        <f ca="1">IF(ISBLANK($B24),"",IF(AND(VALUE(LEFT($I24,1))&gt;=Paramètres!$B$5,VALUE(LEFT($I24,1))&lt;=Paramètres!$C$5),Paramètres!$D$5,IF(AND(VALUE(LEFT($I24,1))&gt;=Paramètres!$B$6,VALUE(LEFT($I24,1))&lt;=Paramètres!$C$6),Paramètres!$D$6,Paramètres!$D$7)))</f>
        <v>Dragons</v>
      </c>
      <c r="K24" s="24">
        <f ca="1">IF(ISBLANK($B24),"",IF(AND(VALUE(LEFT($I24,1))&gt;=Paramètres!$B$5,VALUE(LEFT($I24,1))&lt;=Paramètres!$C$5),Paramètres!$E$5,IF(AND(VALUE(LEFT($I24,1))&gt;=Paramètres!$B$6,VALUE(LEFT($I24,1))&lt;=Paramètres!$C$6),Paramètres!$E$6,Paramètres!$E$7)))</f>
        <v>225</v>
      </c>
      <c r="L24" s="26">
        <f>IF(ISBLANK($B24),"",VLOOKUP($F24,Paramètres!$G$3:$H$9,2,FALSE))</f>
        <v>0</v>
      </c>
      <c r="M24" s="25">
        <f t="shared" ca="1" si="1"/>
        <v>225</v>
      </c>
      <c r="N24" s="25">
        <f t="shared" ca="1" si="2"/>
        <v>1350</v>
      </c>
      <c r="O24" s="6">
        <f>IF(ISBLANK($B24),"",IF($G24&lt;Paramètres!$J$3,Paramètres!$L$3,IF($G24&gt;Paramètres!$J$5,Paramètres!$L$5,Paramètres!$L$4)))</f>
        <v>0.1</v>
      </c>
      <c r="P24" s="25">
        <f t="shared" ca="1" si="3"/>
        <v>135</v>
      </c>
      <c r="Q24" s="25">
        <f t="shared" ca="1" si="4"/>
        <v>1215</v>
      </c>
      <c r="R24" s="112">
        <v>25</v>
      </c>
      <c r="S24" s="58">
        <f t="shared" ca="1" si="5"/>
        <v>1190</v>
      </c>
    </row>
    <row r="25" spans="2:19" hidden="1" x14ac:dyDescent="0.25">
      <c r="B25" s="44" t="s">
        <v>61</v>
      </c>
      <c r="C25" s="1" t="s">
        <v>20</v>
      </c>
      <c r="D25" s="69" t="s">
        <v>11</v>
      </c>
      <c r="E25" s="114">
        <v>40793</v>
      </c>
      <c r="F25" s="4" t="s">
        <v>83</v>
      </c>
      <c r="G25" s="4">
        <v>2</v>
      </c>
      <c r="H25" s="128">
        <v>3</v>
      </c>
      <c r="I25" s="129" t="str">
        <f t="shared" ca="1" si="0"/>
        <v>9 ans</v>
      </c>
      <c r="J25" s="157" t="str">
        <f ca="1">IF(ISBLANK($B25),"",IF(AND(VALUE(LEFT($I25,1))&gt;=Paramètres!$B$5,VALUE(LEFT($I25,1))&lt;=Paramètres!$C$5),Paramètres!$D$5,IF(AND(VALUE(LEFT($I25,1))&gt;=Paramètres!$B$6,VALUE(LEFT($I25,1))&lt;=Paramètres!$C$6),Paramètres!$D$6,Paramètres!$D$7)))</f>
        <v>Monstres</v>
      </c>
      <c r="K25" s="24">
        <f ca="1">IF(ISBLANK($B25),"",IF(AND(VALUE(LEFT($I25,1))&gt;=Paramètres!$B$5,VALUE(LEFT($I25,1))&lt;=Paramètres!$C$5),Paramètres!$E$5,IF(AND(VALUE(LEFT($I25,1))&gt;=Paramètres!$B$6,VALUE(LEFT($I25,1))&lt;=Paramètres!$C$6),Paramètres!$E$6,Paramètres!$E$7)))</f>
        <v>200</v>
      </c>
      <c r="L25" s="26">
        <f>IF(ISBLANK($B25),"",VLOOKUP($F25,Paramètres!$G$3:$H$9,2,FALSE))</f>
        <v>0</v>
      </c>
      <c r="M25" s="25">
        <f t="shared" ca="1" si="1"/>
        <v>200</v>
      </c>
      <c r="N25" s="25">
        <f t="shared" ca="1" si="2"/>
        <v>400</v>
      </c>
      <c r="O25" s="6">
        <f>IF(ISBLANK($B25),"",IF($G25&lt;Paramètres!$J$3,Paramètres!$L$3,IF($G25&gt;Paramètres!$J$5,Paramètres!$L$5,Paramètres!$L$4)))</f>
        <v>0.05</v>
      </c>
      <c r="P25" s="25">
        <f t="shared" ca="1" si="3"/>
        <v>20</v>
      </c>
      <c r="Q25" s="25">
        <f t="shared" ca="1" si="4"/>
        <v>380</v>
      </c>
      <c r="R25" s="112">
        <v>30</v>
      </c>
      <c r="S25" s="58">
        <f t="shared" ca="1" si="5"/>
        <v>350</v>
      </c>
    </row>
    <row r="26" spans="2:19" hidden="1" x14ac:dyDescent="0.25">
      <c r="B26" s="44" t="s">
        <v>56</v>
      </c>
      <c r="C26" s="1" t="s">
        <v>29</v>
      </c>
      <c r="D26" s="69" t="s">
        <v>32</v>
      </c>
      <c r="E26" s="114">
        <v>39338</v>
      </c>
      <c r="F26" s="7" t="s">
        <v>38</v>
      </c>
      <c r="G26" s="4">
        <v>1</v>
      </c>
      <c r="H26" s="128">
        <v>4</v>
      </c>
      <c r="I26" s="129" t="str">
        <f t="shared" ca="1" si="0"/>
        <v>13 ans</v>
      </c>
      <c r="J26" s="157" t="str">
        <f ca="1">IF(ISBLANK($B26),"",IF(AND(VALUE(LEFT($I26,1))&gt;=Paramètres!$B$5,VALUE(LEFT($I26,1))&lt;=Paramètres!$C$5),Paramètres!$D$5,IF(AND(VALUE(LEFT($I26,1))&gt;=Paramètres!$B$6,VALUE(LEFT($I26,1))&lt;=Paramètres!$C$6),Paramètres!$D$6,Paramètres!$D$7)))</f>
        <v>Dragons</v>
      </c>
      <c r="K26" s="24">
        <f ca="1">IF(ISBLANK($B26),"",IF(AND(VALUE(LEFT($I26,1))&gt;=Paramètres!$B$5,VALUE(LEFT($I26,1))&lt;=Paramètres!$C$5),Paramètres!$E$5,IF(AND(VALUE(LEFT($I26,1))&gt;=Paramètres!$B$6,VALUE(LEFT($I26,1))&lt;=Paramètres!$C$6),Paramètres!$E$6,Paramètres!$E$7)))</f>
        <v>225</v>
      </c>
      <c r="L26" s="26">
        <f>IF(ISBLANK($B26),"",VLOOKUP($F26,Paramètres!$G$3:$H$9,2,FALSE))</f>
        <v>10</v>
      </c>
      <c r="M26" s="25">
        <f t="shared" ca="1" si="1"/>
        <v>235</v>
      </c>
      <c r="N26" s="25">
        <f t="shared" ca="1" si="2"/>
        <v>235</v>
      </c>
      <c r="O26" s="6">
        <f>IF(ISBLANK($B26),"",IF($G26&lt;Paramètres!$J$3,Paramètres!$L$3,IF($G26&gt;Paramètres!$J$5,Paramètres!$L$5,Paramètres!$L$4)))</f>
        <v>0</v>
      </c>
      <c r="P26" s="25">
        <f t="shared" ca="1" si="3"/>
        <v>0</v>
      </c>
      <c r="Q26" s="25">
        <f t="shared" ca="1" si="4"/>
        <v>235</v>
      </c>
      <c r="R26" s="112">
        <v>100</v>
      </c>
      <c r="S26" s="58">
        <f t="shared" ca="1" si="5"/>
        <v>135</v>
      </c>
    </row>
    <row r="27" spans="2:19" hidden="1" x14ac:dyDescent="0.25">
      <c r="B27" s="45" t="s">
        <v>98</v>
      </c>
      <c r="C27" s="12" t="s">
        <v>14</v>
      </c>
      <c r="D27" s="69" t="s">
        <v>32</v>
      </c>
      <c r="E27" s="115">
        <v>41072</v>
      </c>
      <c r="F27" s="1" t="s">
        <v>38</v>
      </c>
      <c r="G27" s="1">
        <v>3</v>
      </c>
      <c r="H27" s="130">
        <v>1</v>
      </c>
      <c r="I27" s="129" t="str">
        <f t="shared" ca="1" si="0"/>
        <v>8 ans</v>
      </c>
      <c r="J27" s="157" t="str">
        <f ca="1">IF(ISBLANK($B27),"",IF(AND(VALUE(LEFT($I27,1))&gt;=Paramètres!$B$5,VALUE(LEFT($I27,1))&lt;=Paramètres!$C$5),Paramètres!$D$5,IF(AND(VALUE(LEFT($I27,1))&gt;=Paramètres!$B$6,VALUE(LEFT($I27,1))&lt;=Paramètres!$C$6),Paramètres!$D$6,Paramètres!$D$7)))</f>
        <v>Monstres</v>
      </c>
      <c r="K27" s="24">
        <f ca="1">IF(ISBLANK($B27),"",IF(AND(VALUE(LEFT($I27,1))&gt;=Paramètres!$B$5,VALUE(LEFT($I27,1))&lt;=Paramètres!$C$5),Paramètres!$E$5,IF(AND(VALUE(LEFT($I27,1))&gt;=Paramètres!$B$6,VALUE(LEFT($I27,1))&lt;=Paramètres!$C$6),Paramètres!$E$6,Paramètres!$E$7)))</f>
        <v>200</v>
      </c>
      <c r="L27" s="26">
        <f>IF(ISBLANK($B27),"",VLOOKUP($F27,Paramètres!$G$3:$H$9,2,FALSE))</f>
        <v>10</v>
      </c>
      <c r="M27" s="25">
        <f t="shared" ca="1" si="1"/>
        <v>210</v>
      </c>
      <c r="N27" s="25">
        <f t="shared" ca="1" si="2"/>
        <v>630</v>
      </c>
      <c r="O27" s="6">
        <f>IF(ISBLANK($B27),"",IF($G27&lt;Paramètres!$J$3,Paramètres!$L$3,IF($G27&gt;Paramètres!$J$5,Paramètres!$L$5,Paramètres!$L$4)))</f>
        <v>0.05</v>
      </c>
      <c r="P27" s="25">
        <f t="shared" ca="1" si="3"/>
        <v>31.5</v>
      </c>
      <c r="Q27" s="25">
        <f t="shared" ca="1" si="4"/>
        <v>598.5</v>
      </c>
      <c r="R27" s="66">
        <v>50</v>
      </c>
      <c r="S27" s="58">
        <f t="shared" ca="1" si="5"/>
        <v>548.5</v>
      </c>
    </row>
    <row r="28" spans="2:19" hidden="1" x14ac:dyDescent="0.25">
      <c r="B28" s="45"/>
      <c r="C28" s="3"/>
      <c r="D28" s="69"/>
      <c r="E28" s="3"/>
      <c r="F28" s="3"/>
      <c r="G28" s="3"/>
      <c r="H28" s="128"/>
      <c r="I28" s="129" t="str">
        <f t="shared" si="0"/>
        <v/>
      </c>
      <c r="J28" s="157" t="str">
        <f>IF(ISBLANK($B28),"",IF(AND(VALUE(LEFT($I28,1))&gt;=Paramètres!$B$5,VALUE(LEFT($I28,1))&lt;=Paramètres!$C$5),Paramètres!$D$5,IF(AND(VALUE(LEFT($I28,1))&gt;=Paramètres!$B$6,VALUE(LEFT($I28,1))&lt;=Paramètres!$C$6),Paramètres!$D$6,Paramètres!$D$7)))</f>
        <v/>
      </c>
      <c r="K28" s="24" t="str">
        <f>IF(ISBLANK($B28),"",IF(AND(VALUE(LEFT($I28,1))&gt;=Paramètres!$B$5,VALUE(LEFT($I28,1))&lt;=Paramètres!$C$5),Paramètres!$E$5,IF(AND(VALUE(LEFT($I28,1))&gt;=Paramètres!$B$6,VALUE(LEFT($I28,1))&lt;=Paramètres!$C$6),Paramètres!$E$6,Paramètres!$E$7)))</f>
        <v/>
      </c>
      <c r="L28" s="26" t="str">
        <f>IF(ISBLANK($B28),"",VLOOKUP($F28,Paramètres!$G$3:$H$9,2,FALSE))</f>
        <v/>
      </c>
      <c r="M28" s="25" t="str">
        <f t="shared" si="1"/>
        <v/>
      </c>
      <c r="N28" s="25" t="str">
        <f t="shared" si="2"/>
        <v/>
      </c>
      <c r="O28" s="6" t="str">
        <f>IF(ISBLANK($B28),"",IF($G28&lt;Paramètres!$J$3,Paramètres!$L$3,IF($G28&gt;Paramètres!$J$5,Paramètres!$L$5,Paramètres!$L$4)))</f>
        <v/>
      </c>
      <c r="P28" s="25" t="str">
        <f t="shared" si="3"/>
        <v/>
      </c>
      <c r="Q28" s="25" t="str">
        <f t="shared" si="4"/>
        <v/>
      </c>
      <c r="R28" s="67"/>
      <c r="S28" s="58" t="str">
        <f t="shared" si="5"/>
        <v/>
      </c>
    </row>
    <row r="29" spans="2:19" hidden="1" x14ac:dyDescent="0.25">
      <c r="B29" s="45"/>
      <c r="C29" s="3"/>
      <c r="D29" s="69"/>
      <c r="E29" s="3"/>
      <c r="F29" s="3"/>
      <c r="G29" s="13"/>
      <c r="H29" s="128"/>
      <c r="I29" s="129" t="str">
        <f t="shared" si="0"/>
        <v/>
      </c>
      <c r="J29" s="157" t="str">
        <f>IF(ISBLANK($B29),"",IF(AND(VALUE(LEFT($I29,1))&gt;=Paramètres!$B$5,VALUE(LEFT($I29,1))&lt;=Paramètres!$C$5),Paramètres!$D$5,IF(AND(VALUE(LEFT($I29,1))&gt;=Paramètres!$B$6,VALUE(LEFT($I29,1))&lt;=Paramètres!$C$6),Paramètres!$D$6,Paramètres!$D$7)))</f>
        <v/>
      </c>
      <c r="K29" s="24" t="str">
        <f>IF(ISBLANK($B29),"",IF(AND(VALUE(LEFT($I29,1))&gt;=Paramètres!$B$5,VALUE(LEFT($I29,1))&lt;=Paramètres!$C$5),Paramètres!$E$5,IF(AND(VALUE(LEFT($I29,1))&gt;=Paramètres!$B$6,VALUE(LEFT($I29,1))&lt;=Paramètres!$C$6),Paramètres!$E$6,Paramètres!$E$7)))</f>
        <v/>
      </c>
      <c r="L29" s="26" t="str">
        <f>IF(ISBLANK($B29),"",VLOOKUP($F29,Paramètres!$G$3:$H$9,2,FALSE))</f>
        <v/>
      </c>
      <c r="M29" s="25" t="str">
        <f t="shared" si="1"/>
        <v/>
      </c>
      <c r="N29" s="25" t="str">
        <f t="shared" si="2"/>
        <v/>
      </c>
      <c r="O29" s="6" t="str">
        <f>IF(ISBLANK($B29),"",IF($G29&lt;Paramètres!$J$3,Paramètres!$L$3,IF($G29&gt;Paramètres!$J$5,Paramètres!$L$5,Paramètres!$L$4)))</f>
        <v/>
      </c>
      <c r="P29" s="25" t="str">
        <f t="shared" si="3"/>
        <v/>
      </c>
      <c r="Q29" s="25" t="str">
        <f t="shared" si="4"/>
        <v/>
      </c>
      <c r="R29" s="67"/>
      <c r="S29" s="58" t="str">
        <f t="shared" si="5"/>
        <v/>
      </c>
    </row>
    <row r="30" spans="2:19" ht="15.75" hidden="1" thickBot="1" x14ac:dyDescent="0.3">
      <c r="B30" s="59"/>
      <c r="C30" s="60"/>
      <c r="D30" s="70"/>
      <c r="E30" s="60"/>
      <c r="F30" s="60"/>
      <c r="G30" s="61"/>
      <c r="H30" s="131"/>
      <c r="I30" s="132" t="str">
        <f t="shared" si="0"/>
        <v/>
      </c>
      <c r="J30" s="158" t="str">
        <f>IF(ISBLANK($B30),"",IF(AND(VALUE(LEFT($I30,1))&gt;=Paramètres!$B$5,VALUE(LEFT($I30,1))&lt;=Paramètres!$C$5),Paramètres!$D$5,IF(AND(VALUE(LEFT($I30,1))&gt;=Paramètres!$B$6,VALUE(LEFT($I30,1))&lt;=Paramètres!$C$6),Paramètres!$D$6,Paramètres!$D$7)))</f>
        <v/>
      </c>
      <c r="K30" s="62" t="str">
        <f>IF(ISBLANK($B30),"",IF(AND(VALUE(LEFT($I30,1))&gt;=Paramètres!$B$5,VALUE(LEFT($I30,1))&lt;=Paramètres!$C$5),Paramètres!$E$5,IF(AND(VALUE(LEFT($I30,1))&gt;=Paramètres!$B$6,VALUE(LEFT($I30,1))&lt;=Paramètres!$C$6),Paramètres!$E$6,Paramètres!$E$7)))</f>
        <v/>
      </c>
      <c r="L30" s="159" t="str">
        <f>IF(ISBLANK($B30),"",VLOOKUP($F30,Paramètres!$G$3:$H$9,2,FALSE))</f>
        <v/>
      </c>
      <c r="M30" s="63" t="str">
        <f t="shared" si="1"/>
        <v/>
      </c>
      <c r="N30" s="63" t="str">
        <f t="shared" si="2"/>
        <v/>
      </c>
      <c r="O30" s="64" t="str">
        <f>IF(ISBLANK($B30),"",IF($G30&lt;Paramètres!$J$3,Paramètres!$L$3,IF($G30&gt;Paramètres!$J$5,Paramètres!$L$5,Paramètres!$L$4)))</f>
        <v/>
      </c>
      <c r="P30" s="63" t="str">
        <f t="shared" si="3"/>
        <v/>
      </c>
      <c r="Q30" s="63" t="str">
        <f t="shared" si="4"/>
        <v/>
      </c>
      <c r="R30" s="68"/>
      <c r="S30" s="65" t="str">
        <f t="shared" si="5"/>
        <v/>
      </c>
    </row>
    <row r="31" spans="2:19" x14ac:dyDescent="0.25">
      <c r="O31" s="2"/>
      <c r="P31" s="2"/>
    </row>
    <row r="32" spans="2:19" x14ac:dyDescent="0.25">
      <c r="M32" s="14"/>
    </row>
    <row r="33" spans="2:5" ht="15" customHeight="1" x14ac:dyDescent="0.25"/>
    <row r="34" spans="2:5" ht="15" customHeight="1" x14ac:dyDescent="0.25"/>
    <row r="35" spans="2:5" ht="15" customHeight="1" x14ac:dyDescent="0.25"/>
    <row r="36" spans="2:5" ht="15" customHeight="1" x14ac:dyDescent="0.25">
      <c r="B36" s="86"/>
      <c r="C36" s="18"/>
      <c r="D36" s="18"/>
      <c r="E36" s="17"/>
    </row>
    <row r="37" spans="2:5" x14ac:dyDescent="0.25">
      <c r="B37" s="86"/>
      <c r="C37" s="15"/>
      <c r="D37" s="16"/>
      <c r="E37" s="17"/>
    </row>
  </sheetData>
  <sheetProtection selectLockedCells="1"/>
  <autoFilter ref="B5:S30" xr:uid="{2B4D5EF2-914A-4852-BDE3-30A3395765FA}">
    <filterColumn colId="4">
      <filters>
        <filter val="Danse"/>
        <filter val="Magie"/>
      </filters>
    </filterColumn>
    <filterColumn colId="7">
      <filters>
        <filter val="6 ans"/>
        <filter val="7 ans"/>
      </filters>
    </filterColumn>
  </autoFilter>
  <dataValidations count="2">
    <dataValidation type="whole" allowBlank="1" showInputMessage="1" showErrorMessage="1" errorTitle="Arrêt" error="Le nombre de semaine doit être entre 1 et 6." sqref="G6:G30" xr:uid="{DEEAAE70-5912-4837-9109-FAE16D2E4C1B}">
      <formula1>1</formula1>
      <formula2>6</formula2>
    </dataValidation>
    <dataValidation type="whole" errorStyle="warning" operator="lessThanOrEqual" allowBlank="1" showInputMessage="1" showErrorMessage="1" errorTitle="Condition non remplie" error="Le nombre d'inscriptions consécutives doit être inferieur ou égal à 6." sqref="H6:H30" xr:uid="{2A0B9762-D5F9-45B2-A293-9309A5429B9E}">
      <formula1>6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5" scale="65" orientation="landscape" r:id="rId1"/>
  <headerFooter>
    <oddHeader>&amp;L&amp;D&amp;ROlivier Bourgault</oddHeader>
    <oddFooter xml:space="preserve">&amp;LCamp Loisirs Montcalm - 2021&amp;RPage &amp;P de &amp;N 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9727C9-A1B0-43D2-A0BD-27C49C2D17EF}">
          <x14:formula1>
            <xm:f>Paramètres!$G$3:$G$9</xm:f>
          </x14:formula1>
          <xm:sqref>F6:F30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1C89-C9B0-4D51-A21F-46027C8FA144}">
  <dimension ref="A1:B5"/>
  <sheetViews>
    <sheetView workbookViewId="0"/>
  </sheetViews>
  <sheetFormatPr baseColWidth="10" defaultRowHeight="15" x14ac:dyDescent="0.25"/>
  <cols>
    <col min="1" max="1" width="21" bestFit="1" customWidth="1"/>
    <col min="2" max="2" width="12.42578125" bestFit="1" customWidth="1"/>
  </cols>
  <sheetData>
    <row r="1" spans="1:2" x14ac:dyDescent="0.25">
      <c r="A1" s="160" t="s">
        <v>99</v>
      </c>
      <c r="B1" t="s">
        <v>102</v>
      </c>
    </row>
    <row r="2" spans="1:2" x14ac:dyDescent="0.25">
      <c r="A2" s="161" t="s">
        <v>11</v>
      </c>
      <c r="B2" s="162">
        <v>8</v>
      </c>
    </row>
    <row r="3" spans="1:2" x14ac:dyDescent="0.25">
      <c r="A3" s="161" t="s">
        <v>32</v>
      </c>
      <c r="B3" s="162">
        <v>13</v>
      </c>
    </row>
    <row r="4" spans="1:2" x14ac:dyDescent="0.25">
      <c r="A4" s="161" t="s">
        <v>100</v>
      </c>
      <c r="B4" s="162"/>
    </row>
    <row r="5" spans="1:2" x14ac:dyDescent="0.25">
      <c r="A5" s="161" t="s">
        <v>101</v>
      </c>
      <c r="B5" s="162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L17"/>
  <sheetViews>
    <sheetView view="pageLayout" zoomScaleNormal="100" workbookViewId="0">
      <selection activeCell="G22" sqref="G22"/>
    </sheetView>
  </sheetViews>
  <sheetFormatPr baseColWidth="10" defaultRowHeight="15" x14ac:dyDescent="0.25"/>
  <cols>
    <col min="2" max="3" width="10.7109375" customWidth="1"/>
    <col min="4" max="4" width="16.5703125" customWidth="1"/>
    <col min="5" max="5" width="12.7109375" customWidth="1"/>
    <col min="6" max="6" width="12.28515625" customWidth="1"/>
    <col min="7" max="7" width="14.140625" bestFit="1" customWidth="1"/>
    <col min="8" max="8" width="13.42578125" bestFit="1" customWidth="1"/>
    <col min="9" max="9" width="12.42578125" customWidth="1"/>
    <col min="10" max="10" width="19.7109375" customWidth="1"/>
    <col min="11" max="11" width="21.7109375" customWidth="1"/>
    <col min="12" max="12" width="7.5703125" customWidth="1"/>
    <col min="13" max="13" width="16.5703125" bestFit="1" customWidth="1"/>
  </cols>
  <sheetData>
    <row r="1" spans="2:12" ht="15.75" thickBot="1" x14ac:dyDescent="0.3"/>
    <row r="2" spans="2:12" ht="32.25" thickBot="1" x14ac:dyDescent="0.35">
      <c r="B2" s="136" t="s">
        <v>34</v>
      </c>
      <c r="C2" s="137"/>
      <c r="D2" s="137"/>
      <c r="E2" s="138"/>
      <c r="G2" s="109" t="s">
        <v>45</v>
      </c>
      <c r="H2" s="110" t="s">
        <v>87</v>
      </c>
      <c r="I2" s="20"/>
      <c r="J2" s="136" t="s">
        <v>78</v>
      </c>
      <c r="K2" s="150"/>
      <c r="L2" s="71"/>
    </row>
    <row r="3" spans="2:12" ht="15" customHeight="1" thickBot="1" x14ac:dyDescent="0.3">
      <c r="B3" s="102" t="s">
        <v>35</v>
      </c>
      <c r="C3" s="103"/>
      <c r="D3" s="151" t="s">
        <v>37</v>
      </c>
      <c r="E3" s="153" t="s">
        <v>36</v>
      </c>
      <c r="G3" s="97" t="s">
        <v>39</v>
      </c>
      <c r="H3" s="98">
        <v>10</v>
      </c>
      <c r="I3" s="21"/>
      <c r="J3" s="116">
        <v>2</v>
      </c>
      <c r="K3" s="117" t="s">
        <v>91</v>
      </c>
      <c r="L3" s="118">
        <v>0</v>
      </c>
    </row>
    <row r="4" spans="2:12" ht="15" customHeight="1" thickBot="1" x14ac:dyDescent="0.3">
      <c r="B4" s="104" t="s">
        <v>79</v>
      </c>
      <c r="C4" s="104" t="s">
        <v>80</v>
      </c>
      <c r="D4" s="152"/>
      <c r="E4" s="154"/>
      <c r="G4" s="99" t="s">
        <v>81</v>
      </c>
      <c r="H4" s="98">
        <v>15</v>
      </c>
      <c r="I4" s="21"/>
      <c r="J4" s="119">
        <v>2</v>
      </c>
      <c r="K4" s="120">
        <v>4</v>
      </c>
      <c r="L4" s="121">
        <v>0.05</v>
      </c>
    </row>
    <row r="5" spans="2:12" ht="15" customHeight="1" thickBot="1" x14ac:dyDescent="0.3">
      <c r="B5" s="105">
        <v>5</v>
      </c>
      <c r="C5" s="106">
        <v>7</v>
      </c>
      <c r="D5" s="11" t="s">
        <v>72</v>
      </c>
      <c r="E5" s="94">
        <v>175</v>
      </c>
      <c r="G5" s="97" t="s">
        <v>84</v>
      </c>
      <c r="H5" s="98">
        <v>0</v>
      </c>
      <c r="I5" s="22"/>
      <c r="J5" s="122">
        <v>4</v>
      </c>
      <c r="K5" s="123" t="s">
        <v>91</v>
      </c>
      <c r="L5" s="124">
        <v>0.1</v>
      </c>
    </row>
    <row r="6" spans="2:12" ht="15" customHeight="1" x14ac:dyDescent="0.25">
      <c r="B6" s="105">
        <v>8</v>
      </c>
      <c r="C6" s="106">
        <v>10</v>
      </c>
      <c r="D6" s="11" t="s">
        <v>74</v>
      </c>
      <c r="E6" s="94">
        <v>200</v>
      </c>
      <c r="G6" s="97" t="s">
        <v>85</v>
      </c>
      <c r="H6" s="98">
        <v>45</v>
      </c>
      <c r="I6" s="22"/>
      <c r="J6" s="23"/>
    </row>
    <row r="7" spans="2:12" ht="15" customHeight="1" thickBot="1" x14ac:dyDescent="0.3">
      <c r="B7" s="107">
        <v>11</v>
      </c>
      <c r="C7" s="108">
        <v>13</v>
      </c>
      <c r="D7" s="95" t="s">
        <v>73</v>
      </c>
      <c r="E7" s="96">
        <v>225</v>
      </c>
      <c r="G7" s="97" t="s">
        <v>83</v>
      </c>
      <c r="H7" s="98">
        <v>0</v>
      </c>
      <c r="I7" s="22"/>
      <c r="J7" s="23"/>
    </row>
    <row r="8" spans="2:12" ht="15" customHeight="1" x14ac:dyDescent="0.25">
      <c r="G8" s="97" t="s">
        <v>82</v>
      </c>
      <c r="H8" s="98">
        <v>5</v>
      </c>
    </row>
    <row r="9" spans="2:12" ht="15" customHeight="1" thickBot="1" x14ac:dyDescent="0.35">
      <c r="B9" s="19"/>
      <c r="C9" s="20"/>
      <c r="G9" s="100" t="s">
        <v>38</v>
      </c>
      <c r="H9" s="101">
        <v>10</v>
      </c>
    </row>
    <row r="10" spans="2:12" ht="33.75" customHeight="1" thickBot="1" x14ac:dyDescent="0.3">
      <c r="B10" s="136" t="s">
        <v>93</v>
      </c>
      <c r="C10" s="140"/>
      <c r="D10" s="140"/>
      <c r="E10" s="141"/>
    </row>
    <row r="11" spans="2:12" x14ac:dyDescent="0.25">
      <c r="B11" s="142" t="s">
        <v>94</v>
      </c>
      <c r="C11" s="143"/>
      <c r="D11" s="144"/>
      <c r="E11" s="145">
        <v>1</v>
      </c>
    </row>
    <row r="12" spans="2:12" ht="15.75" thickBot="1" x14ac:dyDescent="0.3">
      <c r="B12" s="146" t="s">
        <v>95</v>
      </c>
      <c r="C12" s="147"/>
      <c r="D12" s="148"/>
      <c r="E12" s="149">
        <v>6</v>
      </c>
    </row>
    <row r="13" spans="2:12" ht="15.75" thickBot="1" x14ac:dyDescent="0.3">
      <c r="B13" s="146" t="s">
        <v>96</v>
      </c>
      <c r="C13" s="147"/>
      <c r="D13" s="148"/>
      <c r="E13" s="149">
        <v>6</v>
      </c>
    </row>
    <row r="17" spans="10:10" x14ac:dyDescent="0.25">
      <c r="J17" s="5"/>
    </row>
  </sheetData>
  <mergeCells count="2">
    <mergeCell ref="D3:D4"/>
    <mergeCell ref="E3:E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5" scale="98" orientation="landscape" r:id="rId1"/>
  <headerFooter>
    <oddHeader>&amp;L&amp;D&amp;ROlivier Bourgault</oddHeader>
    <oddFooter>&amp;LCamp Loisirs Montcalm - 2021&amp;RPage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A4DA-D5AA-43CC-A8F1-51F879CC9A8E}">
  <sheetPr>
    <pageSetUpPr fitToPage="1"/>
  </sheetPr>
  <dimension ref="A1:F14"/>
  <sheetViews>
    <sheetView view="pageLayout" zoomScaleNormal="100" workbookViewId="0">
      <selection activeCell="H23" sqref="H23"/>
    </sheetView>
  </sheetViews>
  <sheetFormatPr baseColWidth="10" defaultRowHeight="15" x14ac:dyDescent="0.25"/>
  <cols>
    <col min="1" max="1" width="22.5703125" customWidth="1"/>
    <col min="2" max="2" width="20" customWidth="1"/>
    <col min="3" max="4" width="12.5703125" bestFit="1" customWidth="1"/>
  </cols>
  <sheetData>
    <row r="1" spans="1:6" s="139" customFormat="1" ht="35.25" customHeight="1" thickBot="1" x14ac:dyDescent="0.3">
      <c r="A1" s="136" t="s">
        <v>41</v>
      </c>
      <c r="B1" s="137"/>
      <c r="C1" s="137"/>
      <c r="D1" s="138"/>
    </row>
    <row r="2" spans="1:6" x14ac:dyDescent="0.25">
      <c r="A2" s="74" t="s">
        <v>43</v>
      </c>
      <c r="B2" s="75"/>
      <c r="C2" s="76">
        <f>COUNTA(Inscriptions!$B$6:$B$30)</f>
        <v>22</v>
      </c>
      <c r="D2" s="77"/>
    </row>
    <row r="3" spans="1:6" x14ac:dyDescent="0.25">
      <c r="A3" s="81" t="s">
        <v>46</v>
      </c>
      <c r="B3" s="82"/>
      <c r="C3" s="10" t="e" cm="1">
        <f t="array" aca="1" ref="C3" ca="1">AVERAGE(VALUE(LEFT(Inscriptions!$I$6:$I$30,2)))</f>
        <v>#VALUE!</v>
      </c>
      <c r="D3" s="83"/>
      <c r="F3" s="8"/>
    </row>
    <row r="4" spans="1:6" x14ac:dyDescent="0.25">
      <c r="A4" s="84" t="s">
        <v>97</v>
      </c>
      <c r="B4" s="85" t="s">
        <v>85</v>
      </c>
      <c r="C4" s="8">
        <f ca="1">SUM(VLOOKUP(Paramètres!$G$6,Inscriptions!$F$6:$S$27,14,FALSE))</f>
        <v>415</v>
      </c>
      <c r="D4" s="83"/>
      <c r="F4" s="8"/>
    </row>
    <row r="5" spans="1:6" x14ac:dyDescent="0.25">
      <c r="A5" s="81" t="s">
        <v>47</v>
      </c>
      <c r="B5" s="82"/>
      <c r="C5" s="9">
        <f ca="1">SUM(Inscriptions!$Q$6:$Q$30)</f>
        <v>13862.5</v>
      </c>
      <c r="D5" s="83"/>
      <c r="F5" s="8"/>
    </row>
    <row r="6" spans="1:6" x14ac:dyDescent="0.25">
      <c r="A6" s="81" t="s">
        <v>48</v>
      </c>
      <c r="B6" s="82"/>
      <c r="C6" s="9">
        <f>SUM(Inscriptions!$R$6:$R$30)</f>
        <v>1060</v>
      </c>
      <c r="D6" s="83"/>
      <c r="F6" s="8"/>
    </row>
    <row r="7" spans="1:6" ht="15.75" thickBot="1" x14ac:dyDescent="0.3">
      <c r="A7" s="90" t="s">
        <v>49</v>
      </c>
      <c r="B7" s="91"/>
      <c r="C7" s="92">
        <f ca="1">$C$5-$C$6</f>
        <v>12802.5</v>
      </c>
      <c r="D7" s="93">
        <f ca="1">SUM(Inscriptions!S6:S30)</f>
        <v>12802.5</v>
      </c>
      <c r="F7" s="8"/>
    </row>
    <row r="8" spans="1:6" ht="15.75" thickBot="1" x14ac:dyDescent="0.3">
      <c r="F8" s="8"/>
    </row>
    <row r="9" spans="1:6" s="139" customFormat="1" ht="33" customHeight="1" thickBot="1" x14ac:dyDescent="0.3">
      <c r="A9" s="136" t="s">
        <v>42</v>
      </c>
      <c r="B9" s="137"/>
      <c r="C9" s="138"/>
      <c r="F9" s="8"/>
    </row>
    <row r="10" spans="1:6" x14ac:dyDescent="0.25">
      <c r="A10" s="72" t="s">
        <v>34</v>
      </c>
      <c r="B10" s="73"/>
      <c r="C10" s="135" t="s">
        <v>75</v>
      </c>
      <c r="F10" s="8"/>
    </row>
    <row r="11" spans="1:6" x14ac:dyDescent="0.25">
      <c r="A11" s="78" t="s">
        <v>72</v>
      </c>
      <c r="B11" s="79"/>
      <c r="C11" s="80">
        <f ca="1">COUNTIF(Inscriptions!$J$6:$J$30,Inscriptions!$J6=Paramètres!$D$5)</f>
        <v>0</v>
      </c>
      <c r="F11" s="8"/>
    </row>
    <row r="12" spans="1:6" x14ac:dyDescent="0.25">
      <c r="A12" s="78" t="s">
        <v>74</v>
      </c>
      <c r="B12" s="79"/>
      <c r="C12" s="80">
        <f ca="1">COUNTIF(Inscriptions!$J$6:$J$30,Inscriptions!$J7=Paramètres!$D$6)</f>
        <v>0</v>
      </c>
      <c r="F12" s="8"/>
    </row>
    <row r="13" spans="1:6" ht="15.75" thickBot="1" x14ac:dyDescent="0.3">
      <c r="A13" s="87" t="s">
        <v>73</v>
      </c>
      <c r="B13" s="88"/>
      <c r="C13" s="89">
        <f ca="1">COUNTIF(Inscriptions!$J$6:$J$30,Inscriptions!$J8=Paramètres!$D$7)</f>
        <v>0</v>
      </c>
      <c r="F13" s="8"/>
    </row>
    <row r="14" spans="1:6" x14ac:dyDescent="0.25">
      <c r="F14" s="8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5" orientation="landscape" r:id="rId1"/>
  <headerFooter>
    <oddHeader>&amp;L&amp;D&amp;ROlivier Bourgault</oddHeader>
    <oddFooter>&amp;LCamp Loisirs Montcalm - 2021&amp;RPage &amp;P de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Inscriptions</vt:lpstr>
      <vt:lpstr>Question 1</vt:lpstr>
      <vt:lpstr>Question 2</vt:lpstr>
      <vt:lpstr>Question 3</vt:lpstr>
      <vt:lpstr>Paramètres</vt:lpstr>
      <vt:lpstr>Statistiques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Charron</dc:creator>
  <cp:lastModifiedBy>1875009</cp:lastModifiedBy>
  <cp:lastPrinted>2021-05-26T01:45:25Z</cp:lastPrinted>
  <dcterms:created xsi:type="dcterms:W3CDTF">2014-05-01T00:10:18Z</dcterms:created>
  <dcterms:modified xsi:type="dcterms:W3CDTF">2021-05-28T15:17:57Z</dcterms:modified>
</cp:coreProperties>
</file>