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ikatouniversitynz-my.sharepoint.com/personal/or81_students_waikato_ac_nz/Documents/Documents/PhD/Data/1. Reefs Rotoiti/Data_raw/"/>
    </mc:Choice>
  </mc:AlternateContent>
  <xr:revisionPtr revIDLastSave="7942" documentId="13_ncr:1_{D5E1776F-B224-4599-B10D-B7CDAA083427}" xr6:coauthVersionLast="47" xr6:coauthVersionMax="47" xr10:uidLastSave="{DAA1D337-8E54-4A33-A5AC-7A7CC857805E}"/>
  <bookViews>
    <workbookView xWindow="57480" yWindow="-120" windowWidth="25440" windowHeight="15270" xr2:uid="{E770A0CF-2237-4AB9-B5D6-44246228BE26}"/>
  </bookViews>
  <sheets>
    <sheet name="Site_info" sheetId="1" r:id="rId1"/>
    <sheet name="Monitoring_data" sheetId="4" r:id="rId2"/>
    <sheet name="Reef_data" sheetId="8" r:id="rId3"/>
    <sheet name="Fish_data" sheetId="2" r:id="rId4"/>
    <sheet name="Macroinvertebrates" sheetId="5" r:id="rId5"/>
    <sheet name="Weed_data" sheetId="7" r:id="rId6"/>
    <sheet name="Deep_reefs_vid" sheetId="10" r:id="rId7"/>
    <sheet name="Deep_reefs_data" sheetId="11" r:id="rId8"/>
    <sheet name="Rock_sizes_Periphyton_biomass" sheetId="3" r:id="rId9"/>
    <sheet name="Sediment_traps" sheetId="9" r:id="rId10"/>
    <sheet name="Building_reefs" sheetId="6" r:id="rId11"/>
  </sheets>
  <definedNames>
    <definedName name="_xlnm._FilterDatabase" localSheetId="1" hidden="1">Monitoring_data!$A$1:$G$702</definedName>
    <definedName name="_xlchart.v1.0" hidden="1">Sediment_traps!$B$2:$B$31</definedName>
    <definedName name="_xlchart.v1.1" hidden="1">Sediment_traps!$H$1</definedName>
    <definedName name="_xlchart.v1.2" hidden="1">Sediment_traps!$H$2:$H$31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211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054" i="2"/>
  <c r="AI61" i="1"/>
  <c r="AA61" i="1"/>
  <c r="Z61" i="1"/>
  <c r="V61" i="1"/>
  <c r="K61" i="1"/>
  <c r="B61" i="1"/>
  <c r="AI60" i="1"/>
  <c r="AA60" i="1"/>
  <c r="Z60" i="1"/>
  <c r="V60" i="1"/>
  <c r="K60" i="1"/>
  <c r="B60" i="1"/>
  <c r="AI59" i="1"/>
  <c r="AA59" i="1"/>
  <c r="Z59" i="1"/>
  <c r="V59" i="1"/>
  <c r="K59" i="1"/>
  <c r="B59" i="1"/>
  <c r="AI58" i="1"/>
  <c r="AA58" i="1"/>
  <c r="Z58" i="1"/>
  <c r="V58" i="1"/>
  <c r="K58" i="1"/>
  <c r="B58" i="1"/>
  <c r="AI57" i="1"/>
  <c r="AA57" i="1"/>
  <c r="Z57" i="1"/>
  <c r="V57" i="1"/>
  <c r="K57" i="1"/>
  <c r="B57" i="1"/>
  <c r="AI56" i="1"/>
  <c r="AA56" i="1"/>
  <c r="Z56" i="1"/>
  <c r="V56" i="1"/>
  <c r="K56" i="1"/>
  <c r="B56" i="1"/>
  <c r="AI55" i="1"/>
  <c r="AA55" i="1"/>
  <c r="Z55" i="1"/>
  <c r="V55" i="1"/>
  <c r="K55" i="1"/>
  <c r="B55" i="1"/>
  <c r="AI54" i="1"/>
  <c r="AA54" i="1"/>
  <c r="Z54" i="1"/>
  <c r="V54" i="1"/>
  <c r="K54" i="1"/>
  <c r="B54" i="1"/>
  <c r="AI53" i="1"/>
  <c r="AA53" i="1"/>
  <c r="Z53" i="1"/>
  <c r="V53" i="1"/>
  <c r="K53" i="1"/>
  <c r="B53" i="1"/>
  <c r="AI52" i="1"/>
  <c r="AA52" i="1"/>
  <c r="Z52" i="1"/>
  <c r="V52" i="1"/>
  <c r="K52" i="1"/>
  <c r="B52" i="1"/>
  <c r="AI51" i="1"/>
  <c r="AA51" i="1"/>
  <c r="Z51" i="1"/>
  <c r="V51" i="1"/>
  <c r="K51" i="1"/>
  <c r="B51" i="1"/>
  <c r="AI50" i="1"/>
  <c r="AA50" i="1"/>
  <c r="Z50" i="1"/>
  <c r="V50" i="1"/>
  <c r="K50" i="1"/>
  <c r="B50" i="1"/>
  <c r="AI49" i="1"/>
  <c r="AA49" i="1"/>
  <c r="Z49" i="1"/>
  <c r="V49" i="1"/>
  <c r="K49" i="1"/>
  <c r="B49" i="1"/>
  <c r="AI48" i="1"/>
  <c r="AA48" i="1"/>
  <c r="Z48" i="1"/>
  <c r="V48" i="1"/>
  <c r="K48" i="1"/>
  <c r="B48" i="1"/>
  <c r="AI47" i="1"/>
  <c r="AA47" i="1"/>
  <c r="Z47" i="1"/>
  <c r="V47" i="1"/>
  <c r="K47" i="1"/>
  <c r="B47" i="1"/>
  <c r="AI46" i="1"/>
  <c r="AA46" i="1"/>
  <c r="Z46" i="1"/>
  <c r="V46" i="1"/>
  <c r="K46" i="1"/>
  <c r="B46" i="1"/>
  <c r="AI45" i="1"/>
  <c r="AA45" i="1"/>
  <c r="Z45" i="1"/>
  <c r="V45" i="1"/>
  <c r="K45" i="1"/>
  <c r="B45" i="1"/>
  <c r="AI44" i="1"/>
  <c r="AA44" i="1"/>
  <c r="Z44" i="1"/>
  <c r="V44" i="1"/>
  <c r="K44" i="1"/>
  <c r="B44" i="1"/>
  <c r="AI43" i="1"/>
  <c r="AA43" i="1"/>
  <c r="Z43" i="1"/>
  <c r="V43" i="1"/>
  <c r="K43" i="1"/>
  <c r="B43" i="1"/>
  <c r="AI42" i="1"/>
  <c r="AA42" i="1"/>
  <c r="Z42" i="1"/>
  <c r="V42" i="1"/>
  <c r="K42" i="1"/>
  <c r="B42" i="1"/>
  <c r="B704" i="4"/>
  <c r="B705" i="4"/>
  <c r="B706" i="4"/>
  <c r="B707" i="4"/>
  <c r="B708" i="4"/>
  <c r="B709" i="4"/>
  <c r="B710" i="4"/>
  <c r="B711" i="4"/>
  <c r="B712" i="4"/>
  <c r="B714" i="4"/>
  <c r="B715" i="4"/>
  <c r="B716" i="4"/>
  <c r="B717" i="4"/>
  <c r="B718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50" i="4"/>
  <c r="B751" i="4"/>
  <c r="B752" i="4"/>
  <c r="B753" i="4"/>
  <c r="B754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4" i="4"/>
  <c r="B775" i="4"/>
  <c r="B776" i="4"/>
  <c r="B777" i="4"/>
  <c r="B778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10" i="4"/>
  <c r="B811" i="4"/>
  <c r="B812" i="4"/>
  <c r="B813" i="4"/>
  <c r="B814" i="4"/>
  <c r="B816" i="4"/>
  <c r="B817" i="4"/>
  <c r="B818" i="4"/>
  <c r="B819" i="4"/>
  <c r="B820" i="4"/>
  <c r="B821" i="4"/>
  <c r="B822" i="4"/>
  <c r="B703" i="4"/>
  <c r="C821" i="4"/>
  <c r="A821" i="4"/>
  <c r="C815" i="4"/>
  <c r="A815" i="4"/>
  <c r="B815" i="4" s="1"/>
  <c r="C809" i="4"/>
  <c r="A809" i="4"/>
  <c r="B809" i="4" s="1"/>
  <c r="C803" i="4"/>
  <c r="A803" i="4"/>
  <c r="C797" i="4"/>
  <c r="A797" i="4"/>
  <c r="C791" i="4"/>
  <c r="A791" i="4"/>
  <c r="C785" i="4"/>
  <c r="A785" i="4"/>
  <c r="C779" i="4"/>
  <c r="A779" i="4"/>
  <c r="B779" i="4" s="1"/>
  <c r="C773" i="4"/>
  <c r="A773" i="4"/>
  <c r="B773" i="4" s="1"/>
  <c r="C767" i="4"/>
  <c r="A767" i="4"/>
  <c r="C761" i="4"/>
  <c r="A761" i="4"/>
  <c r="C755" i="4"/>
  <c r="A755" i="4"/>
  <c r="B755" i="4" s="1"/>
  <c r="C749" i="4"/>
  <c r="A749" i="4"/>
  <c r="B749" i="4" s="1"/>
  <c r="C743" i="4"/>
  <c r="A743" i="4"/>
  <c r="C737" i="4"/>
  <c r="A737" i="4"/>
  <c r="C731" i="4"/>
  <c r="A731" i="4"/>
  <c r="C725" i="4"/>
  <c r="A725" i="4"/>
  <c r="C719" i="4"/>
  <c r="A719" i="4"/>
  <c r="B719" i="4" s="1"/>
  <c r="C713" i="4"/>
  <c r="A713" i="4"/>
  <c r="B713" i="4" s="1"/>
  <c r="C707" i="4"/>
  <c r="A707" i="4"/>
  <c r="C701" i="4"/>
  <c r="A701" i="4"/>
  <c r="C695" i="4"/>
  <c r="A695" i="4"/>
  <c r="C689" i="4"/>
  <c r="A689" i="4"/>
  <c r="C683" i="4"/>
  <c r="A683" i="4"/>
  <c r="C677" i="4"/>
  <c r="A677" i="4"/>
  <c r="C671" i="4"/>
  <c r="A671" i="4"/>
  <c r="C665" i="4"/>
  <c r="A665" i="4"/>
  <c r="C659" i="4"/>
  <c r="A659" i="4"/>
  <c r="C653" i="4"/>
  <c r="A653" i="4"/>
  <c r="C647" i="4"/>
  <c r="A647" i="4"/>
  <c r="F641" i="4"/>
  <c r="C641" i="4"/>
  <c r="A641" i="4"/>
  <c r="F635" i="4"/>
  <c r="C635" i="4"/>
  <c r="A635" i="4"/>
  <c r="F629" i="4"/>
  <c r="C629" i="4"/>
  <c r="A629" i="4"/>
  <c r="F623" i="4"/>
  <c r="C623" i="4"/>
  <c r="A623" i="4"/>
  <c r="F617" i="4"/>
  <c r="C617" i="4"/>
  <c r="A617" i="4"/>
  <c r="F611" i="4"/>
  <c r="C611" i="4"/>
  <c r="A611" i="4"/>
  <c r="F605" i="4"/>
  <c r="C605" i="4"/>
  <c r="A605" i="4"/>
  <c r="F599" i="4"/>
  <c r="C599" i="4"/>
  <c r="A599" i="4"/>
  <c r="F593" i="4"/>
  <c r="C593" i="4"/>
  <c r="A593" i="4"/>
  <c r="F587" i="4"/>
  <c r="C587" i="4"/>
  <c r="A587" i="4"/>
  <c r="F577" i="4"/>
  <c r="C577" i="4"/>
  <c r="A577" i="4"/>
  <c r="F548" i="4"/>
  <c r="C548" i="4"/>
  <c r="A548" i="4"/>
  <c r="F519" i="4"/>
  <c r="C519" i="4"/>
  <c r="A519" i="4"/>
  <c r="F490" i="4"/>
  <c r="C490" i="4"/>
  <c r="A490" i="4"/>
  <c r="F461" i="4"/>
  <c r="C461" i="4"/>
  <c r="A461" i="4"/>
  <c r="F432" i="4"/>
  <c r="C432" i="4"/>
  <c r="A432" i="4"/>
  <c r="F403" i="4"/>
  <c r="C403" i="4"/>
  <c r="A403" i="4"/>
  <c r="F374" i="4"/>
  <c r="C374" i="4"/>
  <c r="A374" i="4"/>
  <c r="F345" i="4"/>
  <c r="C345" i="4"/>
  <c r="A345" i="4"/>
  <c r="F316" i="4"/>
  <c r="C316" i="4"/>
  <c r="A316" i="4"/>
  <c r="F287" i="4"/>
  <c r="C287" i="4"/>
  <c r="A287" i="4"/>
  <c r="F258" i="4"/>
  <c r="C258" i="4"/>
  <c r="A258" i="4"/>
  <c r="F228" i="4"/>
  <c r="C228" i="4"/>
  <c r="A228" i="4"/>
  <c r="F199" i="4"/>
  <c r="C199" i="4"/>
  <c r="A199" i="4"/>
  <c r="F170" i="4"/>
  <c r="C170" i="4"/>
  <c r="A170" i="4"/>
  <c r="F141" i="4"/>
  <c r="C141" i="4"/>
  <c r="A141" i="4"/>
  <c r="F112" i="4"/>
  <c r="C112" i="4"/>
  <c r="A112" i="4"/>
  <c r="F83" i="4"/>
  <c r="C83" i="4"/>
  <c r="A83" i="4"/>
  <c r="F54" i="4"/>
  <c r="C54" i="4"/>
  <c r="A54" i="4"/>
  <c r="F25" i="4"/>
  <c r="A24" i="4"/>
  <c r="A25" i="4" s="1"/>
  <c r="C25" i="4"/>
  <c r="I7" i="10"/>
  <c r="L7" i="10"/>
  <c r="L5" i="10"/>
  <c r="L6" i="10"/>
  <c r="L2" i="10"/>
  <c r="L3" i="10"/>
  <c r="I2" i="10"/>
  <c r="M2" i="10" s="1"/>
  <c r="M3" i="10"/>
  <c r="I3" i="10"/>
  <c r="I4" i="10"/>
  <c r="L4" i="10"/>
  <c r="I6" i="10"/>
  <c r="I5" i="10"/>
  <c r="M7" i="10"/>
  <c r="F3" i="10"/>
  <c r="F4" i="10"/>
  <c r="F5" i="10"/>
  <c r="F6" i="10"/>
  <c r="F7" i="10"/>
  <c r="F2" i="10"/>
  <c r="F189" i="8"/>
  <c r="B189" i="8"/>
  <c r="F188" i="8"/>
  <c r="B188" i="8"/>
  <c r="F176" i="8"/>
  <c r="B176" i="8"/>
  <c r="F175" i="8"/>
  <c r="B175" i="8"/>
  <c r="F163" i="8"/>
  <c r="B163" i="8"/>
  <c r="F162" i="8"/>
  <c r="B162" i="8"/>
  <c r="F150" i="8"/>
  <c r="B150" i="8"/>
  <c r="F149" i="8"/>
  <c r="B149" i="8"/>
  <c r="F137" i="8"/>
  <c r="B137" i="8"/>
  <c r="F136" i="8"/>
  <c r="B136" i="8"/>
  <c r="F124" i="8"/>
  <c r="F123" i="8"/>
  <c r="B124" i="8"/>
  <c r="B123" i="8"/>
  <c r="F111" i="8"/>
  <c r="B111" i="8"/>
  <c r="F110" i="8"/>
  <c r="B110" i="8"/>
  <c r="F98" i="8"/>
  <c r="B98" i="8"/>
  <c r="F97" i="8"/>
  <c r="B97" i="8"/>
  <c r="F85" i="8"/>
  <c r="B85" i="8"/>
  <c r="F84" i="8"/>
  <c r="B84" i="8"/>
  <c r="F72" i="8"/>
  <c r="B72" i="8"/>
  <c r="F71" i="8"/>
  <c r="B71" i="8"/>
  <c r="F59" i="8"/>
  <c r="B59" i="8"/>
  <c r="F58" i="8"/>
  <c r="B58" i="8"/>
  <c r="F46" i="8"/>
  <c r="B46" i="8"/>
  <c r="F45" i="8"/>
  <c r="B45" i="8"/>
  <c r="F33" i="8"/>
  <c r="F38" i="8"/>
  <c r="F39" i="8"/>
  <c r="F51" i="8"/>
  <c r="F52" i="8"/>
  <c r="F64" i="8"/>
  <c r="F65" i="8"/>
  <c r="F77" i="8"/>
  <c r="F78" i="8"/>
  <c r="F90" i="8"/>
  <c r="F91" i="8"/>
  <c r="F103" i="8"/>
  <c r="F104" i="8"/>
  <c r="F116" i="8"/>
  <c r="F117" i="8"/>
  <c r="F129" i="8"/>
  <c r="F130" i="8"/>
  <c r="F142" i="8"/>
  <c r="F143" i="8"/>
  <c r="F155" i="8"/>
  <c r="F156" i="8"/>
  <c r="F168" i="8"/>
  <c r="F169" i="8"/>
  <c r="F181" i="8"/>
  <c r="F182" i="8"/>
  <c r="F194" i="8"/>
  <c r="F195" i="8"/>
  <c r="B33" i="8"/>
  <c r="F32" i="8"/>
  <c r="B32" i="8"/>
  <c r="F20" i="8"/>
  <c r="B20" i="8"/>
  <c r="F19" i="8"/>
  <c r="B19" i="8"/>
  <c r="F7" i="8"/>
  <c r="B6" i="8"/>
  <c r="F6" i="8"/>
  <c r="B7" i="8"/>
  <c r="M6" i="10" l="1"/>
  <c r="M5" i="10"/>
  <c r="M4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G5" i="3"/>
  <c r="C5" i="3"/>
  <c r="D5" i="3"/>
  <c r="E5" i="3"/>
  <c r="F5" i="3"/>
  <c r="H5" i="3"/>
  <c r="C6" i="3"/>
  <c r="D6" i="3"/>
  <c r="E6" i="3"/>
  <c r="F6" i="3"/>
  <c r="G6" i="3"/>
  <c r="H6" i="3"/>
  <c r="B6" i="3"/>
  <c r="B7" i="3"/>
  <c r="B8" i="3"/>
  <c r="C4" i="3"/>
  <c r="D4" i="3"/>
  <c r="E4" i="3"/>
  <c r="F4" i="3"/>
  <c r="G4" i="3"/>
  <c r="H4" i="3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G998" i="2"/>
  <c r="H998" i="2"/>
  <c r="I998" i="2"/>
  <c r="J998" i="2"/>
  <c r="K998" i="2"/>
  <c r="G999" i="2"/>
  <c r="H999" i="2"/>
  <c r="I999" i="2"/>
  <c r="J999" i="2"/>
  <c r="K999" i="2"/>
  <c r="G1000" i="2"/>
  <c r="H1000" i="2"/>
  <c r="I1000" i="2"/>
  <c r="J1000" i="2"/>
  <c r="K1000" i="2"/>
  <c r="G1001" i="2"/>
  <c r="H1001" i="2"/>
  <c r="I1001" i="2"/>
  <c r="J1001" i="2"/>
  <c r="K1001" i="2"/>
  <c r="G1002" i="2"/>
  <c r="H1002" i="2"/>
  <c r="I1002" i="2"/>
  <c r="J1002" i="2"/>
  <c r="K1002" i="2"/>
  <c r="G1003" i="2"/>
  <c r="H1003" i="2"/>
  <c r="I1003" i="2"/>
  <c r="J1003" i="2"/>
  <c r="K1003" i="2"/>
  <c r="G1004" i="2"/>
  <c r="H1004" i="2"/>
  <c r="I1004" i="2"/>
  <c r="J1004" i="2"/>
  <c r="K1004" i="2"/>
  <c r="G1005" i="2"/>
  <c r="H1005" i="2"/>
  <c r="I1005" i="2"/>
  <c r="J1005" i="2"/>
  <c r="K1005" i="2"/>
  <c r="G1006" i="2"/>
  <c r="H1006" i="2"/>
  <c r="I1006" i="2"/>
  <c r="J1006" i="2"/>
  <c r="K1006" i="2"/>
  <c r="G1007" i="2"/>
  <c r="H1007" i="2"/>
  <c r="I1007" i="2"/>
  <c r="J1007" i="2"/>
  <c r="K1007" i="2"/>
  <c r="G1008" i="2"/>
  <c r="H1008" i="2"/>
  <c r="I1008" i="2"/>
  <c r="J1008" i="2"/>
  <c r="K1008" i="2"/>
  <c r="G1009" i="2"/>
  <c r="H1009" i="2"/>
  <c r="I1009" i="2"/>
  <c r="J1009" i="2"/>
  <c r="K1009" i="2"/>
  <c r="G1010" i="2"/>
  <c r="H1010" i="2"/>
  <c r="I1010" i="2"/>
  <c r="J1010" i="2"/>
  <c r="K1010" i="2"/>
  <c r="G1011" i="2"/>
  <c r="H1011" i="2"/>
  <c r="I1011" i="2"/>
  <c r="J1011" i="2"/>
  <c r="K1011" i="2"/>
  <c r="G1012" i="2"/>
  <c r="H1012" i="2"/>
  <c r="I1012" i="2"/>
  <c r="J1012" i="2"/>
  <c r="K1012" i="2"/>
  <c r="G1013" i="2"/>
  <c r="H1013" i="2"/>
  <c r="I1013" i="2"/>
  <c r="J1013" i="2"/>
  <c r="K1013" i="2"/>
  <c r="G1014" i="2"/>
  <c r="H1014" i="2"/>
  <c r="I1014" i="2"/>
  <c r="J1014" i="2"/>
  <c r="K1014" i="2"/>
  <c r="G1015" i="2"/>
  <c r="H1015" i="2"/>
  <c r="I1015" i="2"/>
  <c r="J1015" i="2"/>
  <c r="K1015" i="2"/>
  <c r="G1016" i="2"/>
  <c r="H1016" i="2"/>
  <c r="I1016" i="2"/>
  <c r="J1016" i="2"/>
  <c r="K1016" i="2"/>
  <c r="G1017" i="2"/>
  <c r="H1017" i="2"/>
  <c r="I1017" i="2"/>
  <c r="J1017" i="2"/>
  <c r="K1017" i="2"/>
  <c r="G1018" i="2"/>
  <c r="H1018" i="2"/>
  <c r="I1018" i="2"/>
  <c r="J1018" i="2"/>
  <c r="K1018" i="2"/>
  <c r="G1019" i="2"/>
  <c r="H1019" i="2"/>
  <c r="I1019" i="2"/>
  <c r="J1019" i="2"/>
  <c r="K1019" i="2"/>
  <c r="G1020" i="2"/>
  <c r="H1020" i="2"/>
  <c r="I1020" i="2"/>
  <c r="J1020" i="2"/>
  <c r="K1020" i="2"/>
  <c r="G1021" i="2"/>
  <c r="H1021" i="2"/>
  <c r="I1021" i="2"/>
  <c r="J1021" i="2"/>
  <c r="K1021" i="2"/>
  <c r="G1022" i="2"/>
  <c r="H1022" i="2"/>
  <c r="I1022" i="2"/>
  <c r="J1022" i="2"/>
  <c r="K1022" i="2"/>
  <c r="G1023" i="2"/>
  <c r="H1023" i="2"/>
  <c r="I1023" i="2"/>
  <c r="J1023" i="2"/>
  <c r="K1023" i="2"/>
  <c r="G1024" i="2"/>
  <c r="H1024" i="2"/>
  <c r="I1024" i="2"/>
  <c r="J1024" i="2"/>
  <c r="K1024" i="2"/>
  <c r="G1025" i="2"/>
  <c r="H1025" i="2"/>
  <c r="I1025" i="2"/>
  <c r="J1025" i="2"/>
  <c r="K1025" i="2"/>
  <c r="G1026" i="2"/>
  <c r="H1026" i="2"/>
  <c r="I1026" i="2"/>
  <c r="J1026" i="2"/>
  <c r="K1026" i="2"/>
  <c r="G1027" i="2"/>
  <c r="H1027" i="2"/>
  <c r="I1027" i="2"/>
  <c r="J1027" i="2"/>
  <c r="K1027" i="2"/>
  <c r="G1028" i="2"/>
  <c r="H1028" i="2"/>
  <c r="I1028" i="2"/>
  <c r="J1028" i="2"/>
  <c r="K1028" i="2"/>
  <c r="G1029" i="2"/>
  <c r="H1029" i="2"/>
  <c r="I1029" i="2"/>
  <c r="J1029" i="2"/>
  <c r="K1029" i="2"/>
  <c r="G1030" i="2"/>
  <c r="H1030" i="2"/>
  <c r="I1030" i="2"/>
  <c r="J1030" i="2"/>
  <c r="K1030" i="2"/>
  <c r="G1031" i="2"/>
  <c r="H1031" i="2"/>
  <c r="I1031" i="2"/>
  <c r="J1031" i="2"/>
  <c r="K1031" i="2"/>
  <c r="G1032" i="2"/>
  <c r="H1032" i="2"/>
  <c r="I1032" i="2"/>
  <c r="J1032" i="2"/>
  <c r="K1032" i="2"/>
  <c r="G1033" i="2"/>
  <c r="H1033" i="2"/>
  <c r="I1033" i="2"/>
  <c r="J1033" i="2"/>
  <c r="K1033" i="2"/>
  <c r="G1034" i="2"/>
  <c r="H1034" i="2"/>
  <c r="I1034" i="2"/>
  <c r="J1034" i="2"/>
  <c r="K1034" i="2"/>
  <c r="G1035" i="2"/>
  <c r="H1035" i="2"/>
  <c r="I1035" i="2"/>
  <c r="J1035" i="2"/>
  <c r="K1035" i="2"/>
  <c r="G1036" i="2"/>
  <c r="H1036" i="2"/>
  <c r="I1036" i="2"/>
  <c r="J1036" i="2"/>
  <c r="K1036" i="2"/>
  <c r="G1037" i="2"/>
  <c r="H1037" i="2"/>
  <c r="I1037" i="2"/>
  <c r="J1037" i="2"/>
  <c r="K1037" i="2"/>
  <c r="G1038" i="2"/>
  <c r="H1038" i="2"/>
  <c r="I1038" i="2"/>
  <c r="J1038" i="2"/>
  <c r="K1038" i="2"/>
  <c r="G1039" i="2"/>
  <c r="H1039" i="2"/>
  <c r="I1039" i="2"/>
  <c r="J1039" i="2"/>
  <c r="K1039" i="2"/>
  <c r="G1040" i="2"/>
  <c r="H1040" i="2"/>
  <c r="I1040" i="2"/>
  <c r="J1040" i="2"/>
  <c r="K1040" i="2"/>
  <c r="G1041" i="2"/>
  <c r="H1041" i="2"/>
  <c r="I1041" i="2"/>
  <c r="J1041" i="2"/>
  <c r="K1041" i="2"/>
  <c r="G1042" i="2"/>
  <c r="H1042" i="2"/>
  <c r="I1042" i="2"/>
  <c r="J1042" i="2"/>
  <c r="K1042" i="2"/>
  <c r="G1043" i="2"/>
  <c r="H1043" i="2"/>
  <c r="I1043" i="2"/>
  <c r="J1043" i="2"/>
  <c r="K1043" i="2"/>
  <c r="G1044" i="2"/>
  <c r="H1044" i="2"/>
  <c r="I1044" i="2"/>
  <c r="J1044" i="2"/>
  <c r="K1044" i="2"/>
  <c r="G1045" i="2"/>
  <c r="H1045" i="2"/>
  <c r="I1045" i="2"/>
  <c r="J1045" i="2"/>
  <c r="K1045" i="2"/>
  <c r="G1046" i="2"/>
  <c r="H1046" i="2"/>
  <c r="I1046" i="2"/>
  <c r="J1046" i="2"/>
  <c r="K1046" i="2"/>
  <c r="G1047" i="2"/>
  <c r="H1047" i="2"/>
  <c r="I1047" i="2"/>
  <c r="J1047" i="2"/>
  <c r="K1047" i="2"/>
  <c r="G1048" i="2"/>
  <c r="H1048" i="2"/>
  <c r="I1048" i="2"/>
  <c r="J1048" i="2"/>
  <c r="K1048" i="2"/>
  <c r="G1049" i="2"/>
  <c r="H1049" i="2"/>
  <c r="I1049" i="2"/>
  <c r="J1049" i="2"/>
  <c r="K1049" i="2"/>
  <c r="G1050" i="2"/>
  <c r="H1050" i="2"/>
  <c r="I1050" i="2"/>
  <c r="J1050" i="2"/>
  <c r="K1050" i="2"/>
  <c r="G1051" i="2"/>
  <c r="H1051" i="2"/>
  <c r="I1051" i="2"/>
  <c r="J1051" i="2"/>
  <c r="K1051" i="2"/>
  <c r="G1052" i="2"/>
  <c r="H1052" i="2"/>
  <c r="I1052" i="2"/>
  <c r="J1052" i="2"/>
  <c r="K1052" i="2"/>
  <c r="G1053" i="2"/>
  <c r="H1053" i="2"/>
  <c r="I1053" i="2"/>
  <c r="J1053" i="2"/>
  <c r="K1053" i="2"/>
  <c r="G1054" i="2"/>
  <c r="H1054" i="2"/>
  <c r="I1054" i="2"/>
  <c r="J1054" i="2"/>
  <c r="K1054" i="2"/>
  <c r="G1055" i="2"/>
  <c r="H1055" i="2"/>
  <c r="I1055" i="2"/>
  <c r="J1055" i="2"/>
  <c r="K1055" i="2"/>
  <c r="G1056" i="2"/>
  <c r="H1056" i="2"/>
  <c r="I1056" i="2"/>
  <c r="J1056" i="2"/>
  <c r="K1056" i="2"/>
  <c r="G1057" i="2"/>
  <c r="H1057" i="2"/>
  <c r="I1057" i="2"/>
  <c r="J1057" i="2"/>
  <c r="K1057" i="2"/>
  <c r="G1058" i="2"/>
  <c r="H1058" i="2"/>
  <c r="I1058" i="2"/>
  <c r="J1058" i="2"/>
  <c r="K1058" i="2"/>
  <c r="G1059" i="2"/>
  <c r="H1059" i="2"/>
  <c r="I1059" i="2"/>
  <c r="J1059" i="2"/>
  <c r="K1059" i="2"/>
  <c r="G1060" i="2"/>
  <c r="H1060" i="2"/>
  <c r="I1060" i="2"/>
  <c r="J1060" i="2"/>
  <c r="K1060" i="2"/>
  <c r="G1061" i="2"/>
  <c r="H1061" i="2"/>
  <c r="I1061" i="2"/>
  <c r="J1061" i="2"/>
  <c r="K1061" i="2"/>
  <c r="G1062" i="2"/>
  <c r="H1062" i="2"/>
  <c r="I1062" i="2"/>
  <c r="J1062" i="2"/>
  <c r="K1062" i="2"/>
  <c r="G1063" i="2"/>
  <c r="H1063" i="2"/>
  <c r="I1063" i="2"/>
  <c r="J1063" i="2"/>
  <c r="K1063" i="2"/>
  <c r="G1064" i="2"/>
  <c r="H1064" i="2"/>
  <c r="I1064" i="2"/>
  <c r="J1064" i="2"/>
  <c r="K1064" i="2"/>
  <c r="G1065" i="2"/>
  <c r="H1065" i="2"/>
  <c r="I1065" i="2"/>
  <c r="J1065" i="2"/>
  <c r="K1065" i="2"/>
  <c r="G1066" i="2"/>
  <c r="H1066" i="2"/>
  <c r="I1066" i="2"/>
  <c r="J1066" i="2"/>
  <c r="K1066" i="2"/>
  <c r="G1067" i="2"/>
  <c r="H1067" i="2"/>
  <c r="I1067" i="2"/>
  <c r="J1067" i="2"/>
  <c r="K1067" i="2"/>
  <c r="G1068" i="2"/>
  <c r="H1068" i="2"/>
  <c r="I1068" i="2"/>
  <c r="J1068" i="2"/>
  <c r="K1068" i="2"/>
  <c r="G1069" i="2"/>
  <c r="H1069" i="2"/>
  <c r="I1069" i="2"/>
  <c r="J1069" i="2"/>
  <c r="K1069" i="2"/>
  <c r="G1070" i="2"/>
  <c r="H1070" i="2"/>
  <c r="I1070" i="2"/>
  <c r="J1070" i="2"/>
  <c r="K1070" i="2"/>
  <c r="G1071" i="2"/>
  <c r="H1071" i="2"/>
  <c r="I1071" i="2"/>
  <c r="J1071" i="2"/>
  <c r="K1071" i="2"/>
  <c r="G1072" i="2"/>
  <c r="H1072" i="2"/>
  <c r="I1072" i="2"/>
  <c r="J1072" i="2"/>
  <c r="K1072" i="2"/>
  <c r="G1073" i="2"/>
  <c r="H1073" i="2"/>
  <c r="I1073" i="2"/>
  <c r="J1073" i="2"/>
  <c r="K1073" i="2"/>
  <c r="G1074" i="2"/>
  <c r="H1074" i="2"/>
  <c r="I1074" i="2"/>
  <c r="J1074" i="2"/>
  <c r="K1074" i="2"/>
  <c r="G1075" i="2"/>
  <c r="H1075" i="2"/>
  <c r="I1075" i="2"/>
  <c r="J1075" i="2"/>
  <c r="K1075" i="2"/>
  <c r="G1076" i="2"/>
  <c r="H1076" i="2"/>
  <c r="I1076" i="2"/>
  <c r="J1076" i="2"/>
  <c r="K1076" i="2"/>
  <c r="G1077" i="2"/>
  <c r="H1077" i="2"/>
  <c r="I1077" i="2"/>
  <c r="J1077" i="2"/>
  <c r="K1077" i="2"/>
  <c r="G1078" i="2"/>
  <c r="H1078" i="2"/>
  <c r="I1078" i="2"/>
  <c r="J1078" i="2"/>
  <c r="K1078" i="2"/>
  <c r="G1079" i="2"/>
  <c r="H1079" i="2"/>
  <c r="I1079" i="2"/>
  <c r="J1079" i="2"/>
  <c r="K1079" i="2"/>
  <c r="G1080" i="2"/>
  <c r="H1080" i="2"/>
  <c r="I1080" i="2"/>
  <c r="J1080" i="2"/>
  <c r="K1080" i="2"/>
  <c r="G1081" i="2"/>
  <c r="H1081" i="2"/>
  <c r="I1081" i="2"/>
  <c r="J1081" i="2"/>
  <c r="K1081" i="2"/>
  <c r="G1082" i="2"/>
  <c r="H1082" i="2"/>
  <c r="I1082" i="2"/>
  <c r="J1082" i="2"/>
  <c r="K1082" i="2"/>
  <c r="G1083" i="2"/>
  <c r="H1083" i="2"/>
  <c r="I1083" i="2"/>
  <c r="J1083" i="2"/>
  <c r="K1083" i="2"/>
  <c r="G1084" i="2"/>
  <c r="H1084" i="2"/>
  <c r="I1084" i="2"/>
  <c r="J1084" i="2"/>
  <c r="K1084" i="2"/>
  <c r="G1085" i="2"/>
  <c r="H1085" i="2"/>
  <c r="I1085" i="2"/>
  <c r="J1085" i="2"/>
  <c r="K1085" i="2"/>
  <c r="G1086" i="2"/>
  <c r="H1086" i="2"/>
  <c r="I1086" i="2"/>
  <c r="J1086" i="2"/>
  <c r="K1086" i="2"/>
  <c r="G1087" i="2"/>
  <c r="H1087" i="2"/>
  <c r="I1087" i="2"/>
  <c r="J1087" i="2"/>
  <c r="K1087" i="2"/>
  <c r="G1088" i="2"/>
  <c r="H1088" i="2"/>
  <c r="I1088" i="2"/>
  <c r="J1088" i="2"/>
  <c r="K1088" i="2"/>
  <c r="G1089" i="2"/>
  <c r="H1089" i="2"/>
  <c r="I1089" i="2"/>
  <c r="J1089" i="2"/>
  <c r="K1089" i="2"/>
  <c r="G1090" i="2"/>
  <c r="H1090" i="2"/>
  <c r="I1090" i="2"/>
  <c r="J1090" i="2"/>
  <c r="K1090" i="2"/>
  <c r="G1091" i="2"/>
  <c r="H1091" i="2"/>
  <c r="I1091" i="2"/>
  <c r="J1091" i="2"/>
  <c r="K1091" i="2"/>
  <c r="G1092" i="2"/>
  <c r="H1092" i="2"/>
  <c r="I1092" i="2"/>
  <c r="J1092" i="2"/>
  <c r="K1092" i="2"/>
  <c r="G1093" i="2"/>
  <c r="H1093" i="2"/>
  <c r="I1093" i="2"/>
  <c r="J1093" i="2"/>
  <c r="K1093" i="2"/>
  <c r="G1094" i="2"/>
  <c r="H1094" i="2"/>
  <c r="I1094" i="2"/>
  <c r="J1094" i="2"/>
  <c r="K1094" i="2"/>
  <c r="G1095" i="2"/>
  <c r="H1095" i="2"/>
  <c r="I1095" i="2"/>
  <c r="J1095" i="2"/>
  <c r="K1095" i="2"/>
  <c r="G1096" i="2"/>
  <c r="H1096" i="2"/>
  <c r="I1096" i="2"/>
  <c r="J1096" i="2"/>
  <c r="K1096" i="2"/>
  <c r="G1097" i="2"/>
  <c r="H1097" i="2"/>
  <c r="I1097" i="2"/>
  <c r="J1097" i="2"/>
  <c r="K1097" i="2"/>
  <c r="G1098" i="2"/>
  <c r="H1098" i="2"/>
  <c r="I1098" i="2"/>
  <c r="J1098" i="2"/>
  <c r="K1098" i="2"/>
  <c r="G1099" i="2"/>
  <c r="H1099" i="2"/>
  <c r="I1099" i="2"/>
  <c r="J1099" i="2"/>
  <c r="K1099" i="2"/>
  <c r="G1100" i="2"/>
  <c r="H1100" i="2"/>
  <c r="I1100" i="2"/>
  <c r="J1100" i="2"/>
  <c r="K1100" i="2"/>
  <c r="G1101" i="2"/>
  <c r="H1101" i="2"/>
  <c r="I1101" i="2"/>
  <c r="J1101" i="2"/>
  <c r="K1101" i="2"/>
  <c r="G1102" i="2"/>
  <c r="H1102" i="2"/>
  <c r="I1102" i="2"/>
  <c r="J1102" i="2"/>
  <c r="K1102" i="2"/>
  <c r="G1103" i="2"/>
  <c r="H1103" i="2"/>
  <c r="I1103" i="2"/>
  <c r="J1103" i="2"/>
  <c r="K1103" i="2"/>
  <c r="G1104" i="2"/>
  <c r="H1104" i="2"/>
  <c r="I1104" i="2"/>
  <c r="J1104" i="2"/>
  <c r="K1104" i="2"/>
  <c r="G1105" i="2"/>
  <c r="H1105" i="2"/>
  <c r="I1105" i="2"/>
  <c r="J1105" i="2"/>
  <c r="K1105" i="2"/>
  <c r="G1106" i="2"/>
  <c r="H1106" i="2"/>
  <c r="I1106" i="2"/>
  <c r="J1106" i="2"/>
  <c r="K1106" i="2"/>
  <c r="G1107" i="2"/>
  <c r="H1107" i="2"/>
  <c r="I1107" i="2"/>
  <c r="J1107" i="2"/>
  <c r="K1107" i="2"/>
  <c r="G1108" i="2"/>
  <c r="H1108" i="2"/>
  <c r="I1108" i="2"/>
  <c r="J1108" i="2"/>
  <c r="K1108" i="2"/>
  <c r="G1109" i="2"/>
  <c r="H1109" i="2"/>
  <c r="I1109" i="2"/>
  <c r="J1109" i="2"/>
  <c r="K1109" i="2"/>
  <c r="G1110" i="2"/>
  <c r="H1110" i="2"/>
  <c r="I1110" i="2"/>
  <c r="J1110" i="2"/>
  <c r="K1110" i="2"/>
  <c r="G1111" i="2"/>
  <c r="H1111" i="2"/>
  <c r="I1111" i="2"/>
  <c r="J1111" i="2"/>
  <c r="K1111" i="2"/>
  <c r="G1112" i="2"/>
  <c r="H1112" i="2"/>
  <c r="I1112" i="2"/>
  <c r="J1112" i="2"/>
  <c r="K1112" i="2"/>
  <c r="G1113" i="2"/>
  <c r="H1113" i="2"/>
  <c r="I1113" i="2"/>
  <c r="J1113" i="2"/>
  <c r="K1113" i="2"/>
  <c r="G1114" i="2"/>
  <c r="H1114" i="2"/>
  <c r="I1114" i="2"/>
  <c r="J1114" i="2"/>
  <c r="K1114" i="2"/>
  <c r="G1115" i="2"/>
  <c r="H1115" i="2"/>
  <c r="I1115" i="2"/>
  <c r="J1115" i="2"/>
  <c r="K1115" i="2"/>
  <c r="G1116" i="2"/>
  <c r="H1116" i="2"/>
  <c r="I1116" i="2"/>
  <c r="J1116" i="2"/>
  <c r="K1116" i="2"/>
  <c r="G1117" i="2"/>
  <c r="H1117" i="2"/>
  <c r="I1117" i="2"/>
  <c r="J1117" i="2"/>
  <c r="K1117" i="2"/>
  <c r="G1118" i="2"/>
  <c r="H1118" i="2"/>
  <c r="I1118" i="2"/>
  <c r="J1118" i="2"/>
  <c r="K1118" i="2"/>
  <c r="G1119" i="2"/>
  <c r="H1119" i="2"/>
  <c r="I1119" i="2"/>
  <c r="J1119" i="2"/>
  <c r="K1119" i="2"/>
  <c r="G1120" i="2"/>
  <c r="H1120" i="2"/>
  <c r="I1120" i="2"/>
  <c r="J1120" i="2"/>
  <c r="K1120" i="2"/>
  <c r="G1121" i="2"/>
  <c r="H1121" i="2"/>
  <c r="I1121" i="2"/>
  <c r="J1121" i="2"/>
  <c r="K1121" i="2"/>
  <c r="G1122" i="2"/>
  <c r="H1122" i="2"/>
  <c r="I1122" i="2"/>
  <c r="J1122" i="2"/>
  <c r="K1122" i="2"/>
  <c r="G1123" i="2"/>
  <c r="H1123" i="2"/>
  <c r="I1123" i="2"/>
  <c r="J1123" i="2"/>
  <c r="K1123" i="2"/>
  <c r="G1124" i="2"/>
  <c r="H1124" i="2"/>
  <c r="I1124" i="2"/>
  <c r="J1124" i="2"/>
  <c r="K1124" i="2"/>
  <c r="G1125" i="2"/>
  <c r="H1125" i="2"/>
  <c r="I1125" i="2"/>
  <c r="J1125" i="2"/>
  <c r="K1125" i="2"/>
  <c r="G1126" i="2"/>
  <c r="H1126" i="2"/>
  <c r="I1126" i="2"/>
  <c r="J1126" i="2"/>
  <c r="K1126" i="2"/>
  <c r="G1127" i="2"/>
  <c r="H1127" i="2"/>
  <c r="I1127" i="2"/>
  <c r="J1127" i="2"/>
  <c r="K1127" i="2"/>
  <c r="G1128" i="2"/>
  <c r="H1128" i="2"/>
  <c r="I1128" i="2"/>
  <c r="J1128" i="2"/>
  <c r="K1128" i="2"/>
  <c r="G1129" i="2"/>
  <c r="H1129" i="2"/>
  <c r="I1129" i="2"/>
  <c r="J1129" i="2"/>
  <c r="K1129" i="2"/>
  <c r="G1130" i="2"/>
  <c r="H1130" i="2"/>
  <c r="I1130" i="2"/>
  <c r="J1130" i="2"/>
  <c r="K1130" i="2"/>
  <c r="G1131" i="2"/>
  <c r="H1131" i="2"/>
  <c r="I1131" i="2"/>
  <c r="J1131" i="2"/>
  <c r="K1131" i="2"/>
  <c r="G1132" i="2"/>
  <c r="H1132" i="2"/>
  <c r="I1132" i="2"/>
  <c r="J1132" i="2"/>
  <c r="K1132" i="2"/>
  <c r="G1133" i="2"/>
  <c r="H1133" i="2"/>
  <c r="I1133" i="2"/>
  <c r="J1133" i="2"/>
  <c r="K1133" i="2"/>
  <c r="G1134" i="2"/>
  <c r="H1134" i="2"/>
  <c r="I1134" i="2"/>
  <c r="J1134" i="2"/>
  <c r="K1134" i="2"/>
  <c r="G1135" i="2"/>
  <c r="H1135" i="2"/>
  <c r="I1135" i="2"/>
  <c r="J1135" i="2"/>
  <c r="K1135" i="2"/>
  <c r="G1136" i="2"/>
  <c r="H1136" i="2"/>
  <c r="I1136" i="2"/>
  <c r="J1136" i="2"/>
  <c r="K1136" i="2"/>
  <c r="G1137" i="2"/>
  <c r="H1137" i="2"/>
  <c r="I1137" i="2"/>
  <c r="J1137" i="2"/>
  <c r="K1137" i="2"/>
  <c r="G1138" i="2"/>
  <c r="H1138" i="2"/>
  <c r="I1138" i="2"/>
  <c r="J1138" i="2"/>
  <c r="K1138" i="2"/>
  <c r="G1139" i="2"/>
  <c r="H1139" i="2"/>
  <c r="I1139" i="2"/>
  <c r="J1139" i="2"/>
  <c r="K1139" i="2"/>
  <c r="G1140" i="2"/>
  <c r="H1140" i="2"/>
  <c r="I1140" i="2"/>
  <c r="J1140" i="2"/>
  <c r="K1140" i="2"/>
  <c r="G1141" i="2"/>
  <c r="H1141" i="2"/>
  <c r="I1141" i="2"/>
  <c r="J1141" i="2"/>
  <c r="K1141" i="2"/>
  <c r="G1142" i="2"/>
  <c r="H1142" i="2"/>
  <c r="I1142" i="2"/>
  <c r="J1142" i="2"/>
  <c r="K1142" i="2"/>
  <c r="G1143" i="2"/>
  <c r="H1143" i="2"/>
  <c r="I1143" i="2"/>
  <c r="J1143" i="2"/>
  <c r="K1143" i="2"/>
  <c r="G1144" i="2"/>
  <c r="H1144" i="2"/>
  <c r="I1144" i="2"/>
  <c r="J1144" i="2"/>
  <c r="K1144" i="2"/>
  <c r="G1145" i="2"/>
  <c r="H1145" i="2"/>
  <c r="I1145" i="2"/>
  <c r="J1145" i="2"/>
  <c r="K1145" i="2"/>
  <c r="G1146" i="2"/>
  <c r="H1146" i="2"/>
  <c r="I1146" i="2"/>
  <c r="J1146" i="2"/>
  <c r="K1146" i="2"/>
  <c r="G1147" i="2"/>
  <c r="H1147" i="2"/>
  <c r="I1147" i="2"/>
  <c r="J1147" i="2"/>
  <c r="K1147" i="2"/>
  <c r="G1148" i="2"/>
  <c r="H1148" i="2"/>
  <c r="I1148" i="2"/>
  <c r="J1148" i="2"/>
  <c r="K1148" i="2"/>
  <c r="G1149" i="2"/>
  <c r="H1149" i="2"/>
  <c r="I1149" i="2"/>
  <c r="J1149" i="2"/>
  <c r="K1149" i="2"/>
  <c r="G1150" i="2"/>
  <c r="H1150" i="2"/>
  <c r="I1150" i="2"/>
  <c r="J1150" i="2"/>
  <c r="K1150" i="2"/>
  <c r="G1151" i="2"/>
  <c r="H1151" i="2"/>
  <c r="I1151" i="2"/>
  <c r="J1151" i="2"/>
  <c r="K1151" i="2"/>
  <c r="G1152" i="2"/>
  <c r="H1152" i="2"/>
  <c r="I1152" i="2"/>
  <c r="J1152" i="2"/>
  <c r="K1152" i="2"/>
  <c r="G1153" i="2"/>
  <c r="H1153" i="2"/>
  <c r="I1153" i="2"/>
  <c r="J1153" i="2"/>
  <c r="K1153" i="2"/>
  <c r="G1154" i="2"/>
  <c r="H1154" i="2"/>
  <c r="I1154" i="2"/>
  <c r="J1154" i="2"/>
  <c r="K1154" i="2"/>
  <c r="G1155" i="2"/>
  <c r="H1155" i="2"/>
  <c r="I1155" i="2"/>
  <c r="J1155" i="2"/>
  <c r="K1155" i="2"/>
  <c r="G1156" i="2"/>
  <c r="H1156" i="2"/>
  <c r="I1156" i="2"/>
  <c r="J1156" i="2"/>
  <c r="K1156" i="2"/>
  <c r="G1157" i="2"/>
  <c r="H1157" i="2"/>
  <c r="I1157" i="2"/>
  <c r="J1157" i="2"/>
  <c r="K1157" i="2"/>
  <c r="G1158" i="2"/>
  <c r="H1158" i="2"/>
  <c r="I1158" i="2"/>
  <c r="J1158" i="2"/>
  <c r="K1158" i="2"/>
  <c r="G1159" i="2"/>
  <c r="H1159" i="2"/>
  <c r="I1159" i="2"/>
  <c r="J1159" i="2"/>
  <c r="K1159" i="2"/>
  <c r="G1160" i="2"/>
  <c r="H1160" i="2"/>
  <c r="I1160" i="2"/>
  <c r="J1160" i="2"/>
  <c r="K1160" i="2"/>
  <c r="G1161" i="2"/>
  <c r="H1161" i="2"/>
  <c r="I1161" i="2"/>
  <c r="J1161" i="2"/>
  <c r="K1161" i="2"/>
  <c r="G1162" i="2"/>
  <c r="H1162" i="2"/>
  <c r="I1162" i="2"/>
  <c r="J1162" i="2"/>
  <c r="K1162" i="2"/>
  <c r="G1163" i="2"/>
  <c r="H1163" i="2"/>
  <c r="I1163" i="2"/>
  <c r="J1163" i="2"/>
  <c r="K1163" i="2"/>
  <c r="G1164" i="2"/>
  <c r="H1164" i="2"/>
  <c r="I1164" i="2"/>
  <c r="J1164" i="2"/>
  <c r="K1164" i="2"/>
  <c r="G1165" i="2"/>
  <c r="H1165" i="2"/>
  <c r="I1165" i="2"/>
  <c r="J1165" i="2"/>
  <c r="K1165" i="2"/>
  <c r="G1166" i="2"/>
  <c r="H1166" i="2"/>
  <c r="I1166" i="2"/>
  <c r="J1166" i="2"/>
  <c r="K1166" i="2"/>
  <c r="G1167" i="2"/>
  <c r="H1167" i="2"/>
  <c r="I1167" i="2"/>
  <c r="J1167" i="2"/>
  <c r="K1167" i="2"/>
  <c r="G1168" i="2"/>
  <c r="H1168" i="2"/>
  <c r="I1168" i="2"/>
  <c r="J1168" i="2"/>
  <c r="K1168" i="2"/>
  <c r="G1169" i="2"/>
  <c r="H1169" i="2"/>
  <c r="I1169" i="2"/>
  <c r="J1169" i="2"/>
  <c r="K1169" i="2"/>
  <c r="G1170" i="2"/>
  <c r="H1170" i="2"/>
  <c r="I1170" i="2"/>
  <c r="J1170" i="2"/>
  <c r="K1170" i="2"/>
  <c r="G1171" i="2"/>
  <c r="H1171" i="2"/>
  <c r="I1171" i="2"/>
  <c r="J1171" i="2"/>
  <c r="K1171" i="2"/>
  <c r="G1172" i="2"/>
  <c r="H1172" i="2"/>
  <c r="I1172" i="2"/>
  <c r="J1172" i="2"/>
  <c r="K1172" i="2"/>
  <c r="G1173" i="2"/>
  <c r="H1173" i="2"/>
  <c r="I1173" i="2"/>
  <c r="J1173" i="2"/>
  <c r="K1173" i="2"/>
  <c r="G1174" i="2"/>
  <c r="H1174" i="2"/>
  <c r="I1174" i="2"/>
  <c r="J1174" i="2"/>
  <c r="K1174" i="2"/>
  <c r="G1175" i="2"/>
  <c r="H1175" i="2"/>
  <c r="I1175" i="2"/>
  <c r="J1175" i="2"/>
  <c r="K1175" i="2"/>
  <c r="G1176" i="2"/>
  <c r="H1176" i="2"/>
  <c r="I1176" i="2"/>
  <c r="J1176" i="2"/>
  <c r="K1176" i="2"/>
  <c r="G1177" i="2"/>
  <c r="H1177" i="2"/>
  <c r="I1177" i="2"/>
  <c r="J1177" i="2"/>
  <c r="K1177" i="2"/>
  <c r="G1178" i="2"/>
  <c r="H1178" i="2"/>
  <c r="I1178" i="2"/>
  <c r="J1178" i="2"/>
  <c r="K1178" i="2"/>
  <c r="G1179" i="2"/>
  <c r="H1179" i="2"/>
  <c r="I1179" i="2"/>
  <c r="J1179" i="2"/>
  <c r="K1179" i="2"/>
  <c r="G1180" i="2"/>
  <c r="H1180" i="2"/>
  <c r="I1180" i="2"/>
  <c r="J1180" i="2"/>
  <c r="K1180" i="2"/>
  <c r="G1181" i="2"/>
  <c r="H1181" i="2"/>
  <c r="I1181" i="2"/>
  <c r="J1181" i="2"/>
  <c r="K1181" i="2"/>
  <c r="G1182" i="2"/>
  <c r="H1182" i="2"/>
  <c r="I1182" i="2"/>
  <c r="J1182" i="2"/>
  <c r="K1182" i="2"/>
  <c r="G1183" i="2"/>
  <c r="H1183" i="2"/>
  <c r="I1183" i="2"/>
  <c r="J1183" i="2"/>
  <c r="K1183" i="2"/>
  <c r="G1184" i="2"/>
  <c r="H1184" i="2"/>
  <c r="I1184" i="2"/>
  <c r="J1184" i="2"/>
  <c r="K1184" i="2"/>
  <c r="G1185" i="2"/>
  <c r="H1185" i="2"/>
  <c r="I1185" i="2"/>
  <c r="J1185" i="2"/>
  <c r="K1185" i="2"/>
  <c r="G1186" i="2"/>
  <c r="H1186" i="2"/>
  <c r="I1186" i="2"/>
  <c r="J1186" i="2"/>
  <c r="K1186" i="2"/>
  <c r="G1187" i="2"/>
  <c r="H1187" i="2"/>
  <c r="I1187" i="2"/>
  <c r="J1187" i="2"/>
  <c r="K1187" i="2"/>
  <c r="G1188" i="2"/>
  <c r="H1188" i="2"/>
  <c r="I1188" i="2"/>
  <c r="J1188" i="2"/>
  <c r="K1188" i="2"/>
  <c r="G1189" i="2"/>
  <c r="H1189" i="2"/>
  <c r="I1189" i="2"/>
  <c r="J1189" i="2"/>
  <c r="K1189" i="2"/>
  <c r="G1190" i="2"/>
  <c r="H1190" i="2"/>
  <c r="I1190" i="2"/>
  <c r="J1190" i="2"/>
  <c r="K1190" i="2"/>
  <c r="G1191" i="2"/>
  <c r="H1191" i="2"/>
  <c r="I1191" i="2"/>
  <c r="J1191" i="2"/>
  <c r="K1191" i="2"/>
  <c r="G1192" i="2"/>
  <c r="H1192" i="2"/>
  <c r="I1192" i="2"/>
  <c r="J1192" i="2"/>
  <c r="K1192" i="2"/>
  <c r="G1193" i="2"/>
  <c r="H1193" i="2"/>
  <c r="I1193" i="2"/>
  <c r="J1193" i="2"/>
  <c r="K1193" i="2"/>
  <c r="G1194" i="2"/>
  <c r="H1194" i="2"/>
  <c r="I1194" i="2"/>
  <c r="J1194" i="2"/>
  <c r="K1194" i="2"/>
  <c r="G1195" i="2"/>
  <c r="H1195" i="2"/>
  <c r="I1195" i="2"/>
  <c r="J1195" i="2"/>
  <c r="K1195" i="2"/>
  <c r="G1196" i="2"/>
  <c r="H1196" i="2"/>
  <c r="I1196" i="2"/>
  <c r="J1196" i="2"/>
  <c r="K1196" i="2"/>
  <c r="G1197" i="2"/>
  <c r="H1197" i="2"/>
  <c r="I1197" i="2"/>
  <c r="J1197" i="2"/>
  <c r="K1197" i="2"/>
  <c r="G1198" i="2"/>
  <c r="H1198" i="2"/>
  <c r="I1198" i="2"/>
  <c r="J1198" i="2"/>
  <c r="K1198" i="2"/>
  <c r="G1199" i="2"/>
  <c r="H1199" i="2"/>
  <c r="I1199" i="2"/>
  <c r="J1199" i="2"/>
  <c r="K1199" i="2"/>
  <c r="G1200" i="2"/>
  <c r="H1200" i="2"/>
  <c r="I1200" i="2"/>
  <c r="J1200" i="2"/>
  <c r="K1200" i="2"/>
  <c r="G1201" i="2"/>
  <c r="H1201" i="2"/>
  <c r="I1201" i="2"/>
  <c r="J1201" i="2"/>
  <c r="K1201" i="2"/>
  <c r="G1202" i="2"/>
  <c r="H1202" i="2"/>
  <c r="I1202" i="2"/>
  <c r="J1202" i="2"/>
  <c r="K1202" i="2"/>
  <c r="G1203" i="2"/>
  <c r="H1203" i="2"/>
  <c r="I1203" i="2"/>
  <c r="J1203" i="2"/>
  <c r="K1203" i="2"/>
  <c r="G1204" i="2"/>
  <c r="H1204" i="2"/>
  <c r="I1204" i="2"/>
  <c r="J1204" i="2"/>
  <c r="K1204" i="2"/>
  <c r="G1205" i="2"/>
  <c r="H1205" i="2"/>
  <c r="I1205" i="2"/>
  <c r="J1205" i="2"/>
  <c r="K1205" i="2"/>
  <c r="G1206" i="2"/>
  <c r="H1206" i="2"/>
  <c r="I1206" i="2"/>
  <c r="J1206" i="2"/>
  <c r="K1206" i="2"/>
  <c r="G1207" i="2"/>
  <c r="H1207" i="2"/>
  <c r="I1207" i="2"/>
  <c r="J1207" i="2"/>
  <c r="K1207" i="2"/>
  <c r="G1208" i="2"/>
  <c r="H1208" i="2"/>
  <c r="I1208" i="2"/>
  <c r="J1208" i="2"/>
  <c r="K1208" i="2"/>
  <c r="G1209" i="2"/>
  <c r="H1209" i="2"/>
  <c r="I1209" i="2"/>
  <c r="J1209" i="2"/>
  <c r="K1209" i="2"/>
  <c r="G1210" i="2"/>
  <c r="H1210" i="2"/>
  <c r="I1210" i="2"/>
  <c r="J1210" i="2"/>
  <c r="K1210" i="2"/>
  <c r="G1211" i="2"/>
  <c r="H1211" i="2"/>
  <c r="I1211" i="2"/>
  <c r="J1211" i="2"/>
  <c r="K1211" i="2"/>
  <c r="G1212" i="2"/>
  <c r="H1212" i="2"/>
  <c r="I1212" i="2"/>
  <c r="J1212" i="2"/>
  <c r="K1212" i="2"/>
  <c r="G1213" i="2"/>
  <c r="H1213" i="2"/>
  <c r="I1213" i="2"/>
  <c r="J1213" i="2"/>
  <c r="K1213" i="2"/>
  <c r="G1214" i="2"/>
  <c r="H1214" i="2"/>
  <c r="I1214" i="2"/>
  <c r="J1214" i="2"/>
  <c r="K1214" i="2"/>
  <c r="G1215" i="2"/>
  <c r="H1215" i="2"/>
  <c r="I1215" i="2"/>
  <c r="J1215" i="2"/>
  <c r="K1215" i="2"/>
  <c r="G1216" i="2"/>
  <c r="H1216" i="2"/>
  <c r="I1216" i="2"/>
  <c r="J1216" i="2"/>
  <c r="K1216" i="2"/>
  <c r="G1217" i="2"/>
  <c r="H1217" i="2"/>
  <c r="I1217" i="2"/>
  <c r="J1217" i="2"/>
  <c r="K1217" i="2"/>
  <c r="G1218" i="2"/>
  <c r="H1218" i="2"/>
  <c r="I1218" i="2"/>
  <c r="J1218" i="2"/>
  <c r="K1218" i="2"/>
  <c r="G1219" i="2"/>
  <c r="H1219" i="2"/>
  <c r="I1219" i="2"/>
  <c r="J1219" i="2"/>
  <c r="K1219" i="2"/>
  <c r="G1220" i="2"/>
  <c r="H1220" i="2"/>
  <c r="I1220" i="2"/>
  <c r="J1220" i="2"/>
  <c r="K1220" i="2"/>
  <c r="G1221" i="2"/>
  <c r="H1221" i="2"/>
  <c r="I1221" i="2"/>
  <c r="J1221" i="2"/>
  <c r="K1221" i="2"/>
  <c r="G1222" i="2"/>
  <c r="H1222" i="2"/>
  <c r="I1222" i="2"/>
  <c r="J1222" i="2"/>
  <c r="K1222" i="2"/>
  <c r="G1223" i="2"/>
  <c r="H1223" i="2"/>
  <c r="I1223" i="2"/>
  <c r="J1223" i="2"/>
  <c r="K1223" i="2"/>
  <c r="G1224" i="2"/>
  <c r="H1224" i="2"/>
  <c r="I1224" i="2"/>
  <c r="J1224" i="2"/>
  <c r="K1224" i="2"/>
  <c r="G1225" i="2"/>
  <c r="H1225" i="2"/>
  <c r="I1225" i="2"/>
  <c r="J1225" i="2"/>
  <c r="K1225" i="2"/>
  <c r="G1226" i="2"/>
  <c r="H1226" i="2"/>
  <c r="I1226" i="2"/>
  <c r="J1226" i="2"/>
  <c r="K1226" i="2"/>
  <c r="G1227" i="2"/>
  <c r="H1227" i="2"/>
  <c r="I1227" i="2"/>
  <c r="J1227" i="2"/>
  <c r="K1227" i="2"/>
  <c r="G1228" i="2"/>
  <c r="H1228" i="2"/>
  <c r="I1228" i="2"/>
  <c r="J1228" i="2"/>
  <c r="K1228" i="2"/>
  <c r="G1229" i="2"/>
  <c r="H1229" i="2"/>
  <c r="I1229" i="2"/>
  <c r="J1229" i="2"/>
  <c r="K1229" i="2"/>
  <c r="G1230" i="2"/>
  <c r="H1230" i="2"/>
  <c r="I1230" i="2"/>
  <c r="J1230" i="2"/>
  <c r="K1230" i="2"/>
  <c r="G1231" i="2"/>
  <c r="H1231" i="2"/>
  <c r="I1231" i="2"/>
  <c r="J1231" i="2"/>
  <c r="K1231" i="2"/>
  <c r="G1232" i="2"/>
  <c r="H1232" i="2"/>
  <c r="I1232" i="2"/>
  <c r="J1232" i="2"/>
  <c r="K1232" i="2"/>
  <c r="G1233" i="2"/>
  <c r="H1233" i="2"/>
  <c r="I1233" i="2"/>
  <c r="J1233" i="2"/>
  <c r="K1233" i="2"/>
  <c r="G1234" i="2"/>
  <c r="H1234" i="2"/>
  <c r="I1234" i="2"/>
  <c r="J1234" i="2"/>
  <c r="K1234" i="2"/>
  <c r="G1235" i="2"/>
  <c r="H1235" i="2"/>
  <c r="I1235" i="2"/>
  <c r="J1235" i="2"/>
  <c r="K1235" i="2"/>
  <c r="G1236" i="2"/>
  <c r="H1236" i="2"/>
  <c r="I1236" i="2"/>
  <c r="J1236" i="2"/>
  <c r="K1236" i="2"/>
  <c r="G1237" i="2"/>
  <c r="H1237" i="2"/>
  <c r="I1237" i="2"/>
  <c r="J1237" i="2"/>
  <c r="K1237" i="2"/>
  <c r="G1238" i="2"/>
  <c r="H1238" i="2"/>
  <c r="I1238" i="2"/>
  <c r="J1238" i="2"/>
  <c r="K1238" i="2"/>
  <c r="G1239" i="2"/>
  <c r="H1239" i="2"/>
  <c r="I1239" i="2"/>
  <c r="J1239" i="2"/>
  <c r="K1239" i="2"/>
  <c r="G1240" i="2"/>
  <c r="H1240" i="2"/>
  <c r="I1240" i="2"/>
  <c r="J1240" i="2"/>
  <c r="K1240" i="2"/>
  <c r="G1241" i="2"/>
  <c r="H1241" i="2"/>
  <c r="I1241" i="2"/>
  <c r="J1241" i="2"/>
  <c r="K1241" i="2"/>
  <c r="G1242" i="2"/>
  <c r="H1242" i="2"/>
  <c r="I1242" i="2"/>
  <c r="J1242" i="2"/>
  <c r="K1242" i="2"/>
  <c r="G1243" i="2"/>
  <c r="H1243" i="2"/>
  <c r="I1243" i="2"/>
  <c r="J1243" i="2"/>
  <c r="K1243" i="2"/>
  <c r="G1244" i="2"/>
  <c r="H1244" i="2"/>
  <c r="I1244" i="2"/>
  <c r="J1244" i="2"/>
  <c r="K1244" i="2"/>
  <c r="G1245" i="2"/>
  <c r="H1245" i="2"/>
  <c r="I1245" i="2"/>
  <c r="J1245" i="2"/>
  <c r="K1245" i="2"/>
  <c r="G1246" i="2"/>
  <c r="H1246" i="2"/>
  <c r="I1246" i="2"/>
  <c r="J1246" i="2"/>
  <c r="K1246" i="2"/>
  <c r="G1247" i="2"/>
  <c r="H1247" i="2"/>
  <c r="I1247" i="2"/>
  <c r="J1247" i="2"/>
  <c r="K1247" i="2"/>
  <c r="G1248" i="2"/>
  <c r="H1248" i="2"/>
  <c r="I1248" i="2"/>
  <c r="J1248" i="2"/>
  <c r="K1248" i="2"/>
  <c r="G1249" i="2"/>
  <c r="H1249" i="2"/>
  <c r="I1249" i="2"/>
  <c r="J1249" i="2"/>
  <c r="K1249" i="2"/>
  <c r="G1250" i="2"/>
  <c r="H1250" i="2"/>
  <c r="I1250" i="2"/>
  <c r="J1250" i="2"/>
  <c r="K1250" i="2"/>
  <c r="G1251" i="2"/>
  <c r="H1251" i="2"/>
  <c r="I1251" i="2"/>
  <c r="J1251" i="2"/>
  <c r="K1251" i="2"/>
  <c r="G1252" i="2"/>
  <c r="H1252" i="2"/>
  <c r="I1252" i="2"/>
  <c r="J1252" i="2"/>
  <c r="K1252" i="2"/>
  <c r="G1253" i="2"/>
  <c r="H1253" i="2"/>
  <c r="I1253" i="2"/>
  <c r="J1253" i="2"/>
  <c r="K1253" i="2"/>
  <c r="G1254" i="2"/>
  <c r="H1254" i="2"/>
  <c r="I1254" i="2"/>
  <c r="J1254" i="2"/>
  <c r="K1254" i="2"/>
  <c r="G1255" i="2"/>
  <c r="H1255" i="2"/>
  <c r="I1255" i="2"/>
  <c r="J1255" i="2"/>
  <c r="K1255" i="2"/>
  <c r="G1256" i="2"/>
  <c r="H1256" i="2"/>
  <c r="I1256" i="2"/>
  <c r="J1256" i="2"/>
  <c r="K1256" i="2"/>
  <c r="G1257" i="2"/>
  <c r="H1257" i="2"/>
  <c r="I1257" i="2"/>
  <c r="J1257" i="2"/>
  <c r="K1257" i="2"/>
  <c r="G1258" i="2"/>
  <c r="H1258" i="2"/>
  <c r="I1258" i="2"/>
  <c r="J1258" i="2"/>
  <c r="K1258" i="2"/>
  <c r="G1259" i="2"/>
  <c r="H1259" i="2"/>
  <c r="I1259" i="2"/>
  <c r="J1259" i="2"/>
  <c r="K1259" i="2"/>
  <c r="G1260" i="2"/>
  <c r="H1260" i="2"/>
  <c r="I1260" i="2"/>
  <c r="J1260" i="2"/>
  <c r="K1260" i="2"/>
  <c r="G1261" i="2"/>
  <c r="H1261" i="2"/>
  <c r="I1261" i="2"/>
  <c r="J1261" i="2"/>
  <c r="K1261" i="2"/>
  <c r="G1262" i="2"/>
  <c r="H1262" i="2"/>
  <c r="I1262" i="2"/>
  <c r="J1262" i="2"/>
  <c r="K1262" i="2"/>
  <c r="G1263" i="2"/>
  <c r="H1263" i="2"/>
  <c r="I1263" i="2"/>
  <c r="J1263" i="2"/>
  <c r="K1263" i="2"/>
  <c r="G1264" i="2"/>
  <c r="H1264" i="2"/>
  <c r="I1264" i="2"/>
  <c r="J1264" i="2"/>
  <c r="K1264" i="2"/>
  <c r="G1265" i="2"/>
  <c r="H1265" i="2"/>
  <c r="I1265" i="2"/>
  <c r="J1265" i="2"/>
  <c r="K1265" i="2"/>
  <c r="G1266" i="2"/>
  <c r="H1266" i="2"/>
  <c r="I1266" i="2"/>
  <c r="J1266" i="2"/>
  <c r="K1266" i="2"/>
  <c r="G1267" i="2"/>
  <c r="H1267" i="2"/>
  <c r="I1267" i="2"/>
  <c r="J1267" i="2"/>
  <c r="K1267" i="2"/>
  <c r="G1268" i="2"/>
  <c r="H1268" i="2"/>
  <c r="I1268" i="2"/>
  <c r="J1268" i="2"/>
  <c r="K1268" i="2"/>
  <c r="G1269" i="2"/>
  <c r="H1269" i="2"/>
  <c r="I1269" i="2"/>
  <c r="J1269" i="2"/>
  <c r="K1269" i="2"/>
  <c r="G1270" i="2"/>
  <c r="H1270" i="2"/>
  <c r="I1270" i="2"/>
  <c r="J1270" i="2"/>
  <c r="K1270" i="2"/>
  <c r="G1271" i="2"/>
  <c r="H1271" i="2"/>
  <c r="I1271" i="2"/>
  <c r="J1271" i="2"/>
  <c r="K1271" i="2"/>
  <c r="G1272" i="2"/>
  <c r="H1272" i="2"/>
  <c r="I1272" i="2"/>
  <c r="J1272" i="2"/>
  <c r="K1272" i="2"/>
  <c r="G1273" i="2"/>
  <c r="H1273" i="2"/>
  <c r="I1273" i="2"/>
  <c r="J1273" i="2"/>
  <c r="K1273" i="2"/>
  <c r="G1274" i="2"/>
  <c r="H1274" i="2"/>
  <c r="I1274" i="2"/>
  <c r="J1274" i="2"/>
  <c r="K1274" i="2"/>
  <c r="G1275" i="2"/>
  <c r="H1275" i="2"/>
  <c r="I1275" i="2"/>
  <c r="J1275" i="2"/>
  <c r="K1275" i="2"/>
  <c r="G1276" i="2"/>
  <c r="H1276" i="2"/>
  <c r="I1276" i="2"/>
  <c r="J1276" i="2"/>
  <c r="K1276" i="2"/>
  <c r="G1277" i="2"/>
  <c r="H1277" i="2"/>
  <c r="I1277" i="2"/>
  <c r="J1277" i="2"/>
  <c r="K1277" i="2"/>
  <c r="G1278" i="2"/>
  <c r="H1278" i="2"/>
  <c r="I1278" i="2"/>
  <c r="J1278" i="2"/>
  <c r="K1278" i="2"/>
  <c r="G1279" i="2"/>
  <c r="H1279" i="2"/>
  <c r="I1279" i="2"/>
  <c r="J1279" i="2"/>
  <c r="K1279" i="2"/>
  <c r="G1280" i="2"/>
  <c r="H1280" i="2"/>
  <c r="I1280" i="2"/>
  <c r="J1280" i="2"/>
  <c r="K1280" i="2"/>
  <c r="G1281" i="2"/>
  <c r="H1281" i="2"/>
  <c r="I1281" i="2"/>
  <c r="J1281" i="2"/>
  <c r="K1281" i="2"/>
  <c r="G1282" i="2"/>
  <c r="H1282" i="2"/>
  <c r="I1282" i="2"/>
  <c r="J1282" i="2"/>
  <c r="K1282" i="2"/>
  <c r="G1283" i="2"/>
  <c r="H1283" i="2"/>
  <c r="I1283" i="2"/>
  <c r="J1283" i="2"/>
  <c r="K1283" i="2"/>
  <c r="G1284" i="2"/>
  <c r="H1284" i="2"/>
  <c r="I1284" i="2"/>
  <c r="J1284" i="2"/>
  <c r="K1284" i="2"/>
  <c r="G1285" i="2"/>
  <c r="H1285" i="2"/>
  <c r="I1285" i="2"/>
  <c r="J1285" i="2"/>
  <c r="K1285" i="2"/>
  <c r="G1286" i="2"/>
  <c r="H1286" i="2"/>
  <c r="I1286" i="2"/>
  <c r="J1286" i="2"/>
  <c r="K1286" i="2"/>
  <c r="G1287" i="2"/>
  <c r="H1287" i="2"/>
  <c r="I1287" i="2"/>
  <c r="J1287" i="2"/>
  <c r="K1287" i="2"/>
  <c r="G1288" i="2"/>
  <c r="H1288" i="2"/>
  <c r="I1288" i="2"/>
  <c r="J1288" i="2"/>
  <c r="K1288" i="2"/>
  <c r="G1289" i="2"/>
  <c r="H1289" i="2"/>
  <c r="I1289" i="2"/>
  <c r="J1289" i="2"/>
  <c r="K1289" i="2"/>
  <c r="G1290" i="2"/>
  <c r="H1290" i="2"/>
  <c r="I1290" i="2"/>
  <c r="J1290" i="2"/>
  <c r="K1290" i="2"/>
  <c r="G1291" i="2"/>
  <c r="H1291" i="2"/>
  <c r="I1291" i="2"/>
  <c r="J1291" i="2"/>
  <c r="K1291" i="2"/>
  <c r="G1292" i="2"/>
  <c r="H1292" i="2"/>
  <c r="I1292" i="2"/>
  <c r="J1292" i="2"/>
  <c r="K1292" i="2"/>
  <c r="G1293" i="2"/>
  <c r="H1293" i="2"/>
  <c r="I1293" i="2"/>
  <c r="J1293" i="2"/>
  <c r="K1293" i="2"/>
  <c r="G1294" i="2"/>
  <c r="H1294" i="2"/>
  <c r="I1294" i="2"/>
  <c r="J1294" i="2"/>
  <c r="K1294" i="2"/>
  <c r="G1295" i="2"/>
  <c r="H1295" i="2"/>
  <c r="I1295" i="2"/>
  <c r="J1295" i="2"/>
  <c r="K1295" i="2"/>
  <c r="G1296" i="2"/>
  <c r="H1296" i="2"/>
  <c r="I1296" i="2"/>
  <c r="J1296" i="2"/>
  <c r="K1296" i="2"/>
  <c r="G1297" i="2"/>
  <c r="H1297" i="2"/>
  <c r="I1297" i="2"/>
  <c r="J1297" i="2"/>
  <c r="K1297" i="2"/>
  <c r="G1298" i="2"/>
  <c r="H1298" i="2"/>
  <c r="I1298" i="2"/>
  <c r="J1298" i="2"/>
  <c r="K1298" i="2"/>
  <c r="G1299" i="2"/>
  <c r="H1299" i="2"/>
  <c r="I1299" i="2"/>
  <c r="J1299" i="2"/>
  <c r="K1299" i="2"/>
  <c r="G1300" i="2"/>
  <c r="H1300" i="2"/>
  <c r="I1300" i="2"/>
  <c r="J1300" i="2"/>
  <c r="K1300" i="2"/>
  <c r="G1301" i="2"/>
  <c r="H1301" i="2"/>
  <c r="I1301" i="2"/>
  <c r="J1301" i="2"/>
  <c r="K1301" i="2"/>
  <c r="G1302" i="2"/>
  <c r="H1302" i="2"/>
  <c r="I1302" i="2"/>
  <c r="J1302" i="2"/>
  <c r="K1302" i="2"/>
  <c r="G1303" i="2"/>
  <c r="H1303" i="2"/>
  <c r="I1303" i="2"/>
  <c r="J1303" i="2"/>
  <c r="K1303" i="2"/>
  <c r="G1304" i="2"/>
  <c r="H1304" i="2"/>
  <c r="I1304" i="2"/>
  <c r="J1304" i="2"/>
  <c r="K1304" i="2"/>
  <c r="G1305" i="2"/>
  <c r="H1305" i="2"/>
  <c r="I1305" i="2"/>
  <c r="J1305" i="2"/>
  <c r="K1305" i="2"/>
  <c r="G1306" i="2"/>
  <c r="H1306" i="2"/>
  <c r="I1306" i="2"/>
  <c r="J1306" i="2"/>
  <c r="K1306" i="2"/>
  <c r="G1307" i="2"/>
  <c r="H1307" i="2"/>
  <c r="I1307" i="2"/>
  <c r="J1307" i="2"/>
  <c r="K1307" i="2"/>
  <c r="G1308" i="2"/>
  <c r="H1308" i="2"/>
  <c r="I1308" i="2"/>
  <c r="J1308" i="2"/>
  <c r="K1308" i="2"/>
  <c r="G1309" i="2"/>
  <c r="H1309" i="2"/>
  <c r="I1309" i="2"/>
  <c r="J1309" i="2"/>
  <c r="K1309" i="2"/>
  <c r="G1310" i="2"/>
  <c r="H1310" i="2"/>
  <c r="I1310" i="2"/>
  <c r="J1310" i="2"/>
  <c r="K1310" i="2"/>
  <c r="G1311" i="2"/>
  <c r="H1311" i="2"/>
  <c r="I1311" i="2"/>
  <c r="J1311" i="2"/>
  <c r="K1311" i="2"/>
  <c r="G1312" i="2"/>
  <c r="H1312" i="2"/>
  <c r="I1312" i="2"/>
  <c r="J1312" i="2"/>
  <c r="K1312" i="2"/>
  <c r="G1313" i="2"/>
  <c r="H1313" i="2"/>
  <c r="I1313" i="2"/>
  <c r="J1313" i="2"/>
  <c r="K1313" i="2"/>
  <c r="G1314" i="2"/>
  <c r="H1314" i="2"/>
  <c r="I1314" i="2"/>
  <c r="J1314" i="2"/>
  <c r="K1314" i="2"/>
  <c r="G1315" i="2"/>
  <c r="H1315" i="2"/>
  <c r="I1315" i="2"/>
  <c r="J1315" i="2"/>
  <c r="K1315" i="2"/>
  <c r="G1316" i="2"/>
  <c r="H1316" i="2"/>
  <c r="I1316" i="2"/>
  <c r="J1316" i="2"/>
  <c r="K1316" i="2"/>
  <c r="G1317" i="2"/>
  <c r="H1317" i="2"/>
  <c r="I1317" i="2"/>
  <c r="J1317" i="2"/>
  <c r="K1317" i="2"/>
  <c r="G1318" i="2"/>
  <c r="H1318" i="2"/>
  <c r="I1318" i="2"/>
  <c r="J1318" i="2"/>
  <c r="K1318" i="2"/>
  <c r="G1319" i="2"/>
  <c r="H1319" i="2"/>
  <c r="I1319" i="2"/>
  <c r="J1319" i="2"/>
  <c r="K1319" i="2"/>
  <c r="G1320" i="2"/>
  <c r="H1320" i="2"/>
  <c r="I1320" i="2"/>
  <c r="J1320" i="2"/>
  <c r="K1320" i="2"/>
  <c r="G1321" i="2"/>
  <c r="H1321" i="2"/>
  <c r="I1321" i="2"/>
  <c r="J1321" i="2"/>
  <c r="K1321" i="2"/>
  <c r="G1322" i="2"/>
  <c r="H1322" i="2"/>
  <c r="I1322" i="2"/>
  <c r="J1322" i="2"/>
  <c r="K1322" i="2"/>
  <c r="G1323" i="2"/>
  <c r="H1323" i="2"/>
  <c r="I1323" i="2"/>
  <c r="J1323" i="2"/>
  <c r="K1323" i="2"/>
  <c r="G1324" i="2"/>
  <c r="H1324" i="2"/>
  <c r="I1324" i="2"/>
  <c r="J1324" i="2"/>
  <c r="K1324" i="2"/>
  <c r="G1325" i="2"/>
  <c r="H1325" i="2"/>
  <c r="I1325" i="2"/>
  <c r="J1325" i="2"/>
  <c r="K1325" i="2"/>
  <c r="G1326" i="2"/>
  <c r="H1326" i="2"/>
  <c r="I1326" i="2"/>
  <c r="J1326" i="2"/>
  <c r="K1326" i="2"/>
  <c r="G1327" i="2"/>
  <c r="H1327" i="2"/>
  <c r="I1327" i="2"/>
  <c r="J1327" i="2"/>
  <c r="K1327" i="2"/>
  <c r="G1328" i="2"/>
  <c r="H1328" i="2"/>
  <c r="I1328" i="2"/>
  <c r="J1328" i="2"/>
  <c r="K1328" i="2"/>
  <c r="G1329" i="2"/>
  <c r="H1329" i="2"/>
  <c r="I1329" i="2"/>
  <c r="J1329" i="2"/>
  <c r="K1329" i="2"/>
  <c r="G1330" i="2"/>
  <c r="H1330" i="2"/>
  <c r="I1330" i="2"/>
  <c r="J1330" i="2"/>
  <c r="K1330" i="2"/>
  <c r="G1331" i="2"/>
  <c r="H1331" i="2"/>
  <c r="I1331" i="2"/>
  <c r="J1331" i="2"/>
  <c r="K1331" i="2"/>
  <c r="G1332" i="2"/>
  <c r="H1332" i="2"/>
  <c r="I1332" i="2"/>
  <c r="J1332" i="2"/>
  <c r="K1332" i="2"/>
  <c r="G1333" i="2"/>
  <c r="H1333" i="2"/>
  <c r="I1333" i="2"/>
  <c r="J1333" i="2"/>
  <c r="K1333" i="2"/>
  <c r="G1334" i="2"/>
  <c r="H1334" i="2"/>
  <c r="I1334" i="2"/>
  <c r="J1334" i="2"/>
  <c r="K1334" i="2"/>
  <c r="G1335" i="2"/>
  <c r="H1335" i="2"/>
  <c r="I1335" i="2"/>
  <c r="J1335" i="2"/>
  <c r="K1335" i="2"/>
  <c r="G1336" i="2"/>
  <c r="H1336" i="2"/>
  <c r="I1336" i="2"/>
  <c r="J1336" i="2"/>
  <c r="K1336" i="2"/>
  <c r="G1337" i="2"/>
  <c r="H1337" i="2"/>
  <c r="I1337" i="2"/>
  <c r="J1337" i="2"/>
  <c r="K1337" i="2"/>
  <c r="G1338" i="2"/>
  <c r="H1338" i="2"/>
  <c r="I1338" i="2"/>
  <c r="J1338" i="2"/>
  <c r="K1338" i="2"/>
  <c r="G1339" i="2"/>
  <c r="H1339" i="2"/>
  <c r="I1339" i="2"/>
  <c r="J1339" i="2"/>
  <c r="K1339" i="2"/>
  <c r="G1340" i="2"/>
  <c r="H1340" i="2"/>
  <c r="I1340" i="2"/>
  <c r="J1340" i="2"/>
  <c r="K1340" i="2"/>
  <c r="G1341" i="2"/>
  <c r="H1341" i="2"/>
  <c r="I1341" i="2"/>
  <c r="J1341" i="2"/>
  <c r="K1341" i="2"/>
  <c r="G1342" i="2"/>
  <c r="H1342" i="2"/>
  <c r="I1342" i="2"/>
  <c r="J1342" i="2"/>
  <c r="K1342" i="2"/>
  <c r="G1343" i="2"/>
  <c r="H1343" i="2"/>
  <c r="I1343" i="2"/>
  <c r="J1343" i="2"/>
  <c r="K1343" i="2"/>
  <c r="G1344" i="2"/>
  <c r="H1344" i="2"/>
  <c r="I1344" i="2"/>
  <c r="J1344" i="2"/>
  <c r="K1344" i="2"/>
  <c r="G1345" i="2"/>
  <c r="H1345" i="2"/>
  <c r="I1345" i="2"/>
  <c r="J1345" i="2"/>
  <c r="K1345" i="2"/>
  <c r="G1346" i="2"/>
  <c r="H1346" i="2"/>
  <c r="I1346" i="2"/>
  <c r="J1346" i="2"/>
  <c r="K1346" i="2"/>
  <c r="G1347" i="2"/>
  <c r="H1347" i="2"/>
  <c r="I1347" i="2"/>
  <c r="J1347" i="2"/>
  <c r="K1347" i="2"/>
  <c r="G1348" i="2"/>
  <c r="H1348" i="2"/>
  <c r="I1348" i="2"/>
  <c r="J1348" i="2"/>
  <c r="K1348" i="2"/>
  <c r="G1349" i="2"/>
  <c r="H1349" i="2"/>
  <c r="I1349" i="2"/>
  <c r="J1349" i="2"/>
  <c r="K1349" i="2"/>
  <c r="G1350" i="2"/>
  <c r="H1350" i="2"/>
  <c r="I1350" i="2"/>
  <c r="J1350" i="2"/>
  <c r="K1350" i="2"/>
  <c r="G1351" i="2"/>
  <c r="H1351" i="2"/>
  <c r="I1351" i="2"/>
  <c r="J1351" i="2"/>
  <c r="K1351" i="2"/>
  <c r="G1352" i="2"/>
  <c r="H1352" i="2"/>
  <c r="I1352" i="2"/>
  <c r="J1352" i="2"/>
  <c r="K1352" i="2"/>
  <c r="G1353" i="2"/>
  <c r="H1353" i="2"/>
  <c r="I1353" i="2"/>
  <c r="J1353" i="2"/>
  <c r="K1353" i="2"/>
  <c r="G1354" i="2"/>
  <c r="H1354" i="2"/>
  <c r="I1354" i="2"/>
  <c r="J1354" i="2"/>
  <c r="K1354" i="2"/>
  <c r="G1355" i="2"/>
  <c r="H1355" i="2"/>
  <c r="I1355" i="2"/>
  <c r="J1355" i="2"/>
  <c r="K1355" i="2"/>
  <c r="G1356" i="2"/>
  <c r="H1356" i="2"/>
  <c r="I1356" i="2"/>
  <c r="J1356" i="2"/>
  <c r="K1356" i="2"/>
  <c r="G1357" i="2"/>
  <c r="H1357" i="2"/>
  <c r="I1357" i="2"/>
  <c r="J1357" i="2"/>
  <c r="K1357" i="2"/>
  <c r="G1358" i="2"/>
  <c r="H1358" i="2"/>
  <c r="I1358" i="2"/>
  <c r="J1358" i="2"/>
  <c r="K1358" i="2"/>
  <c r="G1359" i="2"/>
  <c r="H1359" i="2"/>
  <c r="I1359" i="2"/>
  <c r="J1359" i="2"/>
  <c r="K1359" i="2"/>
  <c r="G1360" i="2"/>
  <c r="H1360" i="2"/>
  <c r="I1360" i="2"/>
  <c r="J1360" i="2"/>
  <c r="K1360" i="2"/>
  <c r="G1361" i="2"/>
  <c r="H1361" i="2"/>
  <c r="I1361" i="2"/>
  <c r="J1361" i="2"/>
  <c r="K1361" i="2"/>
  <c r="G1362" i="2"/>
  <c r="H1362" i="2"/>
  <c r="I1362" i="2"/>
  <c r="J1362" i="2"/>
  <c r="K1362" i="2"/>
  <c r="G1363" i="2"/>
  <c r="H1363" i="2"/>
  <c r="I1363" i="2"/>
  <c r="J1363" i="2"/>
  <c r="K1363" i="2"/>
  <c r="G1364" i="2"/>
  <c r="H1364" i="2"/>
  <c r="I1364" i="2"/>
  <c r="J1364" i="2"/>
  <c r="K1364" i="2"/>
  <c r="G1365" i="2"/>
  <c r="H1365" i="2"/>
  <c r="I1365" i="2"/>
  <c r="J1365" i="2"/>
  <c r="K1365" i="2"/>
  <c r="G1366" i="2"/>
  <c r="H1366" i="2"/>
  <c r="I1366" i="2"/>
  <c r="J1366" i="2"/>
  <c r="K1366" i="2"/>
  <c r="G1367" i="2"/>
  <c r="H1367" i="2"/>
  <c r="I1367" i="2"/>
  <c r="J1367" i="2"/>
  <c r="K1367" i="2"/>
  <c r="G1368" i="2"/>
  <c r="H1368" i="2"/>
  <c r="I1368" i="2"/>
  <c r="J1368" i="2"/>
  <c r="K1368" i="2"/>
  <c r="G1369" i="2"/>
  <c r="H1369" i="2"/>
  <c r="I1369" i="2"/>
  <c r="J1369" i="2"/>
  <c r="K1369" i="2"/>
  <c r="G1370" i="2"/>
  <c r="H1370" i="2"/>
  <c r="I1370" i="2"/>
  <c r="J1370" i="2"/>
  <c r="K1370" i="2"/>
  <c r="G1371" i="2"/>
  <c r="H1371" i="2"/>
  <c r="I1371" i="2"/>
  <c r="J1371" i="2"/>
  <c r="K1371" i="2"/>
  <c r="G1372" i="2"/>
  <c r="H1372" i="2"/>
  <c r="I1372" i="2"/>
  <c r="J1372" i="2"/>
  <c r="K1372" i="2"/>
  <c r="G1373" i="2"/>
  <c r="H1373" i="2"/>
  <c r="I1373" i="2"/>
  <c r="J1373" i="2"/>
  <c r="K1373" i="2"/>
  <c r="G1374" i="2"/>
  <c r="H1374" i="2"/>
  <c r="I1374" i="2"/>
  <c r="J1374" i="2"/>
  <c r="K1374" i="2"/>
  <c r="G1375" i="2"/>
  <c r="H1375" i="2"/>
  <c r="I1375" i="2"/>
  <c r="J1375" i="2"/>
  <c r="K1375" i="2"/>
  <c r="G1376" i="2"/>
  <c r="H1376" i="2"/>
  <c r="I1376" i="2"/>
  <c r="J1376" i="2"/>
  <c r="K1376" i="2"/>
  <c r="G1377" i="2"/>
  <c r="H1377" i="2"/>
  <c r="I1377" i="2"/>
  <c r="J1377" i="2"/>
  <c r="K1377" i="2"/>
  <c r="G1378" i="2"/>
  <c r="H1378" i="2"/>
  <c r="I1378" i="2"/>
  <c r="J1378" i="2"/>
  <c r="K1378" i="2"/>
  <c r="G1379" i="2"/>
  <c r="H1379" i="2"/>
  <c r="I1379" i="2"/>
  <c r="J1379" i="2"/>
  <c r="K1379" i="2"/>
  <c r="G1380" i="2"/>
  <c r="H1380" i="2"/>
  <c r="I1380" i="2"/>
  <c r="J1380" i="2"/>
  <c r="K1380" i="2"/>
  <c r="G1381" i="2"/>
  <c r="H1381" i="2"/>
  <c r="I1381" i="2"/>
  <c r="J1381" i="2"/>
  <c r="K1381" i="2"/>
  <c r="G1382" i="2"/>
  <c r="H1382" i="2"/>
  <c r="I1382" i="2"/>
  <c r="J1382" i="2"/>
  <c r="K1382" i="2"/>
  <c r="G1383" i="2"/>
  <c r="H1383" i="2"/>
  <c r="I1383" i="2"/>
  <c r="J1383" i="2"/>
  <c r="K1383" i="2"/>
  <c r="G1384" i="2"/>
  <c r="H1384" i="2"/>
  <c r="I1384" i="2"/>
  <c r="J1384" i="2"/>
  <c r="K1384" i="2"/>
  <c r="G1385" i="2"/>
  <c r="H1385" i="2"/>
  <c r="I1385" i="2"/>
  <c r="J1385" i="2"/>
  <c r="K1385" i="2"/>
  <c r="G1386" i="2"/>
  <c r="H1386" i="2"/>
  <c r="I1386" i="2"/>
  <c r="J1386" i="2"/>
  <c r="K1386" i="2"/>
  <c r="G1387" i="2"/>
  <c r="H1387" i="2"/>
  <c r="I1387" i="2"/>
  <c r="J1387" i="2"/>
  <c r="K1387" i="2"/>
  <c r="G1388" i="2"/>
  <c r="H1388" i="2"/>
  <c r="I1388" i="2"/>
  <c r="J1388" i="2"/>
  <c r="K1388" i="2"/>
  <c r="G1389" i="2"/>
  <c r="H1389" i="2"/>
  <c r="I1389" i="2"/>
  <c r="J1389" i="2"/>
  <c r="K1389" i="2"/>
  <c r="G1390" i="2"/>
  <c r="H1390" i="2"/>
  <c r="I1390" i="2"/>
  <c r="J1390" i="2"/>
  <c r="K1390" i="2"/>
  <c r="G1391" i="2"/>
  <c r="H1391" i="2"/>
  <c r="I1391" i="2"/>
  <c r="J1391" i="2"/>
  <c r="K1391" i="2"/>
  <c r="G1392" i="2"/>
  <c r="H1392" i="2"/>
  <c r="I1392" i="2"/>
  <c r="J1392" i="2"/>
  <c r="K1392" i="2"/>
  <c r="G1393" i="2"/>
  <c r="H1393" i="2"/>
  <c r="I1393" i="2"/>
  <c r="J1393" i="2"/>
  <c r="K1393" i="2"/>
  <c r="G1394" i="2"/>
  <c r="H1394" i="2"/>
  <c r="I1394" i="2"/>
  <c r="J1394" i="2"/>
  <c r="K1394" i="2"/>
  <c r="G1395" i="2"/>
  <c r="H1395" i="2"/>
  <c r="I1395" i="2"/>
  <c r="J1395" i="2"/>
  <c r="K1395" i="2"/>
  <c r="G1396" i="2"/>
  <c r="H1396" i="2"/>
  <c r="I1396" i="2"/>
  <c r="J1396" i="2"/>
  <c r="K1396" i="2"/>
  <c r="G1397" i="2"/>
  <c r="H1397" i="2"/>
  <c r="I1397" i="2"/>
  <c r="J1397" i="2"/>
  <c r="K1397" i="2"/>
  <c r="G1398" i="2"/>
  <c r="H1398" i="2"/>
  <c r="I1398" i="2"/>
  <c r="J1398" i="2"/>
  <c r="K1398" i="2"/>
  <c r="G1399" i="2"/>
  <c r="H1399" i="2"/>
  <c r="I1399" i="2"/>
  <c r="J1399" i="2"/>
  <c r="K1399" i="2"/>
  <c r="G1400" i="2"/>
  <c r="H1400" i="2"/>
  <c r="I1400" i="2"/>
  <c r="J1400" i="2"/>
  <c r="K1400" i="2"/>
  <c r="G1401" i="2"/>
  <c r="H1401" i="2"/>
  <c r="I1401" i="2"/>
  <c r="J1401" i="2"/>
  <c r="K1401" i="2"/>
  <c r="G1402" i="2"/>
  <c r="H1402" i="2"/>
  <c r="I1402" i="2"/>
  <c r="J1402" i="2"/>
  <c r="K1402" i="2"/>
  <c r="G1403" i="2"/>
  <c r="H1403" i="2"/>
  <c r="I1403" i="2"/>
  <c r="J1403" i="2"/>
  <c r="K1403" i="2"/>
  <c r="G1404" i="2"/>
  <c r="H1404" i="2"/>
  <c r="I1404" i="2"/>
  <c r="J1404" i="2"/>
  <c r="K1404" i="2"/>
  <c r="G1405" i="2"/>
  <c r="H1405" i="2"/>
  <c r="I1405" i="2"/>
  <c r="J1405" i="2"/>
  <c r="K1405" i="2"/>
  <c r="G1406" i="2"/>
  <c r="H1406" i="2"/>
  <c r="I1406" i="2"/>
  <c r="J1406" i="2"/>
  <c r="K1406" i="2"/>
  <c r="G1407" i="2"/>
  <c r="H1407" i="2"/>
  <c r="I1407" i="2"/>
  <c r="J1407" i="2"/>
  <c r="K1407" i="2"/>
  <c r="G1408" i="2"/>
  <c r="H1408" i="2"/>
  <c r="I1408" i="2"/>
  <c r="J1408" i="2"/>
  <c r="K1408" i="2"/>
  <c r="G1409" i="2"/>
  <c r="H1409" i="2"/>
  <c r="I1409" i="2"/>
  <c r="J1409" i="2"/>
  <c r="K1409" i="2"/>
  <c r="G1410" i="2"/>
  <c r="H1410" i="2"/>
  <c r="I1410" i="2"/>
  <c r="J1410" i="2"/>
  <c r="K1410" i="2"/>
  <c r="G1411" i="2"/>
  <c r="H1411" i="2"/>
  <c r="I1411" i="2"/>
  <c r="J1411" i="2"/>
  <c r="K1411" i="2"/>
  <c r="G1412" i="2"/>
  <c r="H1412" i="2"/>
  <c r="I1412" i="2"/>
  <c r="J1412" i="2"/>
  <c r="K1412" i="2"/>
  <c r="G1413" i="2"/>
  <c r="H1413" i="2"/>
  <c r="I1413" i="2"/>
  <c r="J1413" i="2"/>
  <c r="K1413" i="2"/>
  <c r="G1414" i="2"/>
  <c r="H1414" i="2"/>
  <c r="I1414" i="2"/>
  <c r="J1414" i="2"/>
  <c r="K1414" i="2"/>
  <c r="G1415" i="2"/>
  <c r="H1415" i="2"/>
  <c r="I1415" i="2"/>
  <c r="J1415" i="2"/>
  <c r="K1415" i="2"/>
  <c r="G1416" i="2"/>
  <c r="H1416" i="2"/>
  <c r="I1416" i="2"/>
  <c r="J1416" i="2"/>
  <c r="K1416" i="2"/>
  <c r="G1417" i="2"/>
  <c r="H1417" i="2"/>
  <c r="I1417" i="2"/>
  <c r="J1417" i="2"/>
  <c r="K1417" i="2"/>
  <c r="G1418" i="2"/>
  <c r="H1418" i="2"/>
  <c r="I1418" i="2"/>
  <c r="J1418" i="2"/>
  <c r="K1418" i="2"/>
  <c r="G1419" i="2"/>
  <c r="H1419" i="2"/>
  <c r="I1419" i="2"/>
  <c r="J1419" i="2"/>
  <c r="K1419" i="2"/>
  <c r="G1420" i="2"/>
  <c r="H1420" i="2"/>
  <c r="I1420" i="2"/>
  <c r="J1420" i="2"/>
  <c r="K1420" i="2"/>
  <c r="G1421" i="2"/>
  <c r="H1421" i="2"/>
  <c r="I1421" i="2"/>
  <c r="J1421" i="2"/>
  <c r="K1421" i="2"/>
  <c r="G1422" i="2"/>
  <c r="H1422" i="2"/>
  <c r="I1422" i="2"/>
  <c r="J1422" i="2"/>
  <c r="K1422" i="2"/>
  <c r="G1423" i="2"/>
  <c r="H1423" i="2"/>
  <c r="I1423" i="2"/>
  <c r="J1423" i="2"/>
  <c r="K1423" i="2"/>
  <c r="G1424" i="2"/>
  <c r="H1424" i="2"/>
  <c r="I1424" i="2"/>
  <c r="J1424" i="2"/>
  <c r="K1424" i="2"/>
  <c r="G1425" i="2"/>
  <c r="H1425" i="2"/>
  <c r="I1425" i="2"/>
  <c r="J1425" i="2"/>
  <c r="K1425" i="2"/>
  <c r="G1426" i="2"/>
  <c r="H1426" i="2"/>
  <c r="I1426" i="2"/>
  <c r="J1426" i="2"/>
  <c r="K1426" i="2"/>
  <c r="G1427" i="2"/>
  <c r="H1427" i="2"/>
  <c r="I1427" i="2"/>
  <c r="J1427" i="2"/>
  <c r="K1427" i="2"/>
  <c r="G1428" i="2"/>
  <c r="H1428" i="2"/>
  <c r="I1428" i="2"/>
  <c r="J1428" i="2"/>
  <c r="K1428" i="2"/>
  <c r="G1429" i="2"/>
  <c r="H1429" i="2"/>
  <c r="I1429" i="2"/>
  <c r="J1429" i="2"/>
  <c r="K1429" i="2"/>
  <c r="G1430" i="2"/>
  <c r="H1430" i="2"/>
  <c r="I1430" i="2"/>
  <c r="J1430" i="2"/>
  <c r="K1430" i="2"/>
  <c r="G1431" i="2"/>
  <c r="H1431" i="2"/>
  <c r="I1431" i="2"/>
  <c r="J1431" i="2"/>
  <c r="K1431" i="2"/>
  <c r="G1432" i="2"/>
  <c r="H1432" i="2"/>
  <c r="I1432" i="2"/>
  <c r="J1432" i="2"/>
  <c r="K1432" i="2"/>
  <c r="G1433" i="2"/>
  <c r="H1433" i="2"/>
  <c r="I1433" i="2"/>
  <c r="J1433" i="2"/>
  <c r="K1433" i="2"/>
  <c r="G1434" i="2"/>
  <c r="H1434" i="2"/>
  <c r="I1434" i="2"/>
  <c r="J1434" i="2"/>
  <c r="K1434" i="2"/>
  <c r="G1435" i="2"/>
  <c r="H1435" i="2"/>
  <c r="I1435" i="2"/>
  <c r="J1435" i="2"/>
  <c r="K1435" i="2"/>
  <c r="G1436" i="2"/>
  <c r="H1436" i="2"/>
  <c r="I1436" i="2"/>
  <c r="J1436" i="2"/>
  <c r="K1436" i="2"/>
  <c r="G1437" i="2"/>
  <c r="H1437" i="2"/>
  <c r="I1437" i="2"/>
  <c r="J1437" i="2"/>
  <c r="K1437" i="2"/>
  <c r="G1438" i="2"/>
  <c r="H1438" i="2"/>
  <c r="I1438" i="2"/>
  <c r="J1438" i="2"/>
  <c r="K1438" i="2"/>
  <c r="G1439" i="2"/>
  <c r="H1439" i="2"/>
  <c r="I1439" i="2"/>
  <c r="J1439" i="2"/>
  <c r="K1439" i="2"/>
  <c r="G1440" i="2"/>
  <c r="H1440" i="2"/>
  <c r="I1440" i="2"/>
  <c r="J1440" i="2"/>
  <c r="K1440" i="2"/>
  <c r="G1441" i="2"/>
  <c r="H1441" i="2"/>
  <c r="I1441" i="2"/>
  <c r="J1441" i="2"/>
  <c r="K1441" i="2"/>
  <c r="G1442" i="2"/>
  <c r="H1442" i="2"/>
  <c r="I1442" i="2"/>
  <c r="J1442" i="2"/>
  <c r="K1442" i="2"/>
  <c r="G1443" i="2"/>
  <c r="H1443" i="2"/>
  <c r="I1443" i="2"/>
  <c r="J1443" i="2"/>
  <c r="K1443" i="2"/>
  <c r="G1444" i="2"/>
  <c r="H1444" i="2"/>
  <c r="I1444" i="2"/>
  <c r="J1444" i="2"/>
  <c r="K1444" i="2"/>
  <c r="G1445" i="2"/>
  <c r="H1445" i="2"/>
  <c r="I1445" i="2"/>
  <c r="J1445" i="2"/>
  <c r="K1445" i="2"/>
  <c r="G1446" i="2"/>
  <c r="H1446" i="2"/>
  <c r="I1446" i="2"/>
  <c r="J1446" i="2"/>
  <c r="K1446" i="2"/>
  <c r="G1447" i="2"/>
  <c r="H1447" i="2"/>
  <c r="I1447" i="2"/>
  <c r="J1447" i="2"/>
  <c r="K1447" i="2"/>
  <c r="G1448" i="2"/>
  <c r="H1448" i="2"/>
  <c r="I1448" i="2"/>
  <c r="J1448" i="2"/>
  <c r="K1448" i="2"/>
  <c r="G1449" i="2"/>
  <c r="H1449" i="2"/>
  <c r="I1449" i="2"/>
  <c r="J1449" i="2"/>
  <c r="K1449" i="2"/>
  <c r="G1450" i="2"/>
  <c r="H1450" i="2"/>
  <c r="I1450" i="2"/>
  <c r="J1450" i="2"/>
  <c r="K1450" i="2"/>
  <c r="G1451" i="2"/>
  <c r="H1451" i="2"/>
  <c r="I1451" i="2"/>
  <c r="J1451" i="2"/>
  <c r="K1451" i="2"/>
  <c r="G1452" i="2"/>
  <c r="H1452" i="2"/>
  <c r="I1452" i="2"/>
  <c r="J1452" i="2"/>
  <c r="K1452" i="2"/>
  <c r="G1453" i="2"/>
  <c r="H1453" i="2"/>
  <c r="I1453" i="2"/>
  <c r="J1453" i="2"/>
  <c r="K1453" i="2"/>
  <c r="G1454" i="2"/>
  <c r="H1454" i="2"/>
  <c r="I1454" i="2"/>
  <c r="J1454" i="2"/>
  <c r="K1454" i="2"/>
  <c r="G1455" i="2"/>
  <c r="H1455" i="2"/>
  <c r="I1455" i="2"/>
  <c r="J1455" i="2"/>
  <c r="K1455" i="2"/>
  <c r="G1456" i="2"/>
  <c r="H1456" i="2"/>
  <c r="I1456" i="2"/>
  <c r="J1456" i="2"/>
  <c r="K1456" i="2"/>
  <c r="G1457" i="2"/>
  <c r="H1457" i="2"/>
  <c r="I1457" i="2"/>
  <c r="J1457" i="2"/>
  <c r="K1457" i="2"/>
  <c r="G1458" i="2"/>
  <c r="H1458" i="2"/>
  <c r="I1458" i="2"/>
  <c r="J1458" i="2"/>
  <c r="K1458" i="2"/>
  <c r="G1459" i="2"/>
  <c r="H1459" i="2"/>
  <c r="I1459" i="2"/>
  <c r="J1459" i="2"/>
  <c r="K1459" i="2"/>
  <c r="G1460" i="2"/>
  <c r="H1460" i="2"/>
  <c r="I1460" i="2"/>
  <c r="J1460" i="2"/>
  <c r="K1460" i="2"/>
  <c r="G1461" i="2"/>
  <c r="H1461" i="2"/>
  <c r="I1461" i="2"/>
  <c r="J1461" i="2"/>
  <c r="K1461" i="2"/>
  <c r="G1462" i="2"/>
  <c r="H1462" i="2"/>
  <c r="I1462" i="2"/>
  <c r="J1462" i="2"/>
  <c r="K1462" i="2"/>
  <c r="G1463" i="2"/>
  <c r="H1463" i="2"/>
  <c r="I1463" i="2"/>
  <c r="J1463" i="2"/>
  <c r="K1463" i="2"/>
  <c r="G1464" i="2"/>
  <c r="H1464" i="2"/>
  <c r="I1464" i="2"/>
  <c r="J1464" i="2"/>
  <c r="K1464" i="2"/>
  <c r="G1465" i="2"/>
  <c r="H1465" i="2"/>
  <c r="I1465" i="2"/>
  <c r="J1465" i="2"/>
  <c r="K1465" i="2"/>
  <c r="G1466" i="2"/>
  <c r="H1466" i="2"/>
  <c r="I1466" i="2"/>
  <c r="J1466" i="2"/>
  <c r="K1466" i="2"/>
  <c r="G1467" i="2"/>
  <c r="H1467" i="2"/>
  <c r="I1467" i="2"/>
  <c r="J1467" i="2"/>
  <c r="K1467" i="2"/>
  <c r="G1468" i="2"/>
  <c r="H1468" i="2"/>
  <c r="I1468" i="2"/>
  <c r="J1468" i="2"/>
  <c r="K1468" i="2"/>
  <c r="G1469" i="2"/>
  <c r="H1469" i="2"/>
  <c r="I1469" i="2"/>
  <c r="J1469" i="2"/>
  <c r="K1469" i="2"/>
  <c r="G1470" i="2"/>
  <c r="H1470" i="2"/>
  <c r="I1470" i="2"/>
  <c r="J1470" i="2"/>
  <c r="K1470" i="2"/>
  <c r="G1471" i="2"/>
  <c r="H1471" i="2"/>
  <c r="I1471" i="2"/>
  <c r="J1471" i="2"/>
  <c r="K1471" i="2"/>
  <c r="G1472" i="2"/>
  <c r="H1472" i="2"/>
  <c r="I1472" i="2"/>
  <c r="J1472" i="2"/>
  <c r="K1472" i="2"/>
  <c r="G1473" i="2"/>
  <c r="H1473" i="2"/>
  <c r="I1473" i="2"/>
  <c r="J1473" i="2"/>
  <c r="K1473" i="2"/>
  <c r="G1474" i="2"/>
  <c r="H1474" i="2"/>
  <c r="I1474" i="2"/>
  <c r="J1474" i="2"/>
  <c r="K1474" i="2"/>
  <c r="G1475" i="2"/>
  <c r="H1475" i="2"/>
  <c r="I1475" i="2"/>
  <c r="J1475" i="2"/>
  <c r="K1475" i="2"/>
  <c r="G1476" i="2"/>
  <c r="H1476" i="2"/>
  <c r="I1476" i="2"/>
  <c r="J1476" i="2"/>
  <c r="K1476" i="2"/>
  <c r="G1477" i="2"/>
  <c r="H1477" i="2"/>
  <c r="I1477" i="2"/>
  <c r="J1477" i="2"/>
  <c r="K1477" i="2"/>
  <c r="G1478" i="2"/>
  <c r="H1478" i="2"/>
  <c r="I1478" i="2"/>
  <c r="J1478" i="2"/>
  <c r="K1478" i="2"/>
  <c r="G1479" i="2"/>
  <c r="H1479" i="2"/>
  <c r="I1479" i="2"/>
  <c r="J1479" i="2"/>
  <c r="K1479" i="2"/>
  <c r="G1480" i="2"/>
  <c r="H1480" i="2"/>
  <c r="I1480" i="2"/>
  <c r="J1480" i="2"/>
  <c r="K1480" i="2"/>
  <c r="G1481" i="2"/>
  <c r="H1481" i="2"/>
  <c r="I1481" i="2"/>
  <c r="J1481" i="2"/>
  <c r="K1481" i="2"/>
  <c r="G1482" i="2"/>
  <c r="H1482" i="2"/>
  <c r="I1482" i="2"/>
  <c r="J1482" i="2"/>
  <c r="K1482" i="2"/>
  <c r="G1483" i="2"/>
  <c r="H1483" i="2"/>
  <c r="I1483" i="2"/>
  <c r="J1483" i="2"/>
  <c r="K1483" i="2"/>
  <c r="G1484" i="2"/>
  <c r="H1484" i="2"/>
  <c r="I1484" i="2"/>
  <c r="J1484" i="2"/>
  <c r="K1484" i="2"/>
  <c r="G1485" i="2"/>
  <c r="H1485" i="2"/>
  <c r="I1485" i="2"/>
  <c r="J1485" i="2"/>
  <c r="K1485" i="2"/>
  <c r="G1486" i="2"/>
  <c r="H1486" i="2"/>
  <c r="I1486" i="2"/>
  <c r="J1486" i="2"/>
  <c r="K1486" i="2"/>
  <c r="G1487" i="2"/>
  <c r="H1487" i="2"/>
  <c r="I1487" i="2"/>
  <c r="J1487" i="2"/>
  <c r="K1487" i="2"/>
  <c r="G1488" i="2"/>
  <c r="H1488" i="2"/>
  <c r="I1488" i="2"/>
  <c r="J1488" i="2"/>
  <c r="K1488" i="2"/>
  <c r="G1489" i="2"/>
  <c r="H1489" i="2"/>
  <c r="I1489" i="2"/>
  <c r="J1489" i="2"/>
  <c r="K1489" i="2"/>
  <c r="G1490" i="2"/>
  <c r="H1490" i="2"/>
  <c r="I1490" i="2"/>
  <c r="J1490" i="2"/>
  <c r="K1490" i="2"/>
  <c r="G1491" i="2"/>
  <c r="H1491" i="2"/>
  <c r="I1491" i="2"/>
  <c r="J1491" i="2"/>
  <c r="K1491" i="2"/>
  <c r="G1492" i="2"/>
  <c r="H1492" i="2"/>
  <c r="I1492" i="2"/>
  <c r="J1492" i="2"/>
  <c r="K1492" i="2"/>
  <c r="G1493" i="2"/>
  <c r="H1493" i="2"/>
  <c r="I1493" i="2"/>
  <c r="J1493" i="2"/>
  <c r="K1493" i="2"/>
  <c r="G1494" i="2"/>
  <c r="H1494" i="2"/>
  <c r="I1494" i="2"/>
  <c r="J1494" i="2"/>
  <c r="K1494" i="2"/>
  <c r="G1495" i="2"/>
  <c r="H1495" i="2"/>
  <c r="I1495" i="2"/>
  <c r="J1495" i="2"/>
  <c r="K1495" i="2"/>
  <c r="G1496" i="2"/>
  <c r="H1496" i="2"/>
  <c r="I1496" i="2"/>
  <c r="J1496" i="2"/>
  <c r="K1496" i="2"/>
  <c r="G1497" i="2"/>
  <c r="H1497" i="2"/>
  <c r="I1497" i="2"/>
  <c r="J1497" i="2"/>
  <c r="K1497" i="2"/>
  <c r="G1498" i="2"/>
  <c r="H1498" i="2"/>
  <c r="I1498" i="2"/>
  <c r="J1498" i="2"/>
  <c r="K1498" i="2"/>
  <c r="G1499" i="2"/>
  <c r="H1499" i="2"/>
  <c r="I1499" i="2"/>
  <c r="J1499" i="2"/>
  <c r="K1499" i="2"/>
  <c r="G1500" i="2"/>
  <c r="H1500" i="2"/>
  <c r="I1500" i="2"/>
  <c r="J1500" i="2"/>
  <c r="K1500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21" i="5"/>
  <c r="B829" i="2"/>
  <c r="B811" i="2"/>
  <c r="B812" i="2"/>
  <c r="B813" i="2"/>
  <c r="B814" i="2"/>
  <c r="B815" i="2"/>
  <c r="B816" i="2"/>
  <c r="O814" i="2"/>
  <c r="O815" i="2"/>
  <c r="O813" i="2"/>
  <c r="B806" i="2"/>
  <c r="B807" i="2"/>
  <c r="B808" i="2"/>
  <c r="B809" i="2"/>
  <c r="B810" i="2"/>
  <c r="O808" i="2"/>
  <c r="O809" i="2"/>
  <c r="O807" i="2"/>
  <c r="K782" i="2"/>
  <c r="J782" i="2"/>
  <c r="I782" i="2"/>
  <c r="H782" i="2"/>
  <c r="G782" i="2"/>
  <c r="G997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00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679" i="2"/>
  <c r="B680" i="2"/>
  <c r="B681" i="2"/>
  <c r="B682" i="2"/>
  <c r="B683" i="2"/>
  <c r="B684" i="2"/>
  <c r="B685" i="2"/>
  <c r="B686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O574" i="2"/>
  <c r="B573" i="2"/>
  <c r="B574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" i="3" l="1"/>
  <c r="B4" i="3"/>
  <c r="B554" i="2"/>
  <c r="G554" i="2"/>
  <c r="H554" i="2"/>
  <c r="I554" i="2"/>
  <c r="J554" i="2"/>
  <c r="K554" i="2"/>
  <c r="B553" i="2"/>
  <c r="B555" i="2"/>
  <c r="B556" i="2"/>
  <c r="B557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28" i="2"/>
  <c r="B20" i="5"/>
  <c r="B517" i="2"/>
  <c r="B518" i="2"/>
  <c r="B519" i="2"/>
  <c r="B520" i="2"/>
  <c r="B521" i="2"/>
  <c r="B522" i="2"/>
  <c r="B523" i="2"/>
  <c r="B524" i="2"/>
  <c r="B525" i="2"/>
  <c r="B526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56" i="2"/>
  <c r="B455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516" i="2"/>
  <c r="B527" i="2"/>
  <c r="B392" i="2"/>
  <c r="B393" i="2"/>
  <c r="B394" i="2"/>
  <c r="B558" i="2"/>
  <c r="B575" i="2"/>
  <c r="B593" i="2"/>
  <c r="B594" i="2"/>
  <c r="B595" i="2"/>
  <c r="B596" i="2"/>
  <c r="B597" i="2"/>
  <c r="B598" i="2"/>
  <c r="B599" i="2"/>
  <c r="B678" i="2"/>
  <c r="B701" i="2"/>
  <c r="B702" i="2"/>
  <c r="B703" i="2"/>
  <c r="B704" i="2"/>
  <c r="B705" i="2"/>
  <c r="B706" i="2"/>
  <c r="B707" i="2"/>
  <c r="B708" i="2"/>
  <c r="B709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75" i="2"/>
  <c r="B39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14" i="7"/>
  <c r="F14" i="7"/>
  <c r="B3" i="8"/>
  <c r="B4" i="8"/>
  <c r="B5" i="8"/>
  <c r="B8" i="8"/>
  <c r="B9" i="8"/>
  <c r="B10" i="8"/>
  <c r="B11" i="8"/>
  <c r="B12" i="8"/>
  <c r="B13" i="8"/>
  <c r="B14" i="8"/>
  <c r="B15" i="8"/>
  <c r="B16" i="8"/>
  <c r="B17" i="8"/>
  <c r="B18" i="8"/>
  <c r="B21" i="8"/>
  <c r="B22" i="8"/>
  <c r="B23" i="8"/>
  <c r="B24" i="8"/>
  <c r="B25" i="8"/>
  <c r="B26" i="8"/>
  <c r="B27" i="8"/>
  <c r="B28" i="8"/>
  <c r="B29" i="8"/>
  <c r="B30" i="8"/>
  <c r="B31" i="8"/>
  <c r="B34" i="8"/>
  <c r="B35" i="8"/>
  <c r="B36" i="8"/>
  <c r="B37" i="8"/>
  <c r="B38" i="8"/>
  <c r="B39" i="8"/>
  <c r="B40" i="8"/>
  <c r="B41" i="8"/>
  <c r="B42" i="8"/>
  <c r="B43" i="8"/>
  <c r="B44" i="8"/>
  <c r="B47" i="8"/>
  <c r="B48" i="8"/>
  <c r="B49" i="8"/>
  <c r="B50" i="8"/>
  <c r="B51" i="8"/>
  <c r="B52" i="8"/>
  <c r="B53" i="8"/>
  <c r="B54" i="8"/>
  <c r="B55" i="8"/>
  <c r="B56" i="8"/>
  <c r="B57" i="8"/>
  <c r="B60" i="8"/>
  <c r="B61" i="8"/>
  <c r="B62" i="8"/>
  <c r="B63" i="8"/>
  <c r="B64" i="8"/>
  <c r="B65" i="8"/>
  <c r="B66" i="8"/>
  <c r="B67" i="8"/>
  <c r="B68" i="8"/>
  <c r="B69" i="8"/>
  <c r="B70" i="8"/>
  <c r="B73" i="8"/>
  <c r="B74" i="8"/>
  <c r="B75" i="8"/>
  <c r="B76" i="8"/>
  <c r="B77" i="8"/>
  <c r="B78" i="8"/>
  <c r="B79" i="8"/>
  <c r="B80" i="8"/>
  <c r="B81" i="8"/>
  <c r="B82" i="8"/>
  <c r="B83" i="8"/>
  <c r="B86" i="8"/>
  <c r="B87" i="8"/>
  <c r="B88" i="8"/>
  <c r="B89" i="8"/>
  <c r="B90" i="8"/>
  <c r="B91" i="8"/>
  <c r="B92" i="8"/>
  <c r="B93" i="8"/>
  <c r="B94" i="8"/>
  <c r="B95" i="8"/>
  <c r="B96" i="8"/>
  <c r="B99" i="8"/>
  <c r="B100" i="8"/>
  <c r="B101" i="8"/>
  <c r="B102" i="8"/>
  <c r="B103" i="8"/>
  <c r="B104" i="8"/>
  <c r="B105" i="8"/>
  <c r="B106" i="8"/>
  <c r="B107" i="8"/>
  <c r="B108" i="8"/>
  <c r="B109" i="8"/>
  <c r="B112" i="8"/>
  <c r="B113" i="8"/>
  <c r="B114" i="8"/>
  <c r="B115" i="8"/>
  <c r="B116" i="8"/>
  <c r="B117" i="8"/>
  <c r="B118" i="8"/>
  <c r="B119" i="8"/>
  <c r="B120" i="8"/>
  <c r="B121" i="8"/>
  <c r="B122" i="8"/>
  <c r="B125" i="8"/>
  <c r="B126" i="8"/>
  <c r="B127" i="8"/>
  <c r="B128" i="8"/>
  <c r="B129" i="8"/>
  <c r="B130" i="8"/>
  <c r="B131" i="8"/>
  <c r="B132" i="8"/>
  <c r="B133" i="8"/>
  <c r="B134" i="8"/>
  <c r="B135" i="8"/>
  <c r="B138" i="8"/>
  <c r="B139" i="8"/>
  <c r="B140" i="8"/>
  <c r="B141" i="8"/>
  <c r="B142" i="8"/>
  <c r="B143" i="8"/>
  <c r="B144" i="8"/>
  <c r="B145" i="8"/>
  <c r="B146" i="8"/>
  <c r="B147" i="8"/>
  <c r="B148" i="8"/>
  <c r="B151" i="8"/>
  <c r="B152" i="8"/>
  <c r="B153" i="8"/>
  <c r="B154" i="8"/>
  <c r="B155" i="8"/>
  <c r="B156" i="8"/>
  <c r="B157" i="8"/>
  <c r="B158" i="8"/>
  <c r="B159" i="8"/>
  <c r="B160" i="8"/>
  <c r="B161" i="8"/>
  <c r="B164" i="8"/>
  <c r="B165" i="8"/>
  <c r="B166" i="8"/>
  <c r="B167" i="8"/>
  <c r="B168" i="8"/>
  <c r="B169" i="8"/>
  <c r="B170" i="8"/>
  <c r="B171" i="8"/>
  <c r="B172" i="8"/>
  <c r="B173" i="8"/>
  <c r="B174" i="8"/>
  <c r="B177" i="8"/>
  <c r="B178" i="8"/>
  <c r="B179" i="8"/>
  <c r="B180" i="8"/>
  <c r="B181" i="8"/>
  <c r="B182" i="8"/>
  <c r="B183" i="8"/>
  <c r="B184" i="8"/>
  <c r="B185" i="8"/>
  <c r="B186" i="8"/>
  <c r="B187" i="8"/>
  <c r="B190" i="8"/>
  <c r="B191" i="8"/>
  <c r="B192" i="8"/>
  <c r="B193" i="8"/>
  <c r="B194" i="8"/>
  <c r="B195" i="8"/>
  <c r="B196" i="8"/>
  <c r="B2" i="8"/>
  <c r="B176" i="4"/>
  <c r="F43" i="7"/>
  <c r="E43" i="7"/>
  <c r="B43" i="7"/>
  <c r="F42" i="7"/>
  <c r="E42" i="7"/>
  <c r="B42" i="7"/>
  <c r="AI41" i="1"/>
  <c r="AA41" i="1"/>
  <c r="Z41" i="1"/>
  <c r="K41" i="1"/>
  <c r="AI40" i="1"/>
  <c r="AA40" i="1"/>
  <c r="Z40" i="1"/>
  <c r="K40" i="1"/>
  <c r="AI39" i="1"/>
  <c r="AA39" i="1"/>
  <c r="Z39" i="1"/>
  <c r="K39" i="1"/>
  <c r="AI38" i="1"/>
  <c r="AA38" i="1"/>
  <c r="Z38" i="1"/>
  <c r="K38" i="1"/>
  <c r="AI37" i="1"/>
  <c r="AA37" i="1"/>
  <c r="Z37" i="1"/>
  <c r="K37" i="1"/>
  <c r="AI36" i="1"/>
  <c r="AA36" i="1"/>
  <c r="Z36" i="1"/>
  <c r="K36" i="1"/>
  <c r="AI35" i="1"/>
  <c r="AA35" i="1"/>
  <c r="Z35" i="1"/>
  <c r="K35" i="1"/>
  <c r="AI34" i="1"/>
  <c r="AA34" i="1"/>
  <c r="Z34" i="1"/>
  <c r="K34" i="1"/>
  <c r="AI33" i="1"/>
  <c r="AA33" i="1"/>
  <c r="Z33" i="1"/>
  <c r="K33" i="1"/>
  <c r="AI32" i="1"/>
  <c r="AA32" i="1"/>
  <c r="Z32" i="1"/>
  <c r="K32" i="1"/>
  <c r="AI31" i="1"/>
  <c r="AA31" i="1"/>
  <c r="Z31" i="1"/>
  <c r="K31" i="1"/>
  <c r="AI30" i="1"/>
  <c r="AA30" i="1"/>
  <c r="Z30" i="1"/>
  <c r="K30" i="1"/>
  <c r="AI29" i="1"/>
  <c r="AA29" i="1"/>
  <c r="Z29" i="1"/>
  <c r="K29" i="1"/>
  <c r="AI28" i="1"/>
  <c r="AA28" i="1"/>
  <c r="Z28" i="1"/>
  <c r="K28" i="1"/>
  <c r="AI27" i="1"/>
  <c r="AA27" i="1"/>
  <c r="Z27" i="1"/>
  <c r="K27" i="1"/>
  <c r="AI26" i="1"/>
  <c r="AA26" i="1"/>
  <c r="Z26" i="1"/>
  <c r="K26" i="1"/>
  <c r="AI25" i="1"/>
  <c r="AA25" i="1"/>
  <c r="Z25" i="1"/>
  <c r="K25" i="1"/>
  <c r="AI24" i="1"/>
  <c r="AA24" i="1"/>
  <c r="Z24" i="1"/>
  <c r="K24" i="1"/>
  <c r="AI23" i="1"/>
  <c r="AA23" i="1"/>
  <c r="Z23" i="1"/>
  <c r="K23" i="1"/>
  <c r="AI22" i="1"/>
  <c r="AA22" i="1"/>
  <c r="Z22" i="1"/>
  <c r="K22" i="1"/>
  <c r="B589" i="4"/>
  <c r="B590" i="4"/>
  <c r="B591" i="4"/>
  <c r="B592" i="4"/>
  <c r="B593" i="4" s="1"/>
  <c r="B594" i="4"/>
  <c r="B595" i="4"/>
  <c r="B596" i="4"/>
  <c r="B597" i="4"/>
  <c r="B598" i="4"/>
  <c r="B599" i="4" s="1"/>
  <c r="B600" i="4"/>
  <c r="B601" i="4"/>
  <c r="B602" i="4"/>
  <c r="B603" i="4"/>
  <c r="B604" i="4"/>
  <c r="B605" i="4" s="1"/>
  <c r="B606" i="4"/>
  <c r="B607" i="4"/>
  <c r="B608" i="4"/>
  <c r="B609" i="4"/>
  <c r="B610" i="4"/>
  <c r="B611" i="4" s="1"/>
  <c r="B612" i="4"/>
  <c r="B613" i="4"/>
  <c r="B614" i="4"/>
  <c r="B615" i="4"/>
  <c r="B616" i="4"/>
  <c r="B617" i="4" s="1"/>
  <c r="B618" i="4"/>
  <c r="B619" i="4"/>
  <c r="B620" i="4"/>
  <c r="B621" i="4"/>
  <c r="B622" i="4"/>
  <c r="B623" i="4" s="1"/>
  <c r="B624" i="4"/>
  <c r="B625" i="4"/>
  <c r="B626" i="4"/>
  <c r="B627" i="4"/>
  <c r="B628" i="4"/>
  <c r="B629" i="4" s="1"/>
  <c r="B630" i="4"/>
  <c r="B631" i="4"/>
  <c r="B632" i="4"/>
  <c r="B633" i="4"/>
  <c r="B634" i="4"/>
  <c r="B635" i="4" s="1"/>
  <c r="B636" i="4"/>
  <c r="B637" i="4"/>
  <c r="B638" i="4"/>
  <c r="B639" i="4"/>
  <c r="B640" i="4"/>
  <c r="B641" i="4" s="1"/>
  <c r="B642" i="4"/>
  <c r="B643" i="4"/>
  <c r="B644" i="4"/>
  <c r="B645" i="4"/>
  <c r="B646" i="4"/>
  <c r="B647" i="4" s="1"/>
  <c r="B648" i="4"/>
  <c r="B649" i="4"/>
  <c r="B650" i="4"/>
  <c r="B651" i="4"/>
  <c r="B652" i="4"/>
  <c r="B653" i="4" s="1"/>
  <c r="B654" i="4"/>
  <c r="B655" i="4"/>
  <c r="B656" i="4"/>
  <c r="B657" i="4"/>
  <c r="B658" i="4"/>
  <c r="B659" i="4" s="1"/>
  <c r="B660" i="4"/>
  <c r="B661" i="4"/>
  <c r="B662" i="4"/>
  <c r="B663" i="4"/>
  <c r="B664" i="4"/>
  <c r="B665" i="4" s="1"/>
  <c r="B666" i="4"/>
  <c r="B667" i="4"/>
  <c r="B668" i="4"/>
  <c r="B669" i="4"/>
  <c r="B670" i="4"/>
  <c r="B671" i="4" s="1"/>
  <c r="B672" i="4"/>
  <c r="B673" i="4"/>
  <c r="B674" i="4"/>
  <c r="B675" i="4"/>
  <c r="B676" i="4"/>
  <c r="B677" i="4" s="1"/>
  <c r="B678" i="4"/>
  <c r="B679" i="4"/>
  <c r="B680" i="4"/>
  <c r="B681" i="4"/>
  <c r="B682" i="4"/>
  <c r="B683" i="4" s="1"/>
  <c r="B684" i="4"/>
  <c r="B685" i="4"/>
  <c r="B686" i="4"/>
  <c r="B687" i="4"/>
  <c r="B688" i="4"/>
  <c r="B689" i="4" s="1"/>
  <c r="B690" i="4"/>
  <c r="B691" i="4"/>
  <c r="B692" i="4"/>
  <c r="B693" i="4"/>
  <c r="B694" i="4"/>
  <c r="B695" i="4" s="1"/>
  <c r="B696" i="4"/>
  <c r="B697" i="4"/>
  <c r="B698" i="4"/>
  <c r="B699" i="4"/>
  <c r="B700" i="4"/>
  <c r="B701" i="4" s="1"/>
  <c r="B702" i="4"/>
  <c r="B584" i="4"/>
  <c r="B585" i="4"/>
  <c r="B586" i="4"/>
  <c r="B587" i="4" s="1"/>
  <c r="B588" i="4"/>
  <c r="B58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 s="1"/>
  <c r="B25" i="4" s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 s="1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 s="1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 s="1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 s="1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 s="1"/>
  <c r="B171" i="4"/>
  <c r="B172" i="4"/>
  <c r="B173" i="4"/>
  <c r="B174" i="4"/>
  <c r="B175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 s="1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 s="1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 s="1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 s="1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 s="1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 s="1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 s="1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 s="1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 s="1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 s="1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 s="1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 s="1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 s="1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 s="1"/>
  <c r="B578" i="4"/>
  <c r="B579" i="4"/>
  <c r="B580" i="4"/>
  <c r="B581" i="4"/>
  <c r="B582" i="4"/>
  <c r="B2" i="4"/>
  <c r="F26" i="8" l="1"/>
  <c r="F25" i="8"/>
  <c r="F13" i="8"/>
  <c r="F12" i="8"/>
  <c r="B19" i="7"/>
  <c r="E41" i="7"/>
  <c r="F41" i="7"/>
  <c r="E9" i="3"/>
  <c r="B18" i="7"/>
  <c r="E18" i="7"/>
  <c r="F18" i="7"/>
  <c r="B20" i="7"/>
  <c r="E19" i="7"/>
  <c r="F19" i="7"/>
  <c r="B21" i="7"/>
  <c r="E20" i="7"/>
  <c r="F20" i="7"/>
  <c r="B22" i="7"/>
  <c r="E21" i="7"/>
  <c r="F21" i="7"/>
  <c r="B23" i="7"/>
  <c r="E22" i="7"/>
  <c r="F22" i="7"/>
  <c r="B24" i="7"/>
  <c r="E23" i="7"/>
  <c r="F23" i="7"/>
  <c r="B25" i="7"/>
  <c r="E24" i="7"/>
  <c r="F24" i="7"/>
  <c r="B26" i="7"/>
  <c r="E25" i="7"/>
  <c r="F25" i="7"/>
  <c r="B27" i="7"/>
  <c r="E26" i="7"/>
  <c r="F26" i="7"/>
  <c r="B28" i="7"/>
  <c r="E27" i="7"/>
  <c r="F27" i="7"/>
  <c r="B29" i="7"/>
  <c r="E28" i="7"/>
  <c r="F28" i="7"/>
  <c r="B30" i="7"/>
  <c r="E29" i="7"/>
  <c r="F29" i="7"/>
  <c r="B31" i="7"/>
  <c r="E30" i="7"/>
  <c r="F30" i="7"/>
  <c r="B32" i="7"/>
  <c r="E31" i="7"/>
  <c r="F31" i="7"/>
  <c r="B33" i="7"/>
  <c r="E32" i="7"/>
  <c r="F32" i="7"/>
  <c r="B34" i="7"/>
  <c r="E33" i="7"/>
  <c r="F33" i="7"/>
  <c r="B35" i="7"/>
  <c r="E34" i="7"/>
  <c r="F34" i="7"/>
  <c r="B36" i="7"/>
  <c r="E35" i="7"/>
  <c r="F35" i="7"/>
  <c r="B37" i="7"/>
  <c r="E36" i="7"/>
  <c r="F36" i="7"/>
  <c r="B38" i="7"/>
  <c r="E37" i="7"/>
  <c r="F37" i="7"/>
  <c r="B39" i="7"/>
  <c r="E38" i="7"/>
  <c r="F38" i="7"/>
  <c r="B40" i="7"/>
  <c r="E39" i="7"/>
  <c r="F39" i="7"/>
  <c r="B41" i="7"/>
  <c r="E40" i="7"/>
  <c r="F40" i="7"/>
  <c r="F17" i="7"/>
  <c r="E17" i="7"/>
  <c r="B17" i="7"/>
  <c r="F16" i="7"/>
  <c r="E16" i="7"/>
  <c r="B16" i="7"/>
  <c r="B15" i="7"/>
  <c r="F15" i="7"/>
  <c r="E15" i="7"/>
  <c r="B14" i="7"/>
  <c r="F13" i="7"/>
  <c r="E13" i="7"/>
  <c r="B13" i="7"/>
  <c r="F12" i="7"/>
  <c r="E12" i="7"/>
  <c r="B12" i="7"/>
  <c r="F11" i="7"/>
  <c r="E11" i="7"/>
  <c r="B11" i="7"/>
  <c r="F10" i="7"/>
  <c r="E10" i="7"/>
  <c r="B10" i="7"/>
  <c r="F9" i="7"/>
  <c r="E9" i="7"/>
  <c r="B9" i="7"/>
  <c r="F8" i="7"/>
  <c r="E8" i="7"/>
  <c r="B8" i="7"/>
  <c r="F7" i="7"/>
  <c r="E7" i="7"/>
  <c r="B7" i="7"/>
  <c r="F6" i="7"/>
  <c r="E6" i="7"/>
  <c r="B6" i="7"/>
  <c r="F5" i="7"/>
  <c r="E5" i="7"/>
  <c r="B5" i="7"/>
  <c r="F4" i="7"/>
  <c r="E4" i="7"/>
  <c r="B4" i="7"/>
  <c r="F3" i="7"/>
  <c r="E3" i="7"/>
  <c r="B3" i="7"/>
  <c r="F2" i="7"/>
  <c r="E2" i="7"/>
  <c r="B2" i="7"/>
  <c r="G50" i="2" l="1"/>
  <c r="H50" i="2"/>
  <c r="I50" i="2"/>
  <c r="J50" i="2"/>
  <c r="K50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404" i="2"/>
  <c r="H404" i="2"/>
  <c r="I404" i="2"/>
  <c r="J404" i="2"/>
  <c r="K404" i="2"/>
  <c r="G405" i="2"/>
  <c r="H405" i="2"/>
  <c r="I405" i="2"/>
  <c r="J405" i="2"/>
  <c r="K405" i="2"/>
  <c r="G406" i="2"/>
  <c r="H406" i="2"/>
  <c r="I406" i="2"/>
  <c r="J406" i="2"/>
  <c r="K406" i="2"/>
  <c r="G407" i="2"/>
  <c r="H407" i="2"/>
  <c r="I407" i="2"/>
  <c r="J407" i="2"/>
  <c r="K407" i="2"/>
  <c r="G408" i="2"/>
  <c r="H408" i="2"/>
  <c r="I408" i="2"/>
  <c r="J408" i="2"/>
  <c r="K408" i="2"/>
  <c r="G409" i="2"/>
  <c r="H409" i="2"/>
  <c r="I409" i="2"/>
  <c r="J409" i="2"/>
  <c r="K409" i="2"/>
  <c r="G410" i="2"/>
  <c r="H410" i="2"/>
  <c r="I410" i="2"/>
  <c r="J410" i="2"/>
  <c r="K410" i="2"/>
  <c r="G411" i="2"/>
  <c r="H411" i="2"/>
  <c r="I411" i="2"/>
  <c r="J411" i="2"/>
  <c r="K411" i="2"/>
  <c r="G412" i="2"/>
  <c r="H412" i="2"/>
  <c r="I412" i="2"/>
  <c r="J412" i="2"/>
  <c r="K412" i="2"/>
  <c r="G413" i="2"/>
  <c r="H413" i="2"/>
  <c r="I413" i="2"/>
  <c r="J413" i="2"/>
  <c r="K413" i="2"/>
  <c r="G414" i="2"/>
  <c r="H414" i="2"/>
  <c r="I414" i="2"/>
  <c r="J414" i="2"/>
  <c r="K414" i="2"/>
  <c r="G415" i="2"/>
  <c r="H415" i="2"/>
  <c r="I415" i="2"/>
  <c r="J415" i="2"/>
  <c r="K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K418" i="2"/>
  <c r="G419" i="2"/>
  <c r="H419" i="2"/>
  <c r="I419" i="2"/>
  <c r="J419" i="2"/>
  <c r="K419" i="2"/>
  <c r="G420" i="2"/>
  <c r="H420" i="2"/>
  <c r="I420" i="2"/>
  <c r="J420" i="2"/>
  <c r="K420" i="2"/>
  <c r="G421" i="2"/>
  <c r="H421" i="2"/>
  <c r="I421" i="2"/>
  <c r="J421" i="2"/>
  <c r="K421" i="2"/>
  <c r="G422" i="2"/>
  <c r="H422" i="2"/>
  <c r="I422" i="2"/>
  <c r="J422" i="2"/>
  <c r="K422" i="2"/>
  <c r="G423" i="2"/>
  <c r="H423" i="2"/>
  <c r="I423" i="2"/>
  <c r="J423" i="2"/>
  <c r="K423" i="2"/>
  <c r="G424" i="2"/>
  <c r="H424" i="2"/>
  <c r="I424" i="2"/>
  <c r="J424" i="2"/>
  <c r="K424" i="2"/>
  <c r="G425" i="2"/>
  <c r="H425" i="2"/>
  <c r="I425" i="2"/>
  <c r="J425" i="2"/>
  <c r="K425" i="2"/>
  <c r="G426" i="2"/>
  <c r="H426" i="2"/>
  <c r="I426" i="2"/>
  <c r="J426" i="2"/>
  <c r="K426" i="2"/>
  <c r="G427" i="2"/>
  <c r="H427" i="2"/>
  <c r="I427" i="2"/>
  <c r="J427" i="2"/>
  <c r="K427" i="2"/>
  <c r="G428" i="2"/>
  <c r="H428" i="2"/>
  <c r="I428" i="2"/>
  <c r="J428" i="2"/>
  <c r="K428" i="2"/>
  <c r="G429" i="2"/>
  <c r="H429" i="2"/>
  <c r="I429" i="2"/>
  <c r="J429" i="2"/>
  <c r="K429" i="2"/>
  <c r="G430" i="2"/>
  <c r="H430" i="2"/>
  <c r="I430" i="2"/>
  <c r="J430" i="2"/>
  <c r="K430" i="2"/>
  <c r="G431" i="2"/>
  <c r="H431" i="2"/>
  <c r="I431" i="2"/>
  <c r="J431" i="2"/>
  <c r="K431" i="2"/>
  <c r="G432" i="2"/>
  <c r="H432" i="2"/>
  <c r="I432" i="2"/>
  <c r="J432" i="2"/>
  <c r="K432" i="2"/>
  <c r="G433" i="2"/>
  <c r="H433" i="2"/>
  <c r="I433" i="2"/>
  <c r="J433" i="2"/>
  <c r="K433" i="2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K436" i="2"/>
  <c r="G437" i="2"/>
  <c r="H437" i="2"/>
  <c r="I437" i="2"/>
  <c r="J437" i="2"/>
  <c r="K437" i="2"/>
  <c r="G438" i="2"/>
  <c r="H438" i="2"/>
  <c r="I438" i="2"/>
  <c r="J438" i="2"/>
  <c r="K438" i="2"/>
  <c r="G439" i="2"/>
  <c r="H439" i="2"/>
  <c r="I439" i="2"/>
  <c r="J439" i="2"/>
  <c r="K439" i="2"/>
  <c r="G440" i="2"/>
  <c r="H440" i="2"/>
  <c r="I440" i="2"/>
  <c r="J440" i="2"/>
  <c r="K440" i="2"/>
  <c r="G441" i="2"/>
  <c r="H441" i="2"/>
  <c r="I441" i="2"/>
  <c r="J441" i="2"/>
  <c r="K441" i="2"/>
  <c r="G442" i="2"/>
  <c r="H442" i="2"/>
  <c r="I442" i="2"/>
  <c r="J442" i="2"/>
  <c r="K442" i="2"/>
  <c r="G443" i="2"/>
  <c r="H443" i="2"/>
  <c r="I443" i="2"/>
  <c r="J443" i="2"/>
  <c r="K443" i="2"/>
  <c r="G444" i="2"/>
  <c r="H444" i="2"/>
  <c r="I444" i="2"/>
  <c r="J444" i="2"/>
  <c r="K444" i="2"/>
  <c r="G445" i="2"/>
  <c r="H445" i="2"/>
  <c r="I445" i="2"/>
  <c r="J445" i="2"/>
  <c r="K445" i="2"/>
  <c r="G446" i="2"/>
  <c r="H446" i="2"/>
  <c r="I446" i="2"/>
  <c r="J446" i="2"/>
  <c r="K446" i="2"/>
  <c r="G447" i="2"/>
  <c r="H447" i="2"/>
  <c r="I447" i="2"/>
  <c r="J447" i="2"/>
  <c r="K447" i="2"/>
  <c r="G448" i="2"/>
  <c r="H448" i="2"/>
  <c r="I448" i="2"/>
  <c r="J448" i="2"/>
  <c r="K448" i="2"/>
  <c r="G449" i="2"/>
  <c r="H449" i="2"/>
  <c r="I449" i="2"/>
  <c r="J449" i="2"/>
  <c r="K449" i="2"/>
  <c r="G450" i="2"/>
  <c r="H450" i="2"/>
  <c r="I450" i="2"/>
  <c r="J450" i="2"/>
  <c r="K450" i="2"/>
  <c r="G451" i="2"/>
  <c r="H451" i="2"/>
  <c r="I451" i="2"/>
  <c r="J451" i="2"/>
  <c r="K451" i="2"/>
  <c r="G452" i="2"/>
  <c r="H452" i="2"/>
  <c r="I452" i="2"/>
  <c r="J452" i="2"/>
  <c r="K452" i="2"/>
  <c r="G453" i="2"/>
  <c r="H453" i="2"/>
  <c r="I453" i="2"/>
  <c r="J453" i="2"/>
  <c r="K453" i="2"/>
  <c r="G454" i="2"/>
  <c r="H454" i="2"/>
  <c r="I454" i="2"/>
  <c r="J454" i="2"/>
  <c r="K454" i="2"/>
  <c r="G455" i="2"/>
  <c r="H455" i="2"/>
  <c r="I455" i="2"/>
  <c r="J455" i="2"/>
  <c r="K455" i="2"/>
  <c r="G456" i="2"/>
  <c r="H456" i="2"/>
  <c r="I456" i="2"/>
  <c r="J456" i="2"/>
  <c r="K456" i="2"/>
  <c r="G457" i="2"/>
  <c r="H457" i="2"/>
  <c r="I457" i="2"/>
  <c r="J457" i="2"/>
  <c r="K457" i="2"/>
  <c r="G458" i="2"/>
  <c r="H458" i="2"/>
  <c r="I458" i="2"/>
  <c r="J458" i="2"/>
  <c r="K458" i="2"/>
  <c r="G459" i="2"/>
  <c r="H459" i="2"/>
  <c r="I459" i="2"/>
  <c r="J459" i="2"/>
  <c r="K459" i="2"/>
  <c r="G460" i="2"/>
  <c r="H460" i="2"/>
  <c r="I460" i="2"/>
  <c r="J460" i="2"/>
  <c r="K460" i="2"/>
  <c r="G461" i="2"/>
  <c r="H461" i="2"/>
  <c r="I461" i="2"/>
  <c r="J461" i="2"/>
  <c r="K461" i="2"/>
  <c r="G462" i="2"/>
  <c r="H462" i="2"/>
  <c r="I462" i="2"/>
  <c r="J462" i="2"/>
  <c r="K462" i="2"/>
  <c r="G463" i="2"/>
  <c r="H463" i="2"/>
  <c r="I463" i="2"/>
  <c r="J463" i="2"/>
  <c r="K463" i="2"/>
  <c r="G464" i="2"/>
  <c r="H464" i="2"/>
  <c r="I464" i="2"/>
  <c r="J464" i="2"/>
  <c r="K464" i="2"/>
  <c r="G465" i="2"/>
  <c r="H465" i="2"/>
  <c r="I465" i="2"/>
  <c r="J465" i="2"/>
  <c r="K465" i="2"/>
  <c r="G466" i="2"/>
  <c r="H466" i="2"/>
  <c r="I466" i="2"/>
  <c r="J466" i="2"/>
  <c r="K466" i="2"/>
  <c r="G467" i="2"/>
  <c r="H467" i="2"/>
  <c r="I467" i="2"/>
  <c r="J467" i="2"/>
  <c r="K467" i="2"/>
  <c r="G468" i="2"/>
  <c r="H468" i="2"/>
  <c r="I468" i="2"/>
  <c r="J468" i="2"/>
  <c r="K468" i="2"/>
  <c r="G469" i="2"/>
  <c r="H469" i="2"/>
  <c r="I469" i="2"/>
  <c r="J469" i="2"/>
  <c r="K469" i="2"/>
  <c r="G470" i="2"/>
  <c r="H470" i="2"/>
  <c r="I470" i="2"/>
  <c r="J470" i="2"/>
  <c r="K470" i="2"/>
  <c r="G471" i="2"/>
  <c r="H471" i="2"/>
  <c r="I471" i="2"/>
  <c r="J471" i="2"/>
  <c r="K471" i="2"/>
  <c r="G472" i="2"/>
  <c r="H472" i="2"/>
  <c r="I472" i="2"/>
  <c r="J472" i="2"/>
  <c r="K472" i="2"/>
  <c r="G473" i="2"/>
  <c r="H473" i="2"/>
  <c r="I473" i="2"/>
  <c r="J473" i="2"/>
  <c r="K473" i="2"/>
  <c r="G474" i="2"/>
  <c r="H474" i="2"/>
  <c r="I474" i="2"/>
  <c r="J474" i="2"/>
  <c r="K474" i="2"/>
  <c r="G475" i="2"/>
  <c r="H475" i="2"/>
  <c r="I475" i="2"/>
  <c r="J475" i="2"/>
  <c r="K475" i="2"/>
  <c r="G476" i="2"/>
  <c r="H476" i="2"/>
  <c r="I476" i="2"/>
  <c r="J476" i="2"/>
  <c r="K476" i="2"/>
  <c r="G477" i="2"/>
  <c r="H477" i="2"/>
  <c r="I477" i="2"/>
  <c r="J477" i="2"/>
  <c r="K477" i="2"/>
  <c r="G478" i="2"/>
  <c r="H478" i="2"/>
  <c r="I478" i="2"/>
  <c r="J478" i="2"/>
  <c r="K478" i="2"/>
  <c r="G479" i="2"/>
  <c r="H479" i="2"/>
  <c r="I479" i="2"/>
  <c r="J479" i="2"/>
  <c r="K479" i="2"/>
  <c r="G480" i="2"/>
  <c r="H480" i="2"/>
  <c r="I480" i="2"/>
  <c r="J480" i="2"/>
  <c r="K480" i="2"/>
  <c r="G481" i="2"/>
  <c r="H481" i="2"/>
  <c r="I481" i="2"/>
  <c r="J481" i="2"/>
  <c r="K481" i="2"/>
  <c r="G482" i="2"/>
  <c r="H482" i="2"/>
  <c r="I482" i="2"/>
  <c r="J482" i="2"/>
  <c r="K482" i="2"/>
  <c r="G483" i="2"/>
  <c r="H483" i="2"/>
  <c r="I483" i="2"/>
  <c r="J483" i="2"/>
  <c r="K483" i="2"/>
  <c r="G484" i="2"/>
  <c r="H484" i="2"/>
  <c r="I484" i="2"/>
  <c r="J484" i="2"/>
  <c r="K484" i="2"/>
  <c r="G485" i="2"/>
  <c r="H485" i="2"/>
  <c r="I485" i="2"/>
  <c r="J485" i="2"/>
  <c r="K485" i="2"/>
  <c r="G486" i="2"/>
  <c r="H486" i="2"/>
  <c r="I486" i="2"/>
  <c r="J486" i="2"/>
  <c r="K486" i="2"/>
  <c r="G487" i="2"/>
  <c r="H487" i="2"/>
  <c r="I487" i="2"/>
  <c r="J487" i="2"/>
  <c r="K487" i="2"/>
  <c r="G488" i="2"/>
  <c r="H488" i="2"/>
  <c r="I488" i="2"/>
  <c r="J488" i="2"/>
  <c r="K488" i="2"/>
  <c r="G489" i="2"/>
  <c r="H489" i="2"/>
  <c r="I489" i="2"/>
  <c r="J489" i="2"/>
  <c r="K489" i="2"/>
  <c r="G490" i="2"/>
  <c r="H490" i="2"/>
  <c r="I490" i="2"/>
  <c r="J490" i="2"/>
  <c r="K490" i="2"/>
  <c r="G491" i="2"/>
  <c r="H491" i="2"/>
  <c r="I491" i="2"/>
  <c r="J491" i="2"/>
  <c r="K491" i="2"/>
  <c r="G492" i="2"/>
  <c r="H492" i="2"/>
  <c r="I492" i="2"/>
  <c r="J492" i="2"/>
  <c r="K492" i="2"/>
  <c r="G493" i="2"/>
  <c r="H493" i="2"/>
  <c r="I493" i="2"/>
  <c r="J493" i="2"/>
  <c r="K493" i="2"/>
  <c r="G494" i="2"/>
  <c r="H494" i="2"/>
  <c r="I494" i="2"/>
  <c r="J494" i="2"/>
  <c r="K494" i="2"/>
  <c r="G495" i="2"/>
  <c r="H495" i="2"/>
  <c r="I495" i="2"/>
  <c r="J495" i="2"/>
  <c r="K495" i="2"/>
  <c r="G496" i="2"/>
  <c r="H496" i="2"/>
  <c r="I496" i="2"/>
  <c r="J496" i="2"/>
  <c r="K496" i="2"/>
  <c r="G497" i="2"/>
  <c r="H497" i="2"/>
  <c r="I497" i="2"/>
  <c r="J497" i="2"/>
  <c r="K497" i="2"/>
  <c r="G498" i="2"/>
  <c r="H498" i="2"/>
  <c r="I498" i="2"/>
  <c r="J498" i="2"/>
  <c r="K498" i="2"/>
  <c r="G499" i="2"/>
  <c r="H499" i="2"/>
  <c r="I499" i="2"/>
  <c r="J499" i="2"/>
  <c r="K499" i="2"/>
  <c r="G500" i="2"/>
  <c r="H500" i="2"/>
  <c r="I500" i="2"/>
  <c r="J500" i="2"/>
  <c r="K500" i="2"/>
  <c r="G501" i="2"/>
  <c r="H501" i="2"/>
  <c r="I501" i="2"/>
  <c r="J501" i="2"/>
  <c r="K501" i="2"/>
  <c r="G502" i="2"/>
  <c r="H502" i="2"/>
  <c r="I502" i="2"/>
  <c r="J502" i="2"/>
  <c r="K502" i="2"/>
  <c r="G503" i="2"/>
  <c r="H503" i="2"/>
  <c r="I503" i="2"/>
  <c r="J503" i="2"/>
  <c r="K503" i="2"/>
  <c r="G504" i="2"/>
  <c r="H504" i="2"/>
  <c r="I504" i="2"/>
  <c r="J504" i="2"/>
  <c r="K504" i="2"/>
  <c r="G505" i="2"/>
  <c r="H505" i="2"/>
  <c r="I505" i="2"/>
  <c r="J505" i="2"/>
  <c r="K505" i="2"/>
  <c r="G506" i="2"/>
  <c r="H506" i="2"/>
  <c r="I506" i="2"/>
  <c r="J506" i="2"/>
  <c r="K506" i="2"/>
  <c r="G507" i="2"/>
  <c r="H507" i="2"/>
  <c r="I507" i="2"/>
  <c r="J507" i="2"/>
  <c r="K507" i="2"/>
  <c r="G508" i="2"/>
  <c r="H508" i="2"/>
  <c r="I508" i="2"/>
  <c r="J508" i="2"/>
  <c r="K508" i="2"/>
  <c r="G509" i="2"/>
  <c r="H509" i="2"/>
  <c r="I509" i="2"/>
  <c r="J509" i="2"/>
  <c r="K509" i="2"/>
  <c r="G510" i="2"/>
  <c r="H510" i="2"/>
  <c r="I510" i="2"/>
  <c r="J510" i="2"/>
  <c r="K510" i="2"/>
  <c r="G511" i="2"/>
  <c r="H511" i="2"/>
  <c r="I511" i="2"/>
  <c r="J511" i="2"/>
  <c r="K511" i="2"/>
  <c r="G512" i="2"/>
  <c r="H512" i="2"/>
  <c r="I512" i="2"/>
  <c r="J512" i="2"/>
  <c r="K512" i="2"/>
  <c r="G513" i="2"/>
  <c r="H513" i="2"/>
  <c r="I513" i="2"/>
  <c r="J513" i="2"/>
  <c r="K513" i="2"/>
  <c r="G514" i="2"/>
  <c r="H514" i="2"/>
  <c r="I514" i="2"/>
  <c r="J514" i="2"/>
  <c r="K514" i="2"/>
  <c r="G515" i="2"/>
  <c r="H515" i="2"/>
  <c r="I515" i="2"/>
  <c r="J515" i="2"/>
  <c r="K515" i="2"/>
  <c r="G516" i="2"/>
  <c r="H516" i="2"/>
  <c r="I516" i="2"/>
  <c r="J516" i="2"/>
  <c r="K516" i="2"/>
  <c r="G517" i="2"/>
  <c r="H517" i="2"/>
  <c r="I517" i="2"/>
  <c r="J517" i="2"/>
  <c r="K517" i="2"/>
  <c r="G518" i="2"/>
  <c r="H518" i="2"/>
  <c r="I518" i="2"/>
  <c r="J518" i="2"/>
  <c r="K518" i="2"/>
  <c r="G519" i="2"/>
  <c r="H519" i="2"/>
  <c r="I519" i="2"/>
  <c r="J519" i="2"/>
  <c r="K519" i="2"/>
  <c r="G520" i="2"/>
  <c r="H520" i="2"/>
  <c r="I520" i="2"/>
  <c r="J520" i="2"/>
  <c r="K520" i="2"/>
  <c r="G521" i="2"/>
  <c r="H521" i="2"/>
  <c r="I521" i="2"/>
  <c r="J521" i="2"/>
  <c r="K521" i="2"/>
  <c r="G522" i="2"/>
  <c r="H522" i="2"/>
  <c r="I522" i="2"/>
  <c r="J522" i="2"/>
  <c r="K522" i="2"/>
  <c r="G523" i="2"/>
  <c r="H523" i="2"/>
  <c r="I523" i="2"/>
  <c r="J523" i="2"/>
  <c r="K523" i="2"/>
  <c r="G524" i="2"/>
  <c r="H524" i="2"/>
  <c r="I524" i="2"/>
  <c r="J524" i="2"/>
  <c r="K524" i="2"/>
  <c r="G525" i="2"/>
  <c r="H525" i="2"/>
  <c r="I525" i="2"/>
  <c r="J525" i="2"/>
  <c r="K525" i="2"/>
  <c r="G526" i="2"/>
  <c r="H526" i="2"/>
  <c r="I526" i="2"/>
  <c r="J526" i="2"/>
  <c r="K526" i="2"/>
  <c r="G527" i="2"/>
  <c r="H527" i="2"/>
  <c r="I527" i="2"/>
  <c r="J527" i="2"/>
  <c r="K527" i="2"/>
  <c r="G528" i="2"/>
  <c r="H528" i="2"/>
  <c r="I528" i="2"/>
  <c r="J528" i="2"/>
  <c r="K528" i="2"/>
  <c r="G529" i="2"/>
  <c r="H529" i="2"/>
  <c r="I529" i="2"/>
  <c r="J529" i="2"/>
  <c r="K529" i="2"/>
  <c r="G530" i="2"/>
  <c r="H530" i="2"/>
  <c r="I530" i="2"/>
  <c r="J530" i="2"/>
  <c r="K530" i="2"/>
  <c r="G531" i="2"/>
  <c r="H531" i="2"/>
  <c r="I531" i="2"/>
  <c r="J531" i="2"/>
  <c r="K531" i="2"/>
  <c r="G532" i="2"/>
  <c r="H532" i="2"/>
  <c r="I532" i="2"/>
  <c r="J532" i="2"/>
  <c r="K532" i="2"/>
  <c r="G533" i="2"/>
  <c r="H533" i="2"/>
  <c r="I533" i="2"/>
  <c r="J533" i="2"/>
  <c r="K533" i="2"/>
  <c r="G534" i="2"/>
  <c r="H534" i="2"/>
  <c r="I534" i="2"/>
  <c r="J534" i="2"/>
  <c r="K534" i="2"/>
  <c r="G535" i="2"/>
  <c r="H535" i="2"/>
  <c r="I535" i="2"/>
  <c r="J535" i="2"/>
  <c r="K535" i="2"/>
  <c r="G536" i="2"/>
  <c r="H536" i="2"/>
  <c r="I536" i="2"/>
  <c r="J536" i="2"/>
  <c r="K536" i="2"/>
  <c r="G537" i="2"/>
  <c r="H537" i="2"/>
  <c r="I537" i="2"/>
  <c r="J537" i="2"/>
  <c r="K537" i="2"/>
  <c r="G538" i="2"/>
  <c r="H538" i="2"/>
  <c r="I538" i="2"/>
  <c r="J538" i="2"/>
  <c r="K538" i="2"/>
  <c r="G539" i="2"/>
  <c r="H539" i="2"/>
  <c r="I539" i="2"/>
  <c r="J539" i="2"/>
  <c r="K539" i="2"/>
  <c r="G540" i="2"/>
  <c r="H540" i="2"/>
  <c r="I540" i="2"/>
  <c r="J540" i="2"/>
  <c r="K540" i="2"/>
  <c r="G541" i="2"/>
  <c r="H541" i="2"/>
  <c r="I541" i="2"/>
  <c r="J541" i="2"/>
  <c r="K541" i="2"/>
  <c r="G542" i="2"/>
  <c r="H542" i="2"/>
  <c r="I542" i="2"/>
  <c r="J542" i="2"/>
  <c r="K542" i="2"/>
  <c r="G543" i="2"/>
  <c r="H543" i="2"/>
  <c r="I543" i="2"/>
  <c r="J543" i="2"/>
  <c r="K543" i="2"/>
  <c r="G544" i="2"/>
  <c r="H544" i="2"/>
  <c r="I544" i="2"/>
  <c r="J544" i="2"/>
  <c r="K544" i="2"/>
  <c r="G545" i="2"/>
  <c r="H545" i="2"/>
  <c r="I545" i="2"/>
  <c r="J545" i="2"/>
  <c r="K545" i="2"/>
  <c r="G546" i="2"/>
  <c r="H546" i="2"/>
  <c r="I546" i="2"/>
  <c r="J546" i="2"/>
  <c r="K546" i="2"/>
  <c r="G547" i="2"/>
  <c r="H547" i="2"/>
  <c r="I547" i="2"/>
  <c r="J547" i="2"/>
  <c r="K547" i="2"/>
  <c r="G548" i="2"/>
  <c r="H548" i="2"/>
  <c r="I548" i="2"/>
  <c r="J548" i="2"/>
  <c r="K548" i="2"/>
  <c r="G549" i="2"/>
  <c r="H549" i="2"/>
  <c r="I549" i="2"/>
  <c r="J549" i="2"/>
  <c r="K549" i="2"/>
  <c r="G550" i="2"/>
  <c r="H550" i="2"/>
  <c r="I550" i="2"/>
  <c r="J550" i="2"/>
  <c r="K550" i="2"/>
  <c r="G551" i="2"/>
  <c r="H551" i="2"/>
  <c r="I551" i="2"/>
  <c r="J551" i="2"/>
  <c r="K551" i="2"/>
  <c r="G552" i="2"/>
  <c r="H552" i="2"/>
  <c r="I552" i="2"/>
  <c r="J552" i="2"/>
  <c r="K552" i="2"/>
  <c r="G553" i="2"/>
  <c r="H553" i="2"/>
  <c r="I553" i="2"/>
  <c r="J553" i="2"/>
  <c r="K553" i="2"/>
  <c r="G555" i="2"/>
  <c r="H555" i="2"/>
  <c r="I555" i="2"/>
  <c r="J555" i="2"/>
  <c r="K555" i="2"/>
  <c r="G556" i="2"/>
  <c r="H556" i="2"/>
  <c r="I556" i="2"/>
  <c r="J556" i="2"/>
  <c r="K556" i="2"/>
  <c r="G557" i="2"/>
  <c r="H557" i="2"/>
  <c r="I557" i="2"/>
  <c r="J557" i="2"/>
  <c r="K557" i="2"/>
  <c r="G558" i="2"/>
  <c r="H558" i="2"/>
  <c r="I558" i="2"/>
  <c r="J558" i="2"/>
  <c r="K558" i="2"/>
  <c r="G559" i="2"/>
  <c r="H559" i="2"/>
  <c r="I559" i="2"/>
  <c r="J559" i="2"/>
  <c r="K559" i="2"/>
  <c r="G560" i="2"/>
  <c r="H560" i="2"/>
  <c r="I560" i="2"/>
  <c r="J560" i="2"/>
  <c r="K560" i="2"/>
  <c r="G561" i="2"/>
  <c r="H561" i="2"/>
  <c r="I561" i="2"/>
  <c r="J561" i="2"/>
  <c r="K561" i="2"/>
  <c r="G562" i="2"/>
  <c r="H562" i="2"/>
  <c r="I562" i="2"/>
  <c r="J562" i="2"/>
  <c r="K562" i="2"/>
  <c r="G563" i="2"/>
  <c r="H563" i="2"/>
  <c r="I563" i="2"/>
  <c r="J563" i="2"/>
  <c r="K563" i="2"/>
  <c r="G564" i="2"/>
  <c r="H564" i="2"/>
  <c r="I564" i="2"/>
  <c r="J564" i="2"/>
  <c r="K564" i="2"/>
  <c r="G565" i="2"/>
  <c r="H565" i="2"/>
  <c r="I565" i="2"/>
  <c r="J565" i="2"/>
  <c r="K565" i="2"/>
  <c r="G566" i="2"/>
  <c r="H566" i="2"/>
  <c r="I566" i="2"/>
  <c r="J566" i="2"/>
  <c r="K566" i="2"/>
  <c r="G567" i="2"/>
  <c r="H567" i="2"/>
  <c r="I567" i="2"/>
  <c r="J567" i="2"/>
  <c r="K567" i="2"/>
  <c r="G568" i="2"/>
  <c r="H568" i="2"/>
  <c r="I568" i="2"/>
  <c r="J568" i="2"/>
  <c r="K568" i="2"/>
  <c r="G569" i="2"/>
  <c r="H569" i="2"/>
  <c r="I569" i="2"/>
  <c r="J569" i="2"/>
  <c r="K569" i="2"/>
  <c r="G570" i="2"/>
  <c r="H570" i="2"/>
  <c r="I570" i="2"/>
  <c r="J570" i="2"/>
  <c r="K570" i="2"/>
  <c r="G571" i="2"/>
  <c r="H571" i="2"/>
  <c r="I571" i="2"/>
  <c r="J571" i="2"/>
  <c r="K571" i="2"/>
  <c r="G572" i="2"/>
  <c r="H572" i="2"/>
  <c r="I572" i="2"/>
  <c r="J572" i="2"/>
  <c r="K572" i="2"/>
  <c r="G573" i="2"/>
  <c r="H573" i="2"/>
  <c r="I573" i="2"/>
  <c r="J573" i="2"/>
  <c r="K573" i="2"/>
  <c r="G574" i="2"/>
  <c r="H574" i="2"/>
  <c r="I574" i="2"/>
  <c r="J574" i="2"/>
  <c r="K574" i="2"/>
  <c r="G575" i="2"/>
  <c r="H575" i="2"/>
  <c r="I575" i="2"/>
  <c r="J575" i="2"/>
  <c r="K575" i="2"/>
  <c r="G576" i="2"/>
  <c r="H576" i="2"/>
  <c r="I576" i="2"/>
  <c r="J576" i="2"/>
  <c r="K576" i="2"/>
  <c r="G577" i="2"/>
  <c r="H577" i="2"/>
  <c r="I577" i="2"/>
  <c r="J577" i="2"/>
  <c r="K577" i="2"/>
  <c r="G578" i="2"/>
  <c r="H578" i="2"/>
  <c r="I578" i="2"/>
  <c r="J578" i="2"/>
  <c r="K578" i="2"/>
  <c r="G579" i="2"/>
  <c r="H579" i="2"/>
  <c r="I579" i="2"/>
  <c r="J579" i="2"/>
  <c r="K579" i="2"/>
  <c r="G580" i="2"/>
  <c r="H580" i="2"/>
  <c r="I580" i="2"/>
  <c r="J580" i="2"/>
  <c r="K580" i="2"/>
  <c r="G581" i="2"/>
  <c r="H581" i="2"/>
  <c r="I581" i="2"/>
  <c r="J581" i="2"/>
  <c r="K581" i="2"/>
  <c r="G582" i="2"/>
  <c r="H582" i="2"/>
  <c r="I582" i="2"/>
  <c r="J582" i="2"/>
  <c r="K582" i="2"/>
  <c r="G583" i="2"/>
  <c r="H583" i="2"/>
  <c r="I583" i="2"/>
  <c r="J583" i="2"/>
  <c r="K583" i="2"/>
  <c r="G584" i="2"/>
  <c r="H584" i="2"/>
  <c r="I584" i="2"/>
  <c r="J584" i="2"/>
  <c r="K584" i="2"/>
  <c r="G585" i="2"/>
  <c r="H585" i="2"/>
  <c r="I585" i="2"/>
  <c r="J585" i="2"/>
  <c r="K585" i="2"/>
  <c r="G586" i="2"/>
  <c r="H586" i="2"/>
  <c r="I586" i="2"/>
  <c r="J586" i="2"/>
  <c r="K586" i="2"/>
  <c r="G587" i="2"/>
  <c r="H587" i="2"/>
  <c r="I587" i="2"/>
  <c r="J587" i="2"/>
  <c r="K587" i="2"/>
  <c r="G588" i="2"/>
  <c r="H588" i="2"/>
  <c r="I588" i="2"/>
  <c r="J588" i="2"/>
  <c r="K588" i="2"/>
  <c r="G589" i="2"/>
  <c r="H589" i="2"/>
  <c r="I589" i="2"/>
  <c r="J589" i="2"/>
  <c r="K589" i="2"/>
  <c r="G590" i="2"/>
  <c r="H590" i="2"/>
  <c r="I590" i="2"/>
  <c r="J590" i="2"/>
  <c r="K590" i="2"/>
  <c r="G591" i="2"/>
  <c r="H591" i="2"/>
  <c r="I591" i="2"/>
  <c r="J591" i="2"/>
  <c r="K591" i="2"/>
  <c r="G592" i="2"/>
  <c r="H592" i="2"/>
  <c r="I592" i="2"/>
  <c r="J592" i="2"/>
  <c r="K592" i="2"/>
  <c r="G593" i="2"/>
  <c r="H593" i="2"/>
  <c r="I593" i="2"/>
  <c r="J593" i="2"/>
  <c r="K593" i="2"/>
  <c r="G594" i="2"/>
  <c r="H594" i="2"/>
  <c r="I594" i="2"/>
  <c r="J594" i="2"/>
  <c r="K594" i="2"/>
  <c r="G595" i="2"/>
  <c r="H595" i="2"/>
  <c r="I595" i="2"/>
  <c r="J595" i="2"/>
  <c r="K595" i="2"/>
  <c r="G596" i="2"/>
  <c r="H596" i="2"/>
  <c r="I596" i="2"/>
  <c r="J596" i="2"/>
  <c r="K596" i="2"/>
  <c r="G597" i="2"/>
  <c r="H597" i="2"/>
  <c r="I597" i="2"/>
  <c r="J597" i="2"/>
  <c r="K597" i="2"/>
  <c r="G598" i="2"/>
  <c r="H598" i="2"/>
  <c r="I598" i="2"/>
  <c r="J598" i="2"/>
  <c r="K598" i="2"/>
  <c r="G599" i="2"/>
  <c r="H599" i="2"/>
  <c r="I599" i="2"/>
  <c r="J599" i="2"/>
  <c r="K599" i="2"/>
  <c r="G600" i="2"/>
  <c r="H600" i="2"/>
  <c r="I600" i="2"/>
  <c r="J600" i="2"/>
  <c r="K600" i="2"/>
  <c r="G601" i="2"/>
  <c r="H601" i="2"/>
  <c r="I601" i="2"/>
  <c r="J601" i="2"/>
  <c r="K601" i="2"/>
  <c r="G602" i="2"/>
  <c r="H602" i="2"/>
  <c r="I602" i="2"/>
  <c r="J602" i="2"/>
  <c r="K602" i="2"/>
  <c r="G603" i="2"/>
  <c r="H603" i="2"/>
  <c r="I603" i="2"/>
  <c r="J603" i="2"/>
  <c r="K603" i="2"/>
  <c r="G604" i="2"/>
  <c r="H604" i="2"/>
  <c r="I604" i="2"/>
  <c r="J604" i="2"/>
  <c r="K604" i="2"/>
  <c r="G605" i="2"/>
  <c r="H605" i="2"/>
  <c r="I605" i="2"/>
  <c r="J605" i="2"/>
  <c r="K605" i="2"/>
  <c r="G606" i="2"/>
  <c r="H606" i="2"/>
  <c r="I606" i="2"/>
  <c r="J606" i="2"/>
  <c r="K606" i="2"/>
  <c r="G607" i="2"/>
  <c r="H607" i="2"/>
  <c r="I607" i="2"/>
  <c r="J607" i="2"/>
  <c r="K607" i="2"/>
  <c r="G608" i="2"/>
  <c r="H608" i="2"/>
  <c r="I608" i="2"/>
  <c r="J608" i="2"/>
  <c r="K608" i="2"/>
  <c r="G609" i="2"/>
  <c r="H609" i="2"/>
  <c r="I609" i="2"/>
  <c r="J609" i="2"/>
  <c r="K609" i="2"/>
  <c r="G610" i="2"/>
  <c r="H610" i="2"/>
  <c r="I610" i="2"/>
  <c r="J610" i="2"/>
  <c r="K610" i="2"/>
  <c r="G611" i="2"/>
  <c r="H611" i="2"/>
  <c r="I611" i="2"/>
  <c r="J611" i="2"/>
  <c r="K611" i="2"/>
  <c r="G612" i="2"/>
  <c r="H612" i="2"/>
  <c r="I612" i="2"/>
  <c r="J612" i="2"/>
  <c r="K612" i="2"/>
  <c r="G613" i="2"/>
  <c r="H613" i="2"/>
  <c r="I613" i="2"/>
  <c r="J613" i="2"/>
  <c r="K613" i="2"/>
  <c r="G614" i="2"/>
  <c r="H614" i="2"/>
  <c r="I614" i="2"/>
  <c r="J614" i="2"/>
  <c r="K614" i="2"/>
  <c r="G615" i="2"/>
  <c r="H615" i="2"/>
  <c r="I615" i="2"/>
  <c r="J615" i="2"/>
  <c r="K615" i="2"/>
  <c r="G616" i="2"/>
  <c r="H616" i="2"/>
  <c r="I616" i="2"/>
  <c r="J616" i="2"/>
  <c r="K616" i="2"/>
  <c r="G617" i="2"/>
  <c r="H617" i="2"/>
  <c r="I617" i="2"/>
  <c r="J617" i="2"/>
  <c r="K617" i="2"/>
  <c r="G618" i="2"/>
  <c r="H618" i="2"/>
  <c r="I618" i="2"/>
  <c r="J618" i="2"/>
  <c r="K618" i="2"/>
  <c r="G619" i="2"/>
  <c r="H619" i="2"/>
  <c r="I619" i="2"/>
  <c r="J619" i="2"/>
  <c r="K619" i="2"/>
  <c r="G620" i="2"/>
  <c r="H620" i="2"/>
  <c r="I620" i="2"/>
  <c r="J620" i="2"/>
  <c r="K620" i="2"/>
  <c r="G621" i="2"/>
  <c r="H621" i="2"/>
  <c r="I621" i="2"/>
  <c r="J621" i="2"/>
  <c r="K621" i="2"/>
  <c r="G622" i="2"/>
  <c r="H622" i="2"/>
  <c r="I622" i="2"/>
  <c r="J622" i="2"/>
  <c r="K622" i="2"/>
  <c r="G623" i="2"/>
  <c r="H623" i="2"/>
  <c r="I623" i="2"/>
  <c r="J623" i="2"/>
  <c r="K623" i="2"/>
  <c r="G624" i="2"/>
  <c r="H624" i="2"/>
  <c r="I624" i="2"/>
  <c r="J624" i="2"/>
  <c r="K624" i="2"/>
  <c r="G625" i="2"/>
  <c r="H625" i="2"/>
  <c r="I625" i="2"/>
  <c r="J625" i="2"/>
  <c r="K625" i="2"/>
  <c r="G626" i="2"/>
  <c r="H626" i="2"/>
  <c r="I626" i="2"/>
  <c r="J626" i="2"/>
  <c r="K626" i="2"/>
  <c r="G627" i="2"/>
  <c r="H627" i="2"/>
  <c r="I627" i="2"/>
  <c r="J627" i="2"/>
  <c r="K627" i="2"/>
  <c r="G628" i="2"/>
  <c r="H628" i="2"/>
  <c r="I628" i="2"/>
  <c r="J628" i="2"/>
  <c r="K628" i="2"/>
  <c r="G629" i="2"/>
  <c r="H629" i="2"/>
  <c r="I629" i="2"/>
  <c r="J629" i="2"/>
  <c r="K629" i="2"/>
  <c r="G630" i="2"/>
  <c r="H630" i="2"/>
  <c r="I630" i="2"/>
  <c r="J630" i="2"/>
  <c r="K630" i="2"/>
  <c r="G631" i="2"/>
  <c r="H631" i="2"/>
  <c r="I631" i="2"/>
  <c r="J631" i="2"/>
  <c r="K631" i="2"/>
  <c r="G632" i="2"/>
  <c r="H632" i="2"/>
  <c r="I632" i="2"/>
  <c r="J632" i="2"/>
  <c r="K632" i="2"/>
  <c r="G633" i="2"/>
  <c r="H633" i="2"/>
  <c r="I633" i="2"/>
  <c r="J633" i="2"/>
  <c r="K633" i="2"/>
  <c r="G634" i="2"/>
  <c r="H634" i="2"/>
  <c r="I634" i="2"/>
  <c r="J634" i="2"/>
  <c r="K634" i="2"/>
  <c r="G635" i="2"/>
  <c r="H635" i="2"/>
  <c r="I635" i="2"/>
  <c r="J635" i="2"/>
  <c r="K635" i="2"/>
  <c r="G636" i="2"/>
  <c r="H636" i="2"/>
  <c r="I636" i="2"/>
  <c r="J636" i="2"/>
  <c r="K636" i="2"/>
  <c r="G637" i="2"/>
  <c r="H637" i="2"/>
  <c r="I637" i="2"/>
  <c r="J637" i="2"/>
  <c r="K637" i="2"/>
  <c r="G638" i="2"/>
  <c r="H638" i="2"/>
  <c r="I638" i="2"/>
  <c r="J638" i="2"/>
  <c r="K638" i="2"/>
  <c r="G639" i="2"/>
  <c r="H639" i="2"/>
  <c r="I639" i="2"/>
  <c r="J639" i="2"/>
  <c r="K639" i="2"/>
  <c r="G640" i="2"/>
  <c r="H640" i="2"/>
  <c r="I640" i="2"/>
  <c r="J640" i="2"/>
  <c r="K640" i="2"/>
  <c r="G641" i="2"/>
  <c r="H641" i="2"/>
  <c r="I641" i="2"/>
  <c r="J641" i="2"/>
  <c r="K641" i="2"/>
  <c r="G642" i="2"/>
  <c r="H642" i="2"/>
  <c r="I642" i="2"/>
  <c r="J642" i="2"/>
  <c r="K642" i="2"/>
  <c r="G643" i="2"/>
  <c r="H643" i="2"/>
  <c r="I643" i="2"/>
  <c r="J643" i="2"/>
  <c r="K643" i="2"/>
  <c r="G644" i="2"/>
  <c r="H644" i="2"/>
  <c r="I644" i="2"/>
  <c r="J644" i="2"/>
  <c r="K644" i="2"/>
  <c r="G645" i="2"/>
  <c r="H645" i="2"/>
  <c r="I645" i="2"/>
  <c r="J645" i="2"/>
  <c r="K645" i="2"/>
  <c r="G646" i="2"/>
  <c r="H646" i="2"/>
  <c r="I646" i="2"/>
  <c r="J646" i="2"/>
  <c r="K646" i="2"/>
  <c r="G647" i="2"/>
  <c r="H647" i="2"/>
  <c r="I647" i="2"/>
  <c r="J647" i="2"/>
  <c r="K647" i="2"/>
  <c r="G648" i="2"/>
  <c r="H648" i="2"/>
  <c r="I648" i="2"/>
  <c r="J648" i="2"/>
  <c r="K648" i="2"/>
  <c r="G649" i="2"/>
  <c r="H649" i="2"/>
  <c r="I649" i="2"/>
  <c r="J649" i="2"/>
  <c r="K649" i="2"/>
  <c r="G650" i="2"/>
  <c r="H650" i="2"/>
  <c r="I650" i="2"/>
  <c r="J650" i="2"/>
  <c r="K650" i="2"/>
  <c r="G651" i="2"/>
  <c r="H651" i="2"/>
  <c r="I651" i="2"/>
  <c r="J651" i="2"/>
  <c r="K651" i="2"/>
  <c r="G652" i="2"/>
  <c r="H652" i="2"/>
  <c r="I652" i="2"/>
  <c r="J652" i="2"/>
  <c r="K652" i="2"/>
  <c r="G653" i="2"/>
  <c r="H653" i="2"/>
  <c r="I653" i="2"/>
  <c r="J653" i="2"/>
  <c r="K653" i="2"/>
  <c r="G654" i="2"/>
  <c r="H654" i="2"/>
  <c r="I654" i="2"/>
  <c r="J654" i="2"/>
  <c r="K654" i="2"/>
  <c r="G655" i="2"/>
  <c r="H655" i="2"/>
  <c r="I655" i="2"/>
  <c r="J655" i="2"/>
  <c r="K655" i="2"/>
  <c r="G656" i="2"/>
  <c r="H656" i="2"/>
  <c r="I656" i="2"/>
  <c r="J656" i="2"/>
  <c r="K656" i="2"/>
  <c r="G657" i="2"/>
  <c r="H657" i="2"/>
  <c r="I657" i="2"/>
  <c r="J657" i="2"/>
  <c r="K657" i="2"/>
  <c r="G658" i="2"/>
  <c r="H658" i="2"/>
  <c r="I658" i="2"/>
  <c r="J658" i="2"/>
  <c r="K658" i="2"/>
  <c r="G659" i="2"/>
  <c r="H659" i="2"/>
  <c r="I659" i="2"/>
  <c r="J659" i="2"/>
  <c r="K659" i="2"/>
  <c r="G660" i="2"/>
  <c r="H660" i="2"/>
  <c r="I660" i="2"/>
  <c r="J660" i="2"/>
  <c r="K660" i="2"/>
  <c r="G661" i="2"/>
  <c r="H661" i="2"/>
  <c r="I661" i="2"/>
  <c r="J661" i="2"/>
  <c r="K661" i="2"/>
  <c r="G662" i="2"/>
  <c r="H662" i="2"/>
  <c r="I662" i="2"/>
  <c r="J662" i="2"/>
  <c r="K662" i="2"/>
  <c r="G663" i="2"/>
  <c r="H663" i="2"/>
  <c r="I663" i="2"/>
  <c r="J663" i="2"/>
  <c r="K663" i="2"/>
  <c r="G664" i="2"/>
  <c r="H664" i="2"/>
  <c r="I664" i="2"/>
  <c r="J664" i="2"/>
  <c r="K664" i="2"/>
  <c r="G665" i="2"/>
  <c r="H665" i="2"/>
  <c r="I665" i="2"/>
  <c r="J665" i="2"/>
  <c r="K665" i="2"/>
  <c r="G666" i="2"/>
  <c r="H666" i="2"/>
  <c r="I666" i="2"/>
  <c r="J666" i="2"/>
  <c r="K666" i="2"/>
  <c r="G667" i="2"/>
  <c r="H667" i="2"/>
  <c r="I667" i="2"/>
  <c r="J667" i="2"/>
  <c r="K667" i="2"/>
  <c r="G668" i="2"/>
  <c r="H668" i="2"/>
  <c r="I668" i="2"/>
  <c r="J668" i="2"/>
  <c r="K668" i="2"/>
  <c r="G669" i="2"/>
  <c r="H669" i="2"/>
  <c r="I669" i="2"/>
  <c r="J669" i="2"/>
  <c r="K669" i="2"/>
  <c r="G670" i="2"/>
  <c r="H670" i="2"/>
  <c r="I670" i="2"/>
  <c r="J670" i="2"/>
  <c r="K670" i="2"/>
  <c r="G671" i="2"/>
  <c r="H671" i="2"/>
  <c r="I671" i="2"/>
  <c r="J671" i="2"/>
  <c r="K671" i="2"/>
  <c r="G672" i="2"/>
  <c r="H672" i="2"/>
  <c r="I672" i="2"/>
  <c r="J672" i="2"/>
  <c r="K672" i="2"/>
  <c r="G673" i="2"/>
  <c r="H673" i="2"/>
  <c r="I673" i="2"/>
  <c r="J673" i="2"/>
  <c r="K673" i="2"/>
  <c r="G674" i="2"/>
  <c r="H674" i="2"/>
  <c r="I674" i="2"/>
  <c r="J674" i="2"/>
  <c r="K674" i="2"/>
  <c r="G675" i="2"/>
  <c r="H675" i="2"/>
  <c r="I675" i="2"/>
  <c r="J675" i="2"/>
  <c r="K675" i="2"/>
  <c r="G676" i="2"/>
  <c r="H676" i="2"/>
  <c r="I676" i="2"/>
  <c r="J676" i="2"/>
  <c r="K676" i="2"/>
  <c r="G677" i="2"/>
  <c r="H677" i="2"/>
  <c r="I677" i="2"/>
  <c r="J677" i="2"/>
  <c r="K677" i="2"/>
  <c r="G678" i="2"/>
  <c r="H678" i="2"/>
  <c r="I678" i="2"/>
  <c r="J678" i="2"/>
  <c r="K678" i="2"/>
  <c r="G679" i="2"/>
  <c r="H679" i="2"/>
  <c r="I679" i="2"/>
  <c r="J679" i="2"/>
  <c r="K679" i="2"/>
  <c r="G680" i="2"/>
  <c r="H680" i="2"/>
  <c r="I680" i="2"/>
  <c r="J680" i="2"/>
  <c r="K680" i="2"/>
  <c r="G681" i="2"/>
  <c r="H681" i="2"/>
  <c r="I681" i="2"/>
  <c r="J681" i="2"/>
  <c r="K681" i="2"/>
  <c r="G682" i="2"/>
  <c r="H682" i="2"/>
  <c r="I682" i="2"/>
  <c r="J682" i="2"/>
  <c r="K682" i="2"/>
  <c r="G683" i="2"/>
  <c r="H683" i="2"/>
  <c r="I683" i="2"/>
  <c r="J683" i="2"/>
  <c r="K683" i="2"/>
  <c r="G684" i="2"/>
  <c r="H684" i="2"/>
  <c r="I684" i="2"/>
  <c r="J684" i="2"/>
  <c r="K684" i="2"/>
  <c r="G685" i="2"/>
  <c r="H685" i="2"/>
  <c r="I685" i="2"/>
  <c r="J685" i="2"/>
  <c r="K685" i="2"/>
  <c r="G686" i="2"/>
  <c r="H686" i="2"/>
  <c r="I686" i="2"/>
  <c r="J686" i="2"/>
  <c r="K686" i="2"/>
  <c r="G687" i="2"/>
  <c r="H687" i="2"/>
  <c r="I687" i="2"/>
  <c r="J687" i="2"/>
  <c r="K687" i="2"/>
  <c r="G688" i="2"/>
  <c r="H688" i="2"/>
  <c r="I688" i="2"/>
  <c r="J688" i="2"/>
  <c r="K688" i="2"/>
  <c r="G689" i="2"/>
  <c r="H689" i="2"/>
  <c r="I689" i="2"/>
  <c r="J689" i="2"/>
  <c r="K689" i="2"/>
  <c r="G690" i="2"/>
  <c r="H690" i="2"/>
  <c r="I690" i="2"/>
  <c r="J690" i="2"/>
  <c r="K690" i="2"/>
  <c r="G691" i="2"/>
  <c r="H691" i="2"/>
  <c r="I691" i="2"/>
  <c r="J691" i="2"/>
  <c r="K691" i="2"/>
  <c r="G692" i="2"/>
  <c r="H692" i="2"/>
  <c r="I692" i="2"/>
  <c r="J692" i="2"/>
  <c r="K692" i="2"/>
  <c r="G693" i="2"/>
  <c r="H693" i="2"/>
  <c r="I693" i="2"/>
  <c r="J693" i="2"/>
  <c r="K693" i="2"/>
  <c r="G694" i="2"/>
  <c r="H694" i="2"/>
  <c r="I694" i="2"/>
  <c r="J694" i="2"/>
  <c r="K694" i="2"/>
  <c r="G695" i="2"/>
  <c r="H695" i="2"/>
  <c r="I695" i="2"/>
  <c r="J695" i="2"/>
  <c r="K695" i="2"/>
  <c r="G696" i="2"/>
  <c r="H696" i="2"/>
  <c r="I696" i="2"/>
  <c r="J696" i="2"/>
  <c r="K696" i="2"/>
  <c r="G697" i="2"/>
  <c r="H697" i="2"/>
  <c r="I697" i="2"/>
  <c r="J697" i="2"/>
  <c r="K697" i="2"/>
  <c r="G698" i="2"/>
  <c r="H698" i="2"/>
  <c r="I698" i="2"/>
  <c r="J698" i="2"/>
  <c r="K698" i="2"/>
  <c r="G699" i="2"/>
  <c r="H699" i="2"/>
  <c r="I699" i="2"/>
  <c r="J699" i="2"/>
  <c r="K699" i="2"/>
  <c r="G700" i="2"/>
  <c r="H700" i="2"/>
  <c r="I700" i="2"/>
  <c r="J700" i="2"/>
  <c r="K700" i="2"/>
  <c r="G701" i="2"/>
  <c r="H701" i="2"/>
  <c r="I701" i="2"/>
  <c r="J701" i="2"/>
  <c r="K701" i="2"/>
  <c r="G702" i="2"/>
  <c r="H702" i="2"/>
  <c r="I702" i="2"/>
  <c r="J702" i="2"/>
  <c r="K702" i="2"/>
  <c r="G703" i="2"/>
  <c r="H703" i="2"/>
  <c r="I703" i="2"/>
  <c r="J703" i="2"/>
  <c r="K703" i="2"/>
  <c r="G704" i="2"/>
  <c r="H704" i="2"/>
  <c r="I704" i="2"/>
  <c r="J704" i="2"/>
  <c r="K704" i="2"/>
  <c r="G705" i="2"/>
  <c r="H705" i="2"/>
  <c r="I705" i="2"/>
  <c r="J705" i="2"/>
  <c r="K705" i="2"/>
  <c r="G706" i="2"/>
  <c r="H706" i="2"/>
  <c r="I706" i="2"/>
  <c r="J706" i="2"/>
  <c r="K706" i="2"/>
  <c r="G707" i="2"/>
  <c r="H707" i="2"/>
  <c r="I707" i="2"/>
  <c r="J707" i="2"/>
  <c r="K707" i="2"/>
  <c r="G708" i="2"/>
  <c r="H708" i="2"/>
  <c r="I708" i="2"/>
  <c r="J708" i="2"/>
  <c r="K708" i="2"/>
  <c r="G709" i="2"/>
  <c r="H709" i="2"/>
  <c r="I709" i="2"/>
  <c r="J709" i="2"/>
  <c r="K709" i="2"/>
  <c r="G710" i="2"/>
  <c r="H710" i="2"/>
  <c r="I710" i="2"/>
  <c r="J710" i="2"/>
  <c r="K710" i="2"/>
  <c r="G711" i="2"/>
  <c r="H711" i="2"/>
  <c r="I711" i="2"/>
  <c r="J711" i="2"/>
  <c r="K711" i="2"/>
  <c r="G712" i="2"/>
  <c r="H712" i="2"/>
  <c r="I712" i="2"/>
  <c r="J712" i="2"/>
  <c r="K712" i="2"/>
  <c r="G713" i="2"/>
  <c r="H713" i="2"/>
  <c r="I713" i="2"/>
  <c r="J713" i="2"/>
  <c r="K713" i="2"/>
  <c r="G714" i="2"/>
  <c r="H714" i="2"/>
  <c r="I714" i="2"/>
  <c r="J714" i="2"/>
  <c r="K714" i="2"/>
  <c r="G715" i="2"/>
  <c r="H715" i="2"/>
  <c r="I715" i="2"/>
  <c r="J715" i="2"/>
  <c r="K715" i="2"/>
  <c r="G716" i="2"/>
  <c r="H716" i="2"/>
  <c r="I716" i="2"/>
  <c r="J716" i="2"/>
  <c r="K716" i="2"/>
  <c r="G717" i="2"/>
  <c r="H717" i="2"/>
  <c r="I717" i="2"/>
  <c r="J717" i="2"/>
  <c r="K717" i="2"/>
  <c r="G718" i="2"/>
  <c r="H718" i="2"/>
  <c r="I718" i="2"/>
  <c r="J718" i="2"/>
  <c r="K718" i="2"/>
  <c r="G719" i="2"/>
  <c r="H719" i="2"/>
  <c r="I719" i="2"/>
  <c r="J719" i="2"/>
  <c r="K719" i="2"/>
  <c r="G720" i="2"/>
  <c r="H720" i="2"/>
  <c r="I720" i="2"/>
  <c r="J720" i="2"/>
  <c r="K720" i="2"/>
  <c r="G721" i="2"/>
  <c r="H721" i="2"/>
  <c r="I721" i="2"/>
  <c r="J721" i="2"/>
  <c r="K721" i="2"/>
  <c r="G722" i="2"/>
  <c r="H722" i="2"/>
  <c r="I722" i="2"/>
  <c r="J722" i="2"/>
  <c r="K722" i="2"/>
  <c r="G723" i="2"/>
  <c r="H723" i="2"/>
  <c r="I723" i="2"/>
  <c r="J723" i="2"/>
  <c r="K723" i="2"/>
  <c r="G724" i="2"/>
  <c r="H724" i="2"/>
  <c r="I724" i="2"/>
  <c r="J724" i="2"/>
  <c r="K724" i="2"/>
  <c r="G725" i="2"/>
  <c r="H725" i="2"/>
  <c r="I725" i="2"/>
  <c r="J725" i="2"/>
  <c r="K725" i="2"/>
  <c r="G726" i="2"/>
  <c r="H726" i="2"/>
  <c r="I726" i="2"/>
  <c r="J726" i="2"/>
  <c r="K726" i="2"/>
  <c r="G727" i="2"/>
  <c r="H727" i="2"/>
  <c r="I727" i="2"/>
  <c r="J727" i="2"/>
  <c r="K727" i="2"/>
  <c r="G728" i="2"/>
  <c r="H728" i="2"/>
  <c r="I728" i="2"/>
  <c r="J728" i="2"/>
  <c r="K728" i="2"/>
  <c r="G729" i="2"/>
  <c r="H729" i="2"/>
  <c r="I729" i="2"/>
  <c r="J729" i="2"/>
  <c r="K729" i="2"/>
  <c r="G730" i="2"/>
  <c r="H730" i="2"/>
  <c r="I730" i="2"/>
  <c r="J730" i="2"/>
  <c r="K730" i="2"/>
  <c r="G731" i="2"/>
  <c r="H731" i="2"/>
  <c r="I731" i="2"/>
  <c r="J731" i="2"/>
  <c r="K731" i="2"/>
  <c r="G732" i="2"/>
  <c r="H732" i="2"/>
  <c r="I732" i="2"/>
  <c r="J732" i="2"/>
  <c r="K732" i="2"/>
  <c r="G733" i="2"/>
  <c r="H733" i="2"/>
  <c r="I733" i="2"/>
  <c r="J733" i="2"/>
  <c r="K733" i="2"/>
  <c r="G734" i="2"/>
  <c r="H734" i="2"/>
  <c r="I734" i="2"/>
  <c r="J734" i="2"/>
  <c r="K734" i="2"/>
  <c r="G735" i="2"/>
  <c r="H735" i="2"/>
  <c r="I735" i="2"/>
  <c r="J735" i="2"/>
  <c r="K735" i="2"/>
  <c r="G736" i="2"/>
  <c r="H736" i="2"/>
  <c r="I736" i="2"/>
  <c r="J736" i="2"/>
  <c r="K736" i="2"/>
  <c r="G737" i="2"/>
  <c r="H737" i="2"/>
  <c r="I737" i="2"/>
  <c r="J737" i="2"/>
  <c r="K737" i="2"/>
  <c r="G738" i="2"/>
  <c r="H738" i="2"/>
  <c r="I738" i="2"/>
  <c r="J738" i="2"/>
  <c r="K738" i="2"/>
  <c r="G739" i="2"/>
  <c r="H739" i="2"/>
  <c r="I739" i="2"/>
  <c r="J739" i="2"/>
  <c r="K739" i="2"/>
  <c r="G740" i="2"/>
  <c r="H740" i="2"/>
  <c r="I740" i="2"/>
  <c r="J740" i="2"/>
  <c r="K740" i="2"/>
  <c r="G741" i="2"/>
  <c r="H741" i="2"/>
  <c r="I741" i="2"/>
  <c r="J741" i="2"/>
  <c r="K741" i="2"/>
  <c r="G742" i="2"/>
  <c r="H742" i="2"/>
  <c r="I742" i="2"/>
  <c r="J742" i="2"/>
  <c r="K742" i="2"/>
  <c r="G743" i="2"/>
  <c r="H743" i="2"/>
  <c r="I743" i="2"/>
  <c r="J743" i="2"/>
  <c r="K743" i="2"/>
  <c r="G744" i="2"/>
  <c r="H744" i="2"/>
  <c r="I744" i="2"/>
  <c r="J744" i="2"/>
  <c r="K744" i="2"/>
  <c r="G745" i="2"/>
  <c r="H745" i="2"/>
  <c r="I745" i="2"/>
  <c r="J745" i="2"/>
  <c r="K745" i="2"/>
  <c r="G746" i="2"/>
  <c r="H746" i="2"/>
  <c r="I746" i="2"/>
  <c r="J746" i="2"/>
  <c r="K746" i="2"/>
  <c r="G747" i="2"/>
  <c r="H747" i="2"/>
  <c r="I747" i="2"/>
  <c r="J747" i="2"/>
  <c r="K747" i="2"/>
  <c r="G748" i="2"/>
  <c r="H748" i="2"/>
  <c r="I748" i="2"/>
  <c r="J748" i="2"/>
  <c r="K748" i="2"/>
  <c r="G749" i="2"/>
  <c r="H749" i="2"/>
  <c r="I749" i="2"/>
  <c r="J749" i="2"/>
  <c r="K749" i="2"/>
  <c r="G750" i="2"/>
  <c r="H750" i="2"/>
  <c r="I750" i="2"/>
  <c r="J750" i="2"/>
  <c r="K750" i="2"/>
  <c r="G751" i="2"/>
  <c r="H751" i="2"/>
  <c r="I751" i="2"/>
  <c r="J751" i="2"/>
  <c r="K751" i="2"/>
  <c r="G752" i="2"/>
  <c r="H752" i="2"/>
  <c r="I752" i="2"/>
  <c r="J752" i="2"/>
  <c r="K752" i="2"/>
  <c r="G753" i="2"/>
  <c r="H753" i="2"/>
  <c r="I753" i="2"/>
  <c r="J753" i="2"/>
  <c r="K753" i="2"/>
  <c r="G754" i="2"/>
  <c r="H754" i="2"/>
  <c r="I754" i="2"/>
  <c r="J754" i="2"/>
  <c r="K754" i="2"/>
  <c r="G755" i="2"/>
  <c r="H755" i="2"/>
  <c r="I755" i="2"/>
  <c r="J755" i="2"/>
  <c r="K755" i="2"/>
  <c r="G756" i="2"/>
  <c r="H756" i="2"/>
  <c r="I756" i="2"/>
  <c r="J756" i="2"/>
  <c r="K756" i="2"/>
  <c r="G757" i="2"/>
  <c r="H757" i="2"/>
  <c r="I757" i="2"/>
  <c r="J757" i="2"/>
  <c r="K757" i="2"/>
  <c r="G758" i="2"/>
  <c r="H758" i="2"/>
  <c r="I758" i="2"/>
  <c r="J758" i="2"/>
  <c r="K758" i="2"/>
  <c r="G759" i="2"/>
  <c r="H759" i="2"/>
  <c r="I759" i="2"/>
  <c r="J759" i="2"/>
  <c r="K759" i="2"/>
  <c r="G760" i="2"/>
  <c r="H760" i="2"/>
  <c r="I760" i="2"/>
  <c r="J760" i="2"/>
  <c r="K760" i="2"/>
  <c r="G761" i="2"/>
  <c r="H761" i="2"/>
  <c r="I761" i="2"/>
  <c r="J761" i="2"/>
  <c r="K761" i="2"/>
  <c r="G762" i="2"/>
  <c r="H762" i="2"/>
  <c r="I762" i="2"/>
  <c r="J762" i="2"/>
  <c r="K762" i="2"/>
  <c r="G763" i="2"/>
  <c r="H763" i="2"/>
  <c r="I763" i="2"/>
  <c r="J763" i="2"/>
  <c r="K763" i="2"/>
  <c r="G764" i="2"/>
  <c r="H764" i="2"/>
  <c r="I764" i="2"/>
  <c r="J764" i="2"/>
  <c r="K764" i="2"/>
  <c r="G765" i="2"/>
  <c r="H765" i="2"/>
  <c r="I765" i="2"/>
  <c r="J765" i="2"/>
  <c r="K765" i="2"/>
  <c r="G766" i="2"/>
  <c r="H766" i="2"/>
  <c r="I766" i="2"/>
  <c r="J766" i="2"/>
  <c r="K766" i="2"/>
  <c r="G767" i="2"/>
  <c r="H767" i="2"/>
  <c r="I767" i="2"/>
  <c r="J767" i="2"/>
  <c r="K767" i="2"/>
  <c r="G768" i="2"/>
  <c r="H768" i="2"/>
  <c r="I768" i="2"/>
  <c r="J768" i="2"/>
  <c r="K768" i="2"/>
  <c r="G769" i="2"/>
  <c r="H769" i="2"/>
  <c r="I769" i="2"/>
  <c r="J769" i="2"/>
  <c r="K769" i="2"/>
  <c r="G770" i="2"/>
  <c r="H770" i="2"/>
  <c r="I770" i="2"/>
  <c r="J770" i="2"/>
  <c r="K770" i="2"/>
  <c r="G771" i="2"/>
  <c r="H771" i="2"/>
  <c r="I771" i="2"/>
  <c r="J771" i="2"/>
  <c r="K771" i="2"/>
  <c r="G772" i="2"/>
  <c r="H772" i="2"/>
  <c r="I772" i="2"/>
  <c r="J772" i="2"/>
  <c r="K772" i="2"/>
  <c r="G773" i="2"/>
  <c r="H773" i="2"/>
  <c r="I773" i="2"/>
  <c r="J773" i="2"/>
  <c r="K773" i="2"/>
  <c r="G774" i="2"/>
  <c r="H774" i="2"/>
  <c r="I774" i="2"/>
  <c r="J774" i="2"/>
  <c r="K774" i="2"/>
  <c r="G775" i="2"/>
  <c r="H775" i="2"/>
  <c r="I775" i="2"/>
  <c r="J775" i="2"/>
  <c r="K775" i="2"/>
  <c r="G776" i="2"/>
  <c r="H776" i="2"/>
  <c r="I776" i="2"/>
  <c r="J776" i="2"/>
  <c r="K776" i="2"/>
  <c r="G777" i="2"/>
  <c r="H777" i="2"/>
  <c r="I777" i="2"/>
  <c r="J777" i="2"/>
  <c r="K777" i="2"/>
  <c r="G778" i="2"/>
  <c r="H778" i="2"/>
  <c r="I778" i="2"/>
  <c r="J778" i="2"/>
  <c r="K778" i="2"/>
  <c r="G779" i="2"/>
  <c r="H779" i="2"/>
  <c r="I779" i="2"/>
  <c r="J779" i="2"/>
  <c r="K779" i="2"/>
  <c r="G780" i="2"/>
  <c r="H780" i="2"/>
  <c r="I780" i="2"/>
  <c r="J780" i="2"/>
  <c r="K780" i="2"/>
  <c r="G781" i="2"/>
  <c r="H781" i="2"/>
  <c r="I781" i="2"/>
  <c r="J781" i="2"/>
  <c r="K781" i="2"/>
  <c r="G783" i="2"/>
  <c r="H783" i="2"/>
  <c r="I783" i="2"/>
  <c r="J783" i="2"/>
  <c r="K783" i="2"/>
  <c r="G784" i="2"/>
  <c r="H784" i="2"/>
  <c r="I784" i="2"/>
  <c r="J784" i="2"/>
  <c r="K784" i="2"/>
  <c r="G785" i="2"/>
  <c r="H785" i="2"/>
  <c r="I785" i="2"/>
  <c r="J785" i="2"/>
  <c r="K785" i="2"/>
  <c r="G786" i="2"/>
  <c r="H786" i="2"/>
  <c r="I786" i="2"/>
  <c r="J786" i="2"/>
  <c r="K786" i="2"/>
  <c r="G787" i="2"/>
  <c r="H787" i="2"/>
  <c r="I787" i="2"/>
  <c r="J787" i="2"/>
  <c r="K787" i="2"/>
  <c r="G788" i="2"/>
  <c r="H788" i="2"/>
  <c r="I788" i="2"/>
  <c r="J788" i="2"/>
  <c r="K788" i="2"/>
  <c r="G789" i="2"/>
  <c r="H789" i="2"/>
  <c r="I789" i="2"/>
  <c r="J789" i="2"/>
  <c r="K789" i="2"/>
  <c r="G790" i="2"/>
  <c r="H790" i="2"/>
  <c r="I790" i="2"/>
  <c r="J790" i="2"/>
  <c r="K790" i="2"/>
  <c r="G791" i="2"/>
  <c r="H791" i="2"/>
  <c r="I791" i="2"/>
  <c r="J791" i="2"/>
  <c r="K791" i="2"/>
  <c r="G792" i="2"/>
  <c r="H792" i="2"/>
  <c r="I792" i="2"/>
  <c r="J792" i="2"/>
  <c r="K792" i="2"/>
  <c r="G793" i="2"/>
  <c r="H793" i="2"/>
  <c r="I793" i="2"/>
  <c r="J793" i="2"/>
  <c r="K793" i="2"/>
  <c r="G794" i="2"/>
  <c r="H794" i="2"/>
  <c r="I794" i="2"/>
  <c r="J794" i="2"/>
  <c r="K794" i="2"/>
  <c r="G795" i="2"/>
  <c r="H795" i="2"/>
  <c r="I795" i="2"/>
  <c r="J795" i="2"/>
  <c r="K795" i="2"/>
  <c r="G796" i="2"/>
  <c r="H796" i="2"/>
  <c r="I796" i="2"/>
  <c r="J796" i="2"/>
  <c r="K796" i="2"/>
  <c r="G797" i="2"/>
  <c r="H797" i="2"/>
  <c r="I797" i="2"/>
  <c r="J797" i="2"/>
  <c r="K797" i="2"/>
  <c r="G798" i="2"/>
  <c r="H798" i="2"/>
  <c r="I798" i="2"/>
  <c r="J798" i="2"/>
  <c r="K798" i="2"/>
  <c r="G799" i="2"/>
  <c r="H799" i="2"/>
  <c r="I799" i="2"/>
  <c r="J799" i="2"/>
  <c r="K799" i="2"/>
  <c r="G800" i="2"/>
  <c r="H800" i="2"/>
  <c r="I800" i="2"/>
  <c r="J800" i="2"/>
  <c r="K800" i="2"/>
  <c r="G801" i="2"/>
  <c r="H801" i="2"/>
  <c r="I801" i="2"/>
  <c r="J801" i="2"/>
  <c r="K801" i="2"/>
  <c r="G802" i="2"/>
  <c r="H802" i="2"/>
  <c r="I802" i="2"/>
  <c r="J802" i="2"/>
  <c r="K802" i="2"/>
  <c r="G803" i="2"/>
  <c r="H803" i="2"/>
  <c r="I803" i="2"/>
  <c r="J803" i="2"/>
  <c r="K803" i="2"/>
  <c r="G804" i="2"/>
  <c r="H804" i="2"/>
  <c r="I804" i="2"/>
  <c r="J804" i="2"/>
  <c r="K804" i="2"/>
  <c r="G805" i="2"/>
  <c r="H805" i="2"/>
  <c r="I805" i="2"/>
  <c r="J805" i="2"/>
  <c r="K805" i="2"/>
  <c r="G806" i="2"/>
  <c r="H806" i="2"/>
  <c r="I806" i="2"/>
  <c r="J806" i="2"/>
  <c r="K806" i="2"/>
  <c r="G807" i="2"/>
  <c r="H807" i="2"/>
  <c r="I807" i="2"/>
  <c r="J807" i="2"/>
  <c r="K807" i="2"/>
  <c r="G808" i="2"/>
  <c r="H808" i="2"/>
  <c r="I808" i="2"/>
  <c r="J808" i="2"/>
  <c r="K808" i="2"/>
  <c r="G809" i="2"/>
  <c r="H809" i="2"/>
  <c r="I809" i="2"/>
  <c r="J809" i="2"/>
  <c r="K809" i="2"/>
  <c r="G810" i="2"/>
  <c r="H810" i="2"/>
  <c r="I810" i="2"/>
  <c r="J810" i="2"/>
  <c r="K810" i="2"/>
  <c r="G811" i="2"/>
  <c r="H811" i="2"/>
  <c r="I811" i="2"/>
  <c r="J811" i="2"/>
  <c r="K811" i="2"/>
  <c r="G812" i="2"/>
  <c r="H812" i="2"/>
  <c r="I812" i="2"/>
  <c r="J812" i="2"/>
  <c r="K812" i="2"/>
  <c r="G813" i="2"/>
  <c r="H813" i="2"/>
  <c r="I813" i="2"/>
  <c r="J813" i="2"/>
  <c r="K813" i="2"/>
  <c r="G814" i="2"/>
  <c r="H814" i="2"/>
  <c r="I814" i="2"/>
  <c r="J814" i="2"/>
  <c r="K814" i="2"/>
  <c r="G815" i="2"/>
  <c r="H815" i="2"/>
  <c r="I815" i="2"/>
  <c r="J815" i="2"/>
  <c r="K815" i="2"/>
  <c r="G816" i="2"/>
  <c r="H816" i="2"/>
  <c r="I816" i="2"/>
  <c r="J816" i="2"/>
  <c r="K816" i="2"/>
  <c r="G817" i="2"/>
  <c r="H817" i="2"/>
  <c r="I817" i="2"/>
  <c r="J817" i="2"/>
  <c r="K817" i="2"/>
  <c r="G818" i="2"/>
  <c r="H818" i="2"/>
  <c r="I818" i="2"/>
  <c r="J818" i="2"/>
  <c r="K818" i="2"/>
  <c r="G819" i="2"/>
  <c r="H819" i="2"/>
  <c r="I819" i="2"/>
  <c r="J819" i="2"/>
  <c r="K819" i="2"/>
  <c r="G820" i="2"/>
  <c r="H820" i="2"/>
  <c r="I820" i="2"/>
  <c r="J820" i="2"/>
  <c r="K820" i="2"/>
  <c r="G821" i="2"/>
  <c r="H821" i="2"/>
  <c r="I821" i="2"/>
  <c r="J821" i="2"/>
  <c r="K821" i="2"/>
  <c r="G822" i="2"/>
  <c r="H822" i="2"/>
  <c r="I822" i="2"/>
  <c r="J822" i="2"/>
  <c r="K822" i="2"/>
  <c r="G823" i="2"/>
  <c r="H823" i="2"/>
  <c r="I823" i="2"/>
  <c r="J823" i="2"/>
  <c r="K823" i="2"/>
  <c r="G824" i="2"/>
  <c r="H824" i="2"/>
  <c r="I824" i="2"/>
  <c r="J824" i="2"/>
  <c r="K824" i="2"/>
  <c r="G825" i="2"/>
  <c r="H825" i="2"/>
  <c r="I825" i="2"/>
  <c r="J825" i="2"/>
  <c r="K825" i="2"/>
  <c r="G826" i="2"/>
  <c r="H826" i="2"/>
  <c r="I826" i="2"/>
  <c r="J826" i="2"/>
  <c r="K826" i="2"/>
  <c r="G827" i="2"/>
  <c r="H827" i="2"/>
  <c r="I827" i="2"/>
  <c r="J827" i="2"/>
  <c r="K827" i="2"/>
  <c r="G828" i="2"/>
  <c r="H828" i="2"/>
  <c r="I828" i="2"/>
  <c r="J828" i="2"/>
  <c r="K828" i="2"/>
  <c r="G829" i="2"/>
  <c r="H829" i="2"/>
  <c r="I829" i="2"/>
  <c r="J829" i="2"/>
  <c r="K829" i="2"/>
  <c r="G830" i="2"/>
  <c r="H830" i="2"/>
  <c r="I830" i="2"/>
  <c r="J830" i="2"/>
  <c r="K830" i="2"/>
  <c r="G831" i="2"/>
  <c r="H831" i="2"/>
  <c r="I831" i="2"/>
  <c r="J831" i="2"/>
  <c r="K831" i="2"/>
  <c r="G832" i="2"/>
  <c r="H832" i="2"/>
  <c r="I832" i="2"/>
  <c r="J832" i="2"/>
  <c r="K832" i="2"/>
  <c r="G833" i="2"/>
  <c r="H833" i="2"/>
  <c r="I833" i="2"/>
  <c r="J833" i="2"/>
  <c r="K833" i="2"/>
  <c r="G834" i="2"/>
  <c r="H834" i="2"/>
  <c r="I834" i="2"/>
  <c r="J834" i="2"/>
  <c r="K834" i="2"/>
  <c r="G835" i="2"/>
  <c r="H835" i="2"/>
  <c r="I835" i="2"/>
  <c r="J835" i="2"/>
  <c r="K835" i="2"/>
  <c r="G836" i="2"/>
  <c r="H836" i="2"/>
  <c r="I836" i="2"/>
  <c r="J836" i="2"/>
  <c r="K836" i="2"/>
  <c r="G837" i="2"/>
  <c r="H837" i="2"/>
  <c r="I837" i="2"/>
  <c r="J837" i="2"/>
  <c r="K837" i="2"/>
  <c r="G838" i="2"/>
  <c r="H838" i="2"/>
  <c r="I838" i="2"/>
  <c r="J838" i="2"/>
  <c r="K838" i="2"/>
  <c r="G839" i="2"/>
  <c r="H839" i="2"/>
  <c r="I839" i="2"/>
  <c r="J839" i="2"/>
  <c r="K839" i="2"/>
  <c r="G840" i="2"/>
  <c r="H840" i="2"/>
  <c r="I840" i="2"/>
  <c r="J840" i="2"/>
  <c r="K840" i="2"/>
  <c r="G841" i="2"/>
  <c r="H841" i="2"/>
  <c r="I841" i="2"/>
  <c r="J841" i="2"/>
  <c r="K841" i="2"/>
  <c r="G842" i="2"/>
  <c r="H842" i="2"/>
  <c r="I842" i="2"/>
  <c r="J842" i="2"/>
  <c r="K842" i="2"/>
  <c r="G843" i="2"/>
  <c r="H843" i="2"/>
  <c r="I843" i="2"/>
  <c r="J843" i="2"/>
  <c r="K843" i="2"/>
  <c r="G844" i="2"/>
  <c r="H844" i="2"/>
  <c r="I844" i="2"/>
  <c r="J844" i="2"/>
  <c r="K844" i="2"/>
  <c r="G845" i="2"/>
  <c r="H845" i="2"/>
  <c r="I845" i="2"/>
  <c r="J845" i="2"/>
  <c r="K845" i="2"/>
  <c r="G846" i="2"/>
  <c r="H846" i="2"/>
  <c r="I846" i="2"/>
  <c r="J846" i="2"/>
  <c r="K846" i="2"/>
  <c r="G847" i="2"/>
  <c r="H847" i="2"/>
  <c r="I847" i="2"/>
  <c r="J847" i="2"/>
  <c r="K847" i="2"/>
  <c r="G848" i="2"/>
  <c r="H848" i="2"/>
  <c r="I848" i="2"/>
  <c r="J848" i="2"/>
  <c r="K848" i="2"/>
  <c r="G849" i="2"/>
  <c r="H849" i="2"/>
  <c r="I849" i="2"/>
  <c r="J849" i="2"/>
  <c r="K849" i="2"/>
  <c r="G850" i="2"/>
  <c r="H850" i="2"/>
  <c r="I850" i="2"/>
  <c r="J850" i="2"/>
  <c r="K850" i="2"/>
  <c r="G851" i="2"/>
  <c r="H851" i="2"/>
  <c r="I851" i="2"/>
  <c r="J851" i="2"/>
  <c r="K851" i="2"/>
  <c r="G852" i="2"/>
  <c r="H852" i="2"/>
  <c r="I852" i="2"/>
  <c r="J852" i="2"/>
  <c r="K852" i="2"/>
  <c r="G853" i="2"/>
  <c r="H853" i="2"/>
  <c r="I853" i="2"/>
  <c r="J853" i="2"/>
  <c r="K853" i="2"/>
  <c r="G854" i="2"/>
  <c r="H854" i="2"/>
  <c r="I854" i="2"/>
  <c r="J854" i="2"/>
  <c r="K854" i="2"/>
  <c r="G855" i="2"/>
  <c r="H855" i="2"/>
  <c r="I855" i="2"/>
  <c r="J855" i="2"/>
  <c r="K855" i="2"/>
  <c r="G856" i="2"/>
  <c r="H856" i="2"/>
  <c r="I856" i="2"/>
  <c r="J856" i="2"/>
  <c r="K856" i="2"/>
  <c r="G857" i="2"/>
  <c r="H857" i="2"/>
  <c r="I857" i="2"/>
  <c r="J857" i="2"/>
  <c r="K857" i="2"/>
  <c r="G858" i="2"/>
  <c r="H858" i="2"/>
  <c r="I858" i="2"/>
  <c r="J858" i="2"/>
  <c r="K858" i="2"/>
  <c r="G859" i="2"/>
  <c r="H859" i="2"/>
  <c r="I859" i="2"/>
  <c r="J859" i="2"/>
  <c r="K859" i="2"/>
  <c r="G860" i="2"/>
  <c r="H860" i="2"/>
  <c r="I860" i="2"/>
  <c r="J860" i="2"/>
  <c r="K860" i="2"/>
  <c r="G861" i="2"/>
  <c r="H861" i="2"/>
  <c r="I861" i="2"/>
  <c r="J861" i="2"/>
  <c r="K861" i="2"/>
  <c r="G862" i="2"/>
  <c r="H862" i="2"/>
  <c r="I862" i="2"/>
  <c r="J862" i="2"/>
  <c r="K862" i="2"/>
  <c r="G863" i="2"/>
  <c r="H863" i="2"/>
  <c r="I863" i="2"/>
  <c r="J863" i="2"/>
  <c r="K863" i="2"/>
  <c r="G864" i="2"/>
  <c r="H864" i="2"/>
  <c r="I864" i="2"/>
  <c r="J864" i="2"/>
  <c r="K864" i="2"/>
  <c r="G865" i="2"/>
  <c r="H865" i="2"/>
  <c r="I865" i="2"/>
  <c r="J865" i="2"/>
  <c r="K865" i="2"/>
  <c r="G866" i="2"/>
  <c r="H866" i="2"/>
  <c r="I866" i="2"/>
  <c r="J866" i="2"/>
  <c r="K866" i="2"/>
  <c r="G867" i="2"/>
  <c r="H867" i="2"/>
  <c r="I867" i="2"/>
  <c r="J867" i="2"/>
  <c r="K867" i="2"/>
  <c r="G868" i="2"/>
  <c r="H868" i="2"/>
  <c r="I868" i="2"/>
  <c r="J868" i="2"/>
  <c r="K868" i="2"/>
  <c r="G869" i="2"/>
  <c r="H869" i="2"/>
  <c r="I869" i="2"/>
  <c r="J869" i="2"/>
  <c r="K869" i="2"/>
  <c r="G870" i="2"/>
  <c r="H870" i="2"/>
  <c r="I870" i="2"/>
  <c r="J870" i="2"/>
  <c r="K870" i="2"/>
  <c r="G871" i="2"/>
  <c r="H871" i="2"/>
  <c r="I871" i="2"/>
  <c r="J871" i="2"/>
  <c r="K871" i="2"/>
  <c r="G872" i="2"/>
  <c r="H872" i="2"/>
  <c r="I872" i="2"/>
  <c r="J872" i="2"/>
  <c r="K872" i="2"/>
  <c r="G873" i="2"/>
  <c r="H873" i="2"/>
  <c r="I873" i="2"/>
  <c r="J873" i="2"/>
  <c r="K873" i="2"/>
  <c r="G874" i="2"/>
  <c r="H874" i="2"/>
  <c r="I874" i="2"/>
  <c r="J874" i="2"/>
  <c r="K874" i="2"/>
  <c r="G875" i="2"/>
  <c r="H875" i="2"/>
  <c r="I875" i="2"/>
  <c r="J875" i="2"/>
  <c r="K875" i="2"/>
  <c r="G876" i="2"/>
  <c r="H876" i="2"/>
  <c r="I876" i="2"/>
  <c r="J876" i="2"/>
  <c r="K876" i="2"/>
  <c r="G877" i="2"/>
  <c r="H877" i="2"/>
  <c r="I877" i="2"/>
  <c r="J877" i="2"/>
  <c r="K877" i="2"/>
  <c r="G878" i="2"/>
  <c r="H878" i="2"/>
  <c r="I878" i="2"/>
  <c r="J878" i="2"/>
  <c r="K878" i="2"/>
  <c r="G879" i="2"/>
  <c r="H879" i="2"/>
  <c r="I879" i="2"/>
  <c r="J879" i="2"/>
  <c r="K879" i="2"/>
  <c r="G880" i="2"/>
  <c r="H880" i="2"/>
  <c r="I880" i="2"/>
  <c r="J880" i="2"/>
  <c r="K880" i="2"/>
  <c r="G881" i="2"/>
  <c r="H881" i="2"/>
  <c r="I881" i="2"/>
  <c r="J881" i="2"/>
  <c r="K881" i="2"/>
  <c r="G882" i="2"/>
  <c r="H882" i="2"/>
  <c r="I882" i="2"/>
  <c r="J882" i="2"/>
  <c r="K882" i="2"/>
  <c r="G883" i="2"/>
  <c r="H883" i="2"/>
  <c r="I883" i="2"/>
  <c r="J883" i="2"/>
  <c r="K883" i="2"/>
  <c r="G884" i="2"/>
  <c r="H884" i="2"/>
  <c r="I884" i="2"/>
  <c r="J884" i="2"/>
  <c r="K884" i="2"/>
  <c r="G885" i="2"/>
  <c r="H885" i="2"/>
  <c r="I885" i="2"/>
  <c r="J885" i="2"/>
  <c r="K885" i="2"/>
  <c r="G886" i="2"/>
  <c r="H886" i="2"/>
  <c r="I886" i="2"/>
  <c r="J886" i="2"/>
  <c r="K886" i="2"/>
  <c r="G887" i="2"/>
  <c r="H887" i="2"/>
  <c r="I887" i="2"/>
  <c r="J887" i="2"/>
  <c r="K887" i="2"/>
  <c r="G888" i="2"/>
  <c r="H888" i="2"/>
  <c r="I888" i="2"/>
  <c r="J888" i="2"/>
  <c r="K888" i="2"/>
  <c r="G889" i="2"/>
  <c r="H889" i="2"/>
  <c r="I889" i="2"/>
  <c r="J889" i="2"/>
  <c r="K889" i="2"/>
  <c r="G890" i="2"/>
  <c r="H890" i="2"/>
  <c r="I890" i="2"/>
  <c r="J890" i="2"/>
  <c r="K890" i="2"/>
  <c r="G891" i="2"/>
  <c r="H891" i="2"/>
  <c r="I891" i="2"/>
  <c r="J891" i="2"/>
  <c r="K891" i="2"/>
  <c r="G892" i="2"/>
  <c r="H892" i="2"/>
  <c r="I892" i="2"/>
  <c r="J892" i="2"/>
  <c r="K892" i="2"/>
  <c r="G893" i="2"/>
  <c r="H893" i="2"/>
  <c r="I893" i="2"/>
  <c r="J893" i="2"/>
  <c r="K893" i="2"/>
  <c r="G894" i="2"/>
  <c r="H894" i="2"/>
  <c r="I894" i="2"/>
  <c r="J894" i="2"/>
  <c r="K894" i="2"/>
  <c r="G895" i="2"/>
  <c r="H895" i="2"/>
  <c r="I895" i="2"/>
  <c r="J895" i="2"/>
  <c r="K895" i="2"/>
  <c r="G896" i="2"/>
  <c r="H896" i="2"/>
  <c r="I896" i="2"/>
  <c r="J896" i="2"/>
  <c r="K896" i="2"/>
  <c r="G897" i="2"/>
  <c r="H897" i="2"/>
  <c r="I897" i="2"/>
  <c r="J897" i="2"/>
  <c r="K897" i="2"/>
  <c r="G898" i="2"/>
  <c r="H898" i="2"/>
  <c r="I898" i="2"/>
  <c r="J898" i="2"/>
  <c r="K898" i="2"/>
  <c r="G899" i="2"/>
  <c r="H899" i="2"/>
  <c r="I899" i="2"/>
  <c r="J899" i="2"/>
  <c r="K899" i="2"/>
  <c r="G900" i="2"/>
  <c r="H900" i="2"/>
  <c r="I900" i="2"/>
  <c r="J900" i="2"/>
  <c r="K900" i="2"/>
  <c r="G901" i="2"/>
  <c r="H901" i="2"/>
  <c r="I901" i="2"/>
  <c r="J901" i="2"/>
  <c r="K901" i="2"/>
  <c r="G902" i="2"/>
  <c r="H902" i="2"/>
  <c r="I902" i="2"/>
  <c r="J902" i="2"/>
  <c r="K902" i="2"/>
  <c r="G903" i="2"/>
  <c r="H903" i="2"/>
  <c r="I903" i="2"/>
  <c r="J903" i="2"/>
  <c r="K903" i="2"/>
  <c r="G904" i="2"/>
  <c r="H904" i="2"/>
  <c r="I904" i="2"/>
  <c r="J904" i="2"/>
  <c r="K904" i="2"/>
  <c r="G905" i="2"/>
  <c r="H905" i="2"/>
  <c r="I905" i="2"/>
  <c r="J905" i="2"/>
  <c r="K905" i="2"/>
  <c r="G906" i="2"/>
  <c r="H906" i="2"/>
  <c r="I906" i="2"/>
  <c r="J906" i="2"/>
  <c r="K906" i="2"/>
  <c r="G907" i="2"/>
  <c r="H907" i="2"/>
  <c r="I907" i="2"/>
  <c r="J907" i="2"/>
  <c r="K907" i="2"/>
  <c r="G908" i="2"/>
  <c r="H908" i="2"/>
  <c r="I908" i="2"/>
  <c r="J908" i="2"/>
  <c r="K908" i="2"/>
  <c r="G909" i="2"/>
  <c r="H909" i="2"/>
  <c r="I909" i="2"/>
  <c r="J909" i="2"/>
  <c r="K909" i="2"/>
  <c r="G910" i="2"/>
  <c r="H910" i="2"/>
  <c r="I910" i="2"/>
  <c r="J910" i="2"/>
  <c r="K910" i="2"/>
  <c r="G911" i="2"/>
  <c r="H911" i="2"/>
  <c r="I911" i="2"/>
  <c r="J911" i="2"/>
  <c r="K911" i="2"/>
  <c r="G912" i="2"/>
  <c r="H912" i="2"/>
  <c r="I912" i="2"/>
  <c r="J912" i="2"/>
  <c r="K912" i="2"/>
  <c r="G913" i="2"/>
  <c r="H913" i="2"/>
  <c r="I913" i="2"/>
  <c r="J913" i="2"/>
  <c r="K913" i="2"/>
  <c r="G914" i="2"/>
  <c r="H914" i="2"/>
  <c r="I914" i="2"/>
  <c r="J914" i="2"/>
  <c r="K914" i="2"/>
  <c r="G915" i="2"/>
  <c r="H915" i="2"/>
  <c r="I915" i="2"/>
  <c r="J915" i="2"/>
  <c r="K915" i="2"/>
  <c r="G916" i="2"/>
  <c r="H916" i="2"/>
  <c r="I916" i="2"/>
  <c r="J916" i="2"/>
  <c r="K916" i="2"/>
  <c r="G917" i="2"/>
  <c r="H917" i="2"/>
  <c r="I917" i="2"/>
  <c r="J917" i="2"/>
  <c r="K917" i="2"/>
  <c r="G918" i="2"/>
  <c r="H918" i="2"/>
  <c r="I918" i="2"/>
  <c r="J918" i="2"/>
  <c r="K918" i="2"/>
  <c r="G919" i="2"/>
  <c r="H919" i="2"/>
  <c r="I919" i="2"/>
  <c r="J919" i="2"/>
  <c r="K919" i="2"/>
  <c r="G920" i="2"/>
  <c r="H920" i="2"/>
  <c r="I920" i="2"/>
  <c r="J920" i="2"/>
  <c r="K920" i="2"/>
  <c r="G921" i="2"/>
  <c r="H921" i="2"/>
  <c r="I921" i="2"/>
  <c r="J921" i="2"/>
  <c r="K921" i="2"/>
  <c r="G922" i="2"/>
  <c r="H922" i="2"/>
  <c r="I922" i="2"/>
  <c r="J922" i="2"/>
  <c r="K922" i="2"/>
  <c r="G923" i="2"/>
  <c r="H923" i="2"/>
  <c r="I923" i="2"/>
  <c r="J923" i="2"/>
  <c r="K923" i="2"/>
  <c r="G924" i="2"/>
  <c r="H924" i="2"/>
  <c r="I924" i="2"/>
  <c r="J924" i="2"/>
  <c r="K924" i="2"/>
  <c r="G925" i="2"/>
  <c r="H925" i="2"/>
  <c r="I925" i="2"/>
  <c r="J925" i="2"/>
  <c r="K925" i="2"/>
  <c r="G926" i="2"/>
  <c r="H926" i="2"/>
  <c r="I926" i="2"/>
  <c r="J926" i="2"/>
  <c r="K926" i="2"/>
  <c r="G927" i="2"/>
  <c r="H927" i="2"/>
  <c r="I927" i="2"/>
  <c r="J927" i="2"/>
  <c r="K927" i="2"/>
  <c r="G928" i="2"/>
  <c r="H928" i="2"/>
  <c r="I928" i="2"/>
  <c r="J928" i="2"/>
  <c r="K928" i="2"/>
  <c r="G929" i="2"/>
  <c r="H929" i="2"/>
  <c r="I929" i="2"/>
  <c r="J929" i="2"/>
  <c r="K929" i="2"/>
  <c r="G930" i="2"/>
  <c r="H930" i="2"/>
  <c r="I930" i="2"/>
  <c r="J930" i="2"/>
  <c r="K930" i="2"/>
  <c r="G931" i="2"/>
  <c r="H931" i="2"/>
  <c r="I931" i="2"/>
  <c r="J931" i="2"/>
  <c r="K931" i="2"/>
  <c r="G932" i="2"/>
  <c r="H932" i="2"/>
  <c r="I932" i="2"/>
  <c r="J932" i="2"/>
  <c r="K932" i="2"/>
  <c r="G933" i="2"/>
  <c r="H933" i="2"/>
  <c r="I933" i="2"/>
  <c r="J933" i="2"/>
  <c r="K933" i="2"/>
  <c r="G934" i="2"/>
  <c r="H934" i="2"/>
  <c r="I934" i="2"/>
  <c r="J934" i="2"/>
  <c r="K934" i="2"/>
  <c r="G935" i="2"/>
  <c r="H935" i="2"/>
  <c r="I935" i="2"/>
  <c r="J935" i="2"/>
  <c r="K935" i="2"/>
  <c r="G936" i="2"/>
  <c r="H936" i="2"/>
  <c r="I936" i="2"/>
  <c r="J936" i="2"/>
  <c r="K936" i="2"/>
  <c r="G937" i="2"/>
  <c r="H937" i="2"/>
  <c r="I937" i="2"/>
  <c r="J937" i="2"/>
  <c r="K937" i="2"/>
  <c r="G938" i="2"/>
  <c r="H938" i="2"/>
  <c r="I938" i="2"/>
  <c r="J938" i="2"/>
  <c r="K938" i="2"/>
  <c r="G939" i="2"/>
  <c r="H939" i="2"/>
  <c r="I939" i="2"/>
  <c r="J939" i="2"/>
  <c r="K939" i="2"/>
  <c r="G940" i="2"/>
  <c r="H940" i="2"/>
  <c r="I940" i="2"/>
  <c r="J940" i="2"/>
  <c r="K940" i="2"/>
  <c r="G941" i="2"/>
  <c r="H941" i="2"/>
  <c r="I941" i="2"/>
  <c r="J941" i="2"/>
  <c r="K941" i="2"/>
  <c r="G942" i="2"/>
  <c r="H942" i="2"/>
  <c r="I942" i="2"/>
  <c r="J942" i="2"/>
  <c r="K942" i="2"/>
  <c r="G943" i="2"/>
  <c r="H943" i="2"/>
  <c r="I943" i="2"/>
  <c r="J943" i="2"/>
  <c r="K943" i="2"/>
  <c r="G944" i="2"/>
  <c r="H944" i="2"/>
  <c r="I944" i="2"/>
  <c r="J944" i="2"/>
  <c r="K944" i="2"/>
  <c r="G945" i="2"/>
  <c r="H945" i="2"/>
  <c r="I945" i="2"/>
  <c r="J945" i="2"/>
  <c r="K945" i="2"/>
  <c r="G946" i="2"/>
  <c r="H946" i="2"/>
  <c r="I946" i="2"/>
  <c r="J946" i="2"/>
  <c r="K946" i="2"/>
  <c r="G947" i="2"/>
  <c r="H947" i="2"/>
  <c r="I947" i="2"/>
  <c r="J947" i="2"/>
  <c r="K947" i="2"/>
  <c r="G948" i="2"/>
  <c r="H948" i="2"/>
  <c r="I948" i="2"/>
  <c r="J948" i="2"/>
  <c r="K948" i="2"/>
  <c r="G949" i="2"/>
  <c r="H949" i="2"/>
  <c r="I949" i="2"/>
  <c r="J949" i="2"/>
  <c r="K949" i="2"/>
  <c r="G950" i="2"/>
  <c r="H950" i="2"/>
  <c r="I950" i="2"/>
  <c r="J950" i="2"/>
  <c r="K950" i="2"/>
  <c r="G951" i="2"/>
  <c r="H951" i="2"/>
  <c r="I951" i="2"/>
  <c r="J951" i="2"/>
  <c r="K951" i="2"/>
  <c r="G952" i="2"/>
  <c r="H952" i="2"/>
  <c r="I952" i="2"/>
  <c r="J952" i="2"/>
  <c r="K952" i="2"/>
  <c r="G953" i="2"/>
  <c r="H953" i="2"/>
  <c r="I953" i="2"/>
  <c r="J953" i="2"/>
  <c r="K953" i="2"/>
  <c r="G954" i="2"/>
  <c r="H954" i="2"/>
  <c r="I954" i="2"/>
  <c r="J954" i="2"/>
  <c r="K954" i="2"/>
  <c r="G955" i="2"/>
  <c r="H955" i="2"/>
  <c r="I955" i="2"/>
  <c r="J955" i="2"/>
  <c r="K955" i="2"/>
  <c r="G956" i="2"/>
  <c r="H956" i="2"/>
  <c r="I956" i="2"/>
  <c r="J956" i="2"/>
  <c r="K956" i="2"/>
  <c r="G957" i="2"/>
  <c r="H957" i="2"/>
  <c r="I957" i="2"/>
  <c r="J957" i="2"/>
  <c r="K957" i="2"/>
  <c r="G958" i="2"/>
  <c r="H958" i="2"/>
  <c r="I958" i="2"/>
  <c r="J958" i="2"/>
  <c r="K958" i="2"/>
  <c r="G959" i="2"/>
  <c r="H959" i="2"/>
  <c r="I959" i="2"/>
  <c r="J959" i="2"/>
  <c r="K959" i="2"/>
  <c r="G960" i="2"/>
  <c r="H960" i="2"/>
  <c r="I960" i="2"/>
  <c r="J960" i="2"/>
  <c r="K960" i="2"/>
  <c r="G961" i="2"/>
  <c r="H961" i="2"/>
  <c r="I961" i="2"/>
  <c r="J961" i="2"/>
  <c r="K961" i="2"/>
  <c r="G962" i="2"/>
  <c r="H962" i="2"/>
  <c r="I962" i="2"/>
  <c r="J962" i="2"/>
  <c r="K962" i="2"/>
  <c r="G963" i="2"/>
  <c r="H963" i="2"/>
  <c r="I963" i="2"/>
  <c r="J963" i="2"/>
  <c r="K963" i="2"/>
  <c r="G964" i="2"/>
  <c r="H964" i="2"/>
  <c r="I964" i="2"/>
  <c r="J964" i="2"/>
  <c r="K964" i="2"/>
  <c r="G965" i="2"/>
  <c r="H965" i="2"/>
  <c r="I965" i="2"/>
  <c r="J965" i="2"/>
  <c r="K965" i="2"/>
  <c r="G966" i="2"/>
  <c r="H966" i="2"/>
  <c r="I966" i="2"/>
  <c r="J966" i="2"/>
  <c r="K966" i="2"/>
  <c r="G967" i="2"/>
  <c r="H967" i="2"/>
  <c r="I967" i="2"/>
  <c r="J967" i="2"/>
  <c r="K967" i="2"/>
  <c r="G968" i="2"/>
  <c r="H968" i="2"/>
  <c r="I968" i="2"/>
  <c r="J968" i="2"/>
  <c r="K968" i="2"/>
  <c r="G969" i="2"/>
  <c r="H969" i="2"/>
  <c r="I969" i="2"/>
  <c r="J969" i="2"/>
  <c r="K969" i="2"/>
  <c r="G970" i="2"/>
  <c r="H970" i="2"/>
  <c r="I970" i="2"/>
  <c r="J970" i="2"/>
  <c r="K970" i="2"/>
  <c r="G971" i="2"/>
  <c r="H971" i="2"/>
  <c r="I971" i="2"/>
  <c r="J971" i="2"/>
  <c r="K971" i="2"/>
  <c r="G972" i="2"/>
  <c r="H972" i="2"/>
  <c r="I972" i="2"/>
  <c r="J972" i="2"/>
  <c r="K972" i="2"/>
  <c r="G973" i="2"/>
  <c r="H973" i="2"/>
  <c r="I973" i="2"/>
  <c r="J973" i="2"/>
  <c r="K973" i="2"/>
  <c r="G974" i="2"/>
  <c r="H974" i="2"/>
  <c r="I974" i="2"/>
  <c r="J974" i="2"/>
  <c r="K974" i="2"/>
  <c r="G975" i="2"/>
  <c r="H975" i="2"/>
  <c r="I975" i="2"/>
  <c r="J975" i="2"/>
  <c r="K975" i="2"/>
  <c r="G976" i="2"/>
  <c r="H976" i="2"/>
  <c r="I976" i="2"/>
  <c r="J976" i="2"/>
  <c r="K976" i="2"/>
  <c r="G977" i="2"/>
  <c r="H977" i="2"/>
  <c r="I977" i="2"/>
  <c r="J977" i="2"/>
  <c r="K977" i="2"/>
  <c r="G978" i="2"/>
  <c r="H978" i="2"/>
  <c r="I978" i="2"/>
  <c r="J978" i="2"/>
  <c r="K978" i="2"/>
  <c r="G979" i="2"/>
  <c r="H979" i="2"/>
  <c r="I979" i="2"/>
  <c r="J979" i="2"/>
  <c r="K979" i="2"/>
  <c r="G980" i="2"/>
  <c r="H980" i="2"/>
  <c r="I980" i="2"/>
  <c r="J980" i="2"/>
  <c r="K980" i="2"/>
  <c r="G981" i="2"/>
  <c r="H981" i="2"/>
  <c r="I981" i="2"/>
  <c r="J981" i="2"/>
  <c r="K981" i="2"/>
  <c r="G982" i="2"/>
  <c r="H982" i="2"/>
  <c r="I982" i="2"/>
  <c r="J982" i="2"/>
  <c r="K982" i="2"/>
  <c r="G983" i="2"/>
  <c r="H983" i="2"/>
  <c r="I983" i="2"/>
  <c r="J983" i="2"/>
  <c r="K983" i="2"/>
  <c r="G984" i="2"/>
  <c r="H984" i="2"/>
  <c r="I984" i="2"/>
  <c r="J984" i="2"/>
  <c r="K984" i="2"/>
  <c r="G985" i="2"/>
  <c r="H985" i="2"/>
  <c r="I985" i="2"/>
  <c r="J985" i="2"/>
  <c r="K985" i="2"/>
  <c r="G986" i="2"/>
  <c r="H986" i="2"/>
  <c r="I986" i="2"/>
  <c r="J986" i="2"/>
  <c r="K986" i="2"/>
  <c r="G987" i="2"/>
  <c r="H987" i="2"/>
  <c r="I987" i="2"/>
  <c r="J987" i="2"/>
  <c r="K987" i="2"/>
  <c r="G988" i="2"/>
  <c r="H988" i="2"/>
  <c r="I988" i="2"/>
  <c r="J988" i="2"/>
  <c r="K988" i="2"/>
  <c r="G989" i="2"/>
  <c r="H989" i="2"/>
  <c r="I989" i="2"/>
  <c r="J989" i="2"/>
  <c r="K989" i="2"/>
  <c r="G990" i="2"/>
  <c r="H990" i="2"/>
  <c r="I990" i="2"/>
  <c r="J990" i="2"/>
  <c r="K990" i="2"/>
  <c r="G991" i="2"/>
  <c r="H991" i="2"/>
  <c r="I991" i="2"/>
  <c r="J991" i="2"/>
  <c r="K991" i="2"/>
  <c r="G992" i="2"/>
  <c r="H992" i="2"/>
  <c r="I992" i="2"/>
  <c r="J992" i="2"/>
  <c r="K992" i="2"/>
  <c r="G993" i="2"/>
  <c r="H993" i="2"/>
  <c r="I993" i="2"/>
  <c r="J993" i="2"/>
  <c r="K993" i="2"/>
  <c r="G994" i="2"/>
  <c r="H994" i="2"/>
  <c r="I994" i="2"/>
  <c r="J994" i="2"/>
  <c r="K994" i="2"/>
  <c r="G995" i="2"/>
  <c r="H995" i="2"/>
  <c r="I995" i="2"/>
  <c r="J995" i="2"/>
  <c r="K995" i="2"/>
  <c r="G996" i="2"/>
  <c r="H996" i="2"/>
  <c r="I996" i="2"/>
  <c r="J996" i="2"/>
  <c r="K996" i="2"/>
  <c r="H997" i="2"/>
  <c r="I997" i="2"/>
  <c r="J997" i="2"/>
  <c r="K997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K2" i="2"/>
  <c r="J2" i="2"/>
  <c r="I2" i="2"/>
  <c r="H2" i="2"/>
  <c r="G2" i="2"/>
  <c r="E15" i="3" l="1"/>
  <c r="E16" i="3"/>
  <c r="E17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9" i="3"/>
  <c r="E80" i="3"/>
  <c r="E81" i="3"/>
  <c r="E82" i="3"/>
  <c r="E83" i="3"/>
  <c r="E84" i="3"/>
  <c r="E85" i="3"/>
  <c r="E86" i="3"/>
  <c r="E87" i="3"/>
  <c r="E88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" i="3"/>
  <c r="E12" i="3"/>
  <c r="D3" i="3"/>
  <c r="D7" i="3"/>
  <c r="D8" i="3"/>
  <c r="I3" i="3"/>
  <c r="J3" i="3"/>
  <c r="K3" i="3"/>
  <c r="L3" i="3"/>
  <c r="M3" i="3"/>
  <c r="N3" i="3"/>
  <c r="O3" i="3"/>
  <c r="P3" i="3"/>
  <c r="Q3" i="3"/>
  <c r="R3" i="3"/>
  <c r="I7" i="3"/>
  <c r="J7" i="3"/>
  <c r="K7" i="3"/>
  <c r="L7" i="3"/>
  <c r="M7" i="3"/>
  <c r="N7" i="3"/>
  <c r="O7" i="3"/>
  <c r="P7" i="3"/>
  <c r="Q7" i="3"/>
  <c r="R7" i="3"/>
  <c r="I8" i="3"/>
  <c r="J8" i="3"/>
  <c r="K8" i="3"/>
  <c r="L8" i="3"/>
  <c r="M8" i="3"/>
  <c r="N8" i="3"/>
  <c r="O8" i="3"/>
  <c r="P8" i="3"/>
  <c r="Q8" i="3"/>
  <c r="R8" i="3"/>
  <c r="C3" i="3"/>
  <c r="C7" i="3"/>
  <c r="C8" i="3"/>
  <c r="O316" i="2"/>
  <c r="O315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220" i="2"/>
  <c r="T221" i="2"/>
  <c r="T222" i="2"/>
  <c r="T223" i="2"/>
  <c r="T224" i="2"/>
  <c r="T225" i="2"/>
  <c r="T226" i="2"/>
  <c r="T227" i="2"/>
  <c r="T228" i="2"/>
  <c r="T229" i="2"/>
  <c r="T230" i="2"/>
  <c r="O217" i="2"/>
  <c r="O173" i="2"/>
  <c r="O170" i="2"/>
  <c r="O171" i="2"/>
  <c r="J12" i="6"/>
  <c r="K12" i="6" s="1"/>
  <c r="O155" i="2"/>
  <c r="O154" i="2"/>
  <c r="O152" i="2"/>
  <c r="O151" i="2"/>
  <c r="O145" i="2"/>
  <c r="O131" i="2"/>
  <c r="O132" i="2"/>
  <c r="O144" i="2"/>
  <c r="O143" i="2"/>
  <c r="O142" i="2"/>
  <c r="O141" i="2"/>
  <c r="O140" i="2"/>
  <c r="O139" i="2"/>
  <c r="O128" i="2"/>
  <c r="O125" i="2"/>
  <c r="O126" i="2"/>
  <c r="O124" i="2"/>
  <c r="O105" i="2"/>
  <c r="O104" i="2"/>
  <c r="O103" i="2"/>
  <c r="O102" i="2"/>
  <c r="O101" i="2"/>
  <c r="O100" i="2"/>
  <c r="O99" i="2"/>
  <c r="O98" i="2"/>
  <c r="O91" i="2"/>
  <c r="O90" i="2"/>
  <c r="O76" i="2"/>
  <c r="O75" i="2"/>
  <c r="O74" i="2"/>
  <c r="O73" i="2"/>
  <c r="O71" i="2"/>
  <c r="O70" i="2"/>
  <c r="O69" i="2"/>
  <c r="O68" i="2"/>
  <c r="O67" i="2"/>
  <c r="O66" i="2"/>
  <c r="O59" i="2"/>
  <c r="O64" i="2"/>
  <c r="O63" i="2"/>
  <c r="O62" i="2"/>
  <c r="O57" i="2"/>
  <c r="O58" i="2"/>
  <c r="O56" i="2"/>
  <c r="O55" i="2"/>
  <c r="O54" i="2"/>
  <c r="O45" i="2"/>
  <c r="E3" i="3" l="1"/>
  <c r="E8" i="3"/>
  <c r="E7" i="3"/>
  <c r="O15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1" i="2"/>
  <c r="T212" i="2"/>
  <c r="T213" i="2"/>
  <c r="T214" i="2"/>
  <c r="T215" i="2"/>
  <c r="T216" i="2"/>
  <c r="T217" i="2"/>
  <c r="T218" i="2"/>
  <c r="T219" i="2"/>
  <c r="F558" i="4"/>
  <c r="F529" i="4"/>
  <c r="F500" i="4"/>
  <c r="F471" i="4"/>
  <c r="F442" i="4"/>
  <c r="F413" i="4"/>
  <c r="F384" i="4"/>
  <c r="F355" i="4"/>
  <c r="F326" i="4"/>
  <c r="F297" i="4"/>
  <c r="F268" i="4"/>
  <c r="F239" i="4"/>
  <c r="F209" i="4"/>
  <c r="F180" i="4"/>
  <c r="F151" i="4"/>
  <c r="F122" i="4"/>
  <c r="B19" i="6"/>
  <c r="B18" i="6"/>
  <c r="B17" i="6"/>
  <c r="B20" i="6"/>
  <c r="B16" i="6"/>
  <c r="I12" i="6"/>
  <c r="F12" i="6"/>
  <c r="F3" i="6"/>
  <c r="F4" i="6"/>
  <c r="F6" i="6"/>
  <c r="F7" i="6"/>
  <c r="F8" i="6"/>
  <c r="F9" i="6"/>
  <c r="F10" i="6"/>
  <c r="F2" i="6"/>
  <c r="E3" i="6"/>
  <c r="E4" i="6"/>
  <c r="E5" i="6"/>
  <c r="E6" i="6"/>
  <c r="E7" i="6"/>
  <c r="E8" i="6"/>
  <c r="E9" i="6"/>
  <c r="E10" i="6"/>
  <c r="E2" i="6"/>
  <c r="E12" i="6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T9" i="2"/>
  <c r="T8" i="2"/>
  <c r="T7" i="2"/>
  <c r="T6" i="2"/>
  <c r="T5" i="2"/>
  <c r="T4" i="2"/>
  <c r="T3" i="2"/>
  <c r="T2" i="2"/>
  <c r="F93" i="4"/>
  <c r="F64" i="4"/>
  <c r="F35" i="4"/>
  <c r="F6" i="4"/>
  <c r="Z4" i="1" l="1"/>
  <c r="AA4" i="1"/>
  <c r="AI4" i="1"/>
  <c r="Z5" i="1"/>
  <c r="AA5" i="1"/>
  <c r="AI5" i="1"/>
  <c r="Z6" i="1"/>
  <c r="AA6" i="1"/>
  <c r="AI6" i="1"/>
  <c r="Z7" i="1"/>
  <c r="AA7" i="1"/>
  <c r="AI7" i="1"/>
  <c r="Z8" i="1"/>
  <c r="AA8" i="1"/>
  <c r="AI8" i="1"/>
  <c r="Z9" i="1"/>
  <c r="AA9" i="1"/>
  <c r="AI9" i="1"/>
  <c r="Z10" i="1"/>
  <c r="AA10" i="1"/>
  <c r="AI10" i="1"/>
  <c r="Z11" i="1"/>
  <c r="AA11" i="1"/>
  <c r="AI11" i="1"/>
  <c r="Z12" i="1"/>
  <c r="AA12" i="1"/>
  <c r="AI12" i="1"/>
  <c r="Z13" i="1"/>
  <c r="AA13" i="1"/>
  <c r="AI13" i="1"/>
  <c r="Z14" i="1"/>
  <c r="AA14" i="1"/>
  <c r="AI14" i="1"/>
  <c r="Z15" i="1"/>
  <c r="AA15" i="1"/>
  <c r="AI15" i="1"/>
  <c r="Z16" i="1"/>
  <c r="AA16" i="1"/>
  <c r="AI16" i="1"/>
  <c r="Z17" i="1"/>
  <c r="AA17" i="1"/>
  <c r="AI17" i="1"/>
  <c r="Z18" i="1"/>
  <c r="AA18" i="1"/>
  <c r="AI18" i="1"/>
  <c r="Z19" i="1"/>
  <c r="AA19" i="1"/>
  <c r="AI19" i="1"/>
  <c r="Z20" i="1"/>
  <c r="AA20" i="1"/>
  <c r="AI20" i="1"/>
  <c r="Z21" i="1"/>
  <c r="AA21" i="1"/>
  <c r="AI21" i="1"/>
  <c r="AI3" i="1"/>
  <c r="AA3" i="1"/>
  <c r="Z3" i="1"/>
  <c r="AI2" i="1"/>
  <c r="AA2" i="1"/>
  <c r="Z2" i="1"/>
  <c r="H8" i="3"/>
  <c r="G8" i="3"/>
  <c r="F8" i="3"/>
  <c r="H7" i="3"/>
  <c r="G7" i="3"/>
  <c r="F7" i="3"/>
  <c r="H3" i="3"/>
  <c r="G3" i="3"/>
  <c r="F3" i="3"/>
  <c r="B3" i="3"/>
</calcChain>
</file>

<file path=xl/sharedStrings.xml><?xml version="1.0" encoding="utf-8"?>
<sst xmlns="http://schemas.openxmlformats.org/spreadsheetml/2006/main" count="6381" uniqueCount="324">
  <si>
    <t>Lake</t>
  </si>
  <si>
    <t>Number</t>
  </si>
  <si>
    <t>green_(ug/cm²)</t>
  </si>
  <si>
    <t>cyanos_(ug/cm²)</t>
  </si>
  <si>
    <t>diatomes_(ug/cm²)</t>
  </si>
  <si>
    <t>mean</t>
  </si>
  <si>
    <t>min</t>
  </si>
  <si>
    <t>max</t>
  </si>
  <si>
    <t>Site_ID:</t>
  </si>
  <si>
    <t>Site_ID</t>
  </si>
  <si>
    <t>Monitoring_ID</t>
  </si>
  <si>
    <t>Lat</t>
  </si>
  <si>
    <t>Lon</t>
  </si>
  <si>
    <t>Weather</t>
  </si>
  <si>
    <t>Control</t>
  </si>
  <si>
    <t>4_0</t>
  </si>
  <si>
    <t>5_0</t>
  </si>
  <si>
    <t>6_0</t>
  </si>
  <si>
    <t>9_0</t>
  </si>
  <si>
    <t>10_0</t>
  </si>
  <si>
    <t>11_0</t>
  </si>
  <si>
    <t>12_0</t>
  </si>
  <si>
    <t>14_0</t>
  </si>
  <si>
    <t>16_0</t>
  </si>
  <si>
    <t>17_0</t>
  </si>
  <si>
    <t>18_0</t>
  </si>
  <si>
    <t>22_0</t>
  </si>
  <si>
    <t>Site_size</t>
  </si>
  <si>
    <t>Date_Time</t>
  </si>
  <si>
    <t>Sediment_sample</t>
  </si>
  <si>
    <t>Macrophyte_sample</t>
  </si>
  <si>
    <t>Distance_deep_20m</t>
  </si>
  <si>
    <t>Notes</t>
  </si>
  <si>
    <t>Size_m2</t>
  </si>
  <si>
    <t>Perimter_m</t>
  </si>
  <si>
    <t>Size_km2</t>
  </si>
  <si>
    <t>Perimter_km</t>
  </si>
  <si>
    <t>Catchment_size_km2</t>
  </si>
  <si>
    <t>Mean_depth_m</t>
  </si>
  <si>
    <t>Max_depth_m</t>
  </si>
  <si>
    <t>Volume_km3</t>
  </si>
  <si>
    <t>Elevation_m</t>
  </si>
  <si>
    <t>Mixing</t>
  </si>
  <si>
    <t>TLI</t>
  </si>
  <si>
    <t>Trophic_state</t>
  </si>
  <si>
    <t>LakeSPI</t>
  </si>
  <si>
    <t>LID</t>
  </si>
  <si>
    <t>DHT</t>
  </si>
  <si>
    <t>Lake_water_clarity_m</t>
  </si>
  <si>
    <t>Site</t>
  </si>
  <si>
    <t>Stratified</t>
  </si>
  <si>
    <t>Group</t>
  </si>
  <si>
    <t>Parameter</t>
  </si>
  <si>
    <t>Unit</t>
  </si>
  <si>
    <t>Value</t>
  </si>
  <si>
    <t>Physical</t>
  </si>
  <si>
    <t>Shear_stress</t>
  </si>
  <si>
    <t>m/s, degrees</t>
  </si>
  <si>
    <t>need to be calculated from wind speed and wind direction</t>
  </si>
  <si>
    <t xml:space="preserve">Bottom_visible </t>
  </si>
  <si>
    <t>0/1</t>
  </si>
  <si>
    <t>Water_clarity</t>
  </si>
  <si>
    <t>m</t>
  </si>
  <si>
    <t>Depth_10m</t>
  </si>
  <si>
    <t>Slope</t>
  </si>
  <si>
    <t>degrees</t>
  </si>
  <si>
    <t>Calculated from depth</t>
  </si>
  <si>
    <t>Riparian_vegetation</t>
  </si>
  <si>
    <t>%</t>
  </si>
  <si>
    <t>Riparian_species</t>
  </si>
  <si>
    <t>Overhanging_trees</t>
  </si>
  <si>
    <t>Erosion</t>
  </si>
  <si>
    <t>Sructure</t>
  </si>
  <si>
    <t>Bedrock</t>
  </si>
  <si>
    <t>Boulders</t>
  </si>
  <si>
    <t>Cobble</t>
  </si>
  <si>
    <t>Gravel</t>
  </si>
  <si>
    <t>Sand</t>
  </si>
  <si>
    <t>Mud</t>
  </si>
  <si>
    <t>Organic_matter</t>
  </si>
  <si>
    <t>Turf</t>
  </si>
  <si>
    <t>Rock_size</t>
  </si>
  <si>
    <t>mm</t>
  </si>
  <si>
    <t>Chemical</t>
  </si>
  <si>
    <t>Temperature</t>
  </si>
  <si>
    <t>Degree C</t>
  </si>
  <si>
    <t>DO_mgl</t>
  </si>
  <si>
    <t>mg/l</t>
  </si>
  <si>
    <t>DO_percent</t>
  </si>
  <si>
    <t>µS/cm</t>
  </si>
  <si>
    <t>pH</t>
  </si>
  <si>
    <t>Habitat</t>
  </si>
  <si>
    <t>Vegetation_nearby</t>
  </si>
  <si>
    <t>Vegetation_species</t>
  </si>
  <si>
    <t>Wood_cover</t>
  </si>
  <si>
    <t>Other</t>
  </si>
  <si>
    <t>Date_Time_out</t>
  </si>
  <si>
    <t>Net_type</t>
  </si>
  <si>
    <t>Amount_nets</t>
  </si>
  <si>
    <t>Species</t>
  </si>
  <si>
    <t>Scientific_name</t>
  </si>
  <si>
    <t>Species_name</t>
  </si>
  <si>
    <t>Maori_name</t>
  </si>
  <si>
    <t>Native/nonnative</t>
  </si>
  <si>
    <t>Taonga</t>
  </si>
  <si>
    <t>Sex</t>
  </si>
  <si>
    <t>Length_mm</t>
  </si>
  <si>
    <t>Weight_g</t>
  </si>
  <si>
    <t>Amount</t>
  </si>
  <si>
    <t>Soft_shelled</t>
  </si>
  <si>
    <t>Berried</t>
  </si>
  <si>
    <t>Youngs</t>
  </si>
  <si>
    <t>Cups</t>
  </si>
  <si>
    <t>mL</t>
  </si>
  <si>
    <t>Comments</t>
  </si>
  <si>
    <t>Kōura</t>
  </si>
  <si>
    <t>Paranephrops planifrons</t>
  </si>
  <si>
    <t>Freshwater_crayfish</t>
  </si>
  <si>
    <t>Native</t>
  </si>
  <si>
    <t>Yes</t>
  </si>
  <si>
    <t>Catfish</t>
  </si>
  <si>
    <t>Ameiurus nebulosus</t>
  </si>
  <si>
    <t>Nonnative</t>
  </si>
  <si>
    <t>No</t>
  </si>
  <si>
    <t>Morihana</t>
  </si>
  <si>
    <t>Carassius auratus</t>
  </si>
  <si>
    <t>Goldfish</t>
  </si>
  <si>
    <t>Kōaro</t>
  </si>
  <si>
    <t>Galaxias brevipinnis</t>
  </si>
  <si>
    <t>Climbing_galaxias</t>
  </si>
  <si>
    <t>Trout</t>
  </si>
  <si>
    <t>Oncorhynchus mykiss</t>
  </si>
  <si>
    <t>Rainbow_trout</t>
  </si>
  <si>
    <t>Common_smelt</t>
  </si>
  <si>
    <t>Retropinna retropinna</t>
  </si>
  <si>
    <t>Bullies</t>
  </si>
  <si>
    <t>Gobiomorphus cotidianus</t>
  </si>
  <si>
    <t>Common_bully</t>
  </si>
  <si>
    <t>Toitoi</t>
  </si>
  <si>
    <t>Eel</t>
  </si>
  <si>
    <t>Anguilla dieffenbachii</t>
  </si>
  <si>
    <t>Long_fin_eel</t>
  </si>
  <si>
    <t>Tuna</t>
  </si>
  <si>
    <t>Rocky</t>
  </si>
  <si>
    <t>Sunny</t>
  </si>
  <si>
    <t>Sandy</t>
  </si>
  <si>
    <t>nets collepes first time</t>
  </si>
  <si>
    <t>Right</t>
  </si>
  <si>
    <t xml:space="preserve">New rocks as retainig wall/ dead swan in site </t>
  </si>
  <si>
    <t>Right, Cliff as shore</t>
  </si>
  <si>
    <t>Left, Cliff as shore</t>
  </si>
  <si>
    <t>Left</t>
  </si>
  <si>
    <t>Total_ weight_reef</t>
  </si>
  <si>
    <t>Date_time</t>
  </si>
  <si>
    <t>Load</t>
  </si>
  <si>
    <t>Weight_empty</t>
  </si>
  <si>
    <t>Weight_full</t>
  </si>
  <si>
    <t>Netto</t>
  </si>
  <si>
    <t>lots of gravel and dirt pay for only 1000</t>
  </si>
  <si>
    <t>Bank of 3</t>
  </si>
  <si>
    <t>only half on reef other half in fc2</t>
  </si>
  <si>
    <t>Net corrected</t>
  </si>
  <si>
    <t xml:space="preserve">price per ton </t>
  </si>
  <si>
    <t>tot price</t>
  </si>
  <si>
    <t>Flax</t>
  </si>
  <si>
    <t>grass</t>
  </si>
  <si>
    <t>grass+flax</t>
  </si>
  <si>
    <t>retainingwall</t>
  </si>
  <si>
    <t>Three-leaved milfoil</t>
  </si>
  <si>
    <t>Small trees</t>
  </si>
  <si>
    <t>Hornwort</t>
  </si>
  <si>
    <t>Grass</t>
  </si>
  <si>
    <t>Native forest</t>
  </si>
  <si>
    <t xml:space="preserve">Glossostigma </t>
  </si>
  <si>
    <t>Box</t>
  </si>
  <si>
    <t>Fyke</t>
  </si>
  <si>
    <t>F</t>
  </si>
  <si>
    <t>M</t>
  </si>
  <si>
    <t>Dragonfly larvae Small</t>
  </si>
  <si>
    <t>Nets collapsed</t>
  </si>
  <si>
    <t>Caddisfly larvae</t>
  </si>
  <si>
    <t>Rocks at FC2</t>
  </si>
  <si>
    <t>one fyke with big hole</t>
  </si>
  <si>
    <t>Extra leg</t>
  </si>
  <si>
    <t>Blue</t>
  </si>
  <si>
    <t>Weight</t>
  </si>
  <si>
    <t>Size</t>
  </si>
  <si>
    <t>Volume</t>
  </si>
  <si>
    <t>Size_mm</t>
  </si>
  <si>
    <t>Volume_ml</t>
  </si>
  <si>
    <t>Density_g/ml</t>
  </si>
  <si>
    <t>Reef_shape</t>
  </si>
  <si>
    <t>shape</t>
  </si>
  <si>
    <t>Distance_to_shore</t>
  </si>
  <si>
    <t>Length</t>
  </si>
  <si>
    <t>Width</t>
  </si>
  <si>
    <t>Depth_on_R</t>
  </si>
  <si>
    <t>Depth_on_L</t>
  </si>
  <si>
    <t>Depth_after</t>
  </si>
  <si>
    <t>m3</t>
  </si>
  <si>
    <t>keep formula</t>
  </si>
  <si>
    <t>Sedimentation</t>
  </si>
  <si>
    <t>Accumulation_of_weeds</t>
  </si>
  <si>
    <t>Mosquitofish</t>
  </si>
  <si>
    <t>Gambusia affinis</t>
  </si>
  <si>
    <t>Gambusia</t>
  </si>
  <si>
    <t>Round</t>
  </si>
  <si>
    <t>Hight_above</t>
  </si>
  <si>
    <t>Back</t>
  </si>
  <si>
    <t>Front</t>
  </si>
  <si>
    <t>Behind</t>
  </si>
  <si>
    <t>Monitoring</t>
  </si>
  <si>
    <t>ID</t>
  </si>
  <si>
    <t>Weed_Type</t>
  </si>
  <si>
    <t>Native_Status</t>
  </si>
  <si>
    <t>Percentage_Cover</t>
  </si>
  <si>
    <t>Emergent</t>
  </si>
  <si>
    <t>Submerged</t>
  </si>
  <si>
    <t>Raupō_(Bulrush)</t>
  </si>
  <si>
    <t>Typha orientalis</t>
  </si>
  <si>
    <t>Giant_spike_rush</t>
  </si>
  <si>
    <t>Eleocharis sphacelata</t>
  </si>
  <si>
    <t>Niggerhead_sedge</t>
  </si>
  <si>
    <t>Carex secta</t>
  </si>
  <si>
    <t>Water_lilies</t>
  </si>
  <si>
    <t>Nymphaea spp.</t>
  </si>
  <si>
    <t>Non_Native</t>
  </si>
  <si>
    <t>Three-leaved_milfoil</t>
  </si>
  <si>
    <t>Myriophyllum triphyllum</t>
  </si>
  <si>
    <t>Charophytes</t>
  </si>
  <si>
    <t>Chara corallina/ Chara globularis</t>
  </si>
  <si>
    <t>Ceratophyllum demersum</t>
  </si>
  <si>
    <t xml:space="preserve">Egeria_(Oxygen_Weed) </t>
  </si>
  <si>
    <t>Egeria densa</t>
  </si>
  <si>
    <t>Green_algae</t>
  </si>
  <si>
    <t>Lagarosiphon_(Oxygen_Weed)</t>
  </si>
  <si>
    <t>Lagarosiphon major</t>
  </si>
  <si>
    <t>Canadian_pondweed_(Oxygen_Weed)</t>
  </si>
  <si>
    <t>Elodea canadensis</t>
  </si>
  <si>
    <t>Curly-leaf_pondweed</t>
  </si>
  <si>
    <t>Potamogeton crispus</t>
  </si>
  <si>
    <t>Eelgrass</t>
  </si>
  <si>
    <t>Vallisneria spiralis</t>
  </si>
  <si>
    <t>Red_luwigia</t>
  </si>
  <si>
    <t>Ludwigia repens</t>
  </si>
  <si>
    <t>Algea</t>
  </si>
  <si>
    <t>Reef_ID</t>
  </si>
  <si>
    <t>pH1</t>
  </si>
  <si>
    <t>Cloudy</t>
  </si>
  <si>
    <t>Big claws</t>
  </si>
  <si>
    <t>Estimates</t>
  </si>
  <si>
    <t>All nets collapsed</t>
  </si>
  <si>
    <t>1 fyke net colappsed</t>
  </si>
  <si>
    <t>Eaten</t>
  </si>
  <si>
    <t>Rotoiti</t>
  </si>
  <si>
    <t>median</t>
  </si>
  <si>
    <t>Q1</t>
  </si>
  <si>
    <t>Q3</t>
  </si>
  <si>
    <t>Calculated_slope</t>
  </si>
  <si>
    <t>Trap_ID</t>
  </si>
  <si>
    <t>Date_in</t>
  </si>
  <si>
    <t>Date_out</t>
  </si>
  <si>
    <t>Never placed</t>
  </si>
  <si>
    <t>DW</t>
  </si>
  <si>
    <t>Org</t>
  </si>
  <si>
    <t>WW (g)</t>
  </si>
  <si>
    <t>Date_in freezer</t>
  </si>
  <si>
    <t>Lost</t>
  </si>
  <si>
    <t>Reef</t>
  </si>
  <si>
    <t>Trap completely in sedimtent</t>
  </si>
  <si>
    <t>Trap half in sediment</t>
  </si>
  <si>
    <t>kg rocks at site</t>
  </si>
  <si>
    <t>kg</t>
  </si>
  <si>
    <t>Area</t>
  </si>
  <si>
    <t>m2</t>
  </si>
  <si>
    <t>Distance_5m</t>
  </si>
  <si>
    <t>Distance_20m</t>
  </si>
  <si>
    <t>name</t>
  </si>
  <si>
    <t>Monitor_ID</t>
  </si>
  <si>
    <t>NORM0011</t>
  </si>
  <si>
    <t>NORM0012</t>
  </si>
  <si>
    <t>NORM0013</t>
  </si>
  <si>
    <t>NORM0014</t>
  </si>
  <si>
    <t>NORM0015</t>
  </si>
  <si>
    <t>NORM0016</t>
  </si>
  <si>
    <t>Date</t>
  </si>
  <si>
    <t>Start_time</t>
  </si>
  <si>
    <t>End_time</t>
  </si>
  <si>
    <t>Spotlignting</t>
  </si>
  <si>
    <t>Methods</t>
  </si>
  <si>
    <t>Individual_Kōura</t>
  </si>
  <si>
    <t>ROV</t>
  </si>
  <si>
    <t>Time viewing botom</t>
  </si>
  <si>
    <t>time</t>
  </si>
  <si>
    <t>Depth</t>
  </si>
  <si>
    <t>Note</t>
  </si>
  <si>
    <t>before weed bed and above weed</t>
  </si>
  <si>
    <t>above weeds</t>
  </si>
  <si>
    <t>Deep edge of weed bed. 18:09:35 Fish shoots by</t>
  </si>
  <si>
    <t>6_9</t>
  </si>
  <si>
    <t>trout in camera</t>
  </si>
  <si>
    <t>9_7</t>
  </si>
  <si>
    <t>foowing the steep bank</t>
  </si>
  <si>
    <t>7_5</t>
  </si>
  <si>
    <t>going back</t>
  </si>
  <si>
    <t>total_time</t>
  </si>
  <si>
    <t>gap</t>
  </si>
  <si>
    <t>continue</t>
  </si>
  <si>
    <t>cont2</t>
  </si>
  <si>
    <t>gap2</t>
  </si>
  <si>
    <t>break</t>
  </si>
  <si>
    <t>break2</t>
  </si>
  <si>
    <t>Conductivity</t>
  </si>
  <si>
    <t>Specific_conductivity</t>
  </si>
  <si>
    <t>Very windy big waves</t>
  </si>
  <si>
    <t>Windy waves</t>
  </si>
  <si>
    <t>Left, 1 net big hole</t>
  </si>
  <si>
    <t>1 fyke net washed to shore other filled with weed</t>
  </si>
  <si>
    <t>Filled with weeds box moved a lot and fykes were drifting</t>
  </si>
  <si>
    <t>Boxes moved</t>
  </si>
  <si>
    <t>Nets lose</t>
  </si>
  <si>
    <t>Just 2 eggs</t>
  </si>
  <si>
    <t>Monitoring_ID.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</si>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</sst>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h:mm:ss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1" xfId="0" applyFont="1" applyBorder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22" fontId="0" fillId="0" borderId="0" xfId="0" applyNumberFormat="1"/>
    <xf numFmtId="22" fontId="0" fillId="0" borderId="9" xfId="0" applyNumberFormat="1" applyBorder="1"/>
    <xf numFmtId="22" fontId="0" fillId="0" borderId="10" xfId="0" applyNumberFormat="1" applyBorder="1"/>
    <xf numFmtId="22" fontId="0" fillId="0" borderId="11" xfId="0" applyNumberFormat="1" applyBorder="1"/>
    <xf numFmtId="0" fontId="0" fillId="0" borderId="12" xfId="0" applyBorder="1"/>
    <xf numFmtId="0" fontId="0" fillId="0" borderId="13" xfId="0" applyBorder="1"/>
    <xf numFmtId="22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" fontId="0" fillId="0" borderId="7" xfId="0" applyNumberFormat="1" applyBorder="1"/>
    <xf numFmtId="1" fontId="0" fillId="0" borderId="3" xfId="0" applyNumberFormat="1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21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Size</a:t>
            </a:r>
            <a:r>
              <a:rPr lang="en-NZ" baseline="0"/>
              <a:t> &amp; weight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Rock_sizes_Periphyton_biomass!$B$9:$B$108</c:f>
              <c:numCache>
                <c:formatCode>0</c:formatCode>
                <c:ptCount val="100"/>
                <c:pt idx="0">
                  <c:v>160</c:v>
                </c:pt>
                <c:pt idx="1">
                  <c:v>215</c:v>
                </c:pt>
                <c:pt idx="2">
                  <c:v>230</c:v>
                </c:pt>
                <c:pt idx="3">
                  <c:v>190</c:v>
                </c:pt>
                <c:pt idx="4">
                  <c:v>235</c:v>
                </c:pt>
                <c:pt idx="5">
                  <c:v>240</c:v>
                </c:pt>
                <c:pt idx="6">
                  <c:v>165</c:v>
                </c:pt>
                <c:pt idx="7">
                  <c:v>139</c:v>
                </c:pt>
                <c:pt idx="8">
                  <c:v>160</c:v>
                </c:pt>
                <c:pt idx="9">
                  <c:v>265</c:v>
                </c:pt>
                <c:pt idx="10">
                  <c:v>180</c:v>
                </c:pt>
                <c:pt idx="11">
                  <c:v>195</c:v>
                </c:pt>
                <c:pt idx="12">
                  <c:v>130</c:v>
                </c:pt>
                <c:pt idx="13">
                  <c:v>170</c:v>
                </c:pt>
                <c:pt idx="14">
                  <c:v>260</c:v>
                </c:pt>
                <c:pt idx="15">
                  <c:v>210</c:v>
                </c:pt>
                <c:pt idx="16">
                  <c:v>150</c:v>
                </c:pt>
                <c:pt idx="17">
                  <c:v>140</c:v>
                </c:pt>
                <c:pt idx="18">
                  <c:v>145</c:v>
                </c:pt>
                <c:pt idx="19">
                  <c:v>170</c:v>
                </c:pt>
                <c:pt idx="20">
                  <c:v>160</c:v>
                </c:pt>
                <c:pt idx="21">
                  <c:v>140</c:v>
                </c:pt>
                <c:pt idx="22">
                  <c:v>145</c:v>
                </c:pt>
                <c:pt idx="23">
                  <c:v>170</c:v>
                </c:pt>
                <c:pt idx="24">
                  <c:v>125</c:v>
                </c:pt>
                <c:pt idx="25">
                  <c:v>150</c:v>
                </c:pt>
                <c:pt idx="26">
                  <c:v>140</c:v>
                </c:pt>
                <c:pt idx="27">
                  <c:v>180</c:v>
                </c:pt>
                <c:pt idx="28">
                  <c:v>230</c:v>
                </c:pt>
                <c:pt idx="29">
                  <c:v>250</c:v>
                </c:pt>
                <c:pt idx="30">
                  <c:v>130</c:v>
                </c:pt>
                <c:pt idx="31">
                  <c:v>200</c:v>
                </c:pt>
                <c:pt idx="32">
                  <c:v>150</c:v>
                </c:pt>
                <c:pt idx="33">
                  <c:v>150</c:v>
                </c:pt>
                <c:pt idx="34">
                  <c:v>165</c:v>
                </c:pt>
                <c:pt idx="35">
                  <c:v>160</c:v>
                </c:pt>
                <c:pt idx="36">
                  <c:v>135</c:v>
                </c:pt>
                <c:pt idx="37">
                  <c:v>150</c:v>
                </c:pt>
                <c:pt idx="38">
                  <c:v>200</c:v>
                </c:pt>
                <c:pt idx="39">
                  <c:v>270</c:v>
                </c:pt>
                <c:pt idx="40">
                  <c:v>210</c:v>
                </c:pt>
                <c:pt idx="41">
                  <c:v>210</c:v>
                </c:pt>
                <c:pt idx="42">
                  <c:v>220</c:v>
                </c:pt>
                <c:pt idx="43">
                  <c:v>145</c:v>
                </c:pt>
                <c:pt idx="44">
                  <c:v>120</c:v>
                </c:pt>
                <c:pt idx="45">
                  <c:v>100</c:v>
                </c:pt>
                <c:pt idx="46">
                  <c:v>85</c:v>
                </c:pt>
                <c:pt idx="47">
                  <c:v>210</c:v>
                </c:pt>
                <c:pt idx="48">
                  <c:v>210</c:v>
                </c:pt>
                <c:pt idx="49">
                  <c:v>315</c:v>
                </c:pt>
                <c:pt idx="50">
                  <c:v>245</c:v>
                </c:pt>
                <c:pt idx="51">
                  <c:v>270</c:v>
                </c:pt>
                <c:pt idx="52">
                  <c:v>140</c:v>
                </c:pt>
                <c:pt idx="53">
                  <c:v>200</c:v>
                </c:pt>
                <c:pt idx="54">
                  <c:v>150</c:v>
                </c:pt>
                <c:pt idx="55">
                  <c:v>130</c:v>
                </c:pt>
                <c:pt idx="56">
                  <c:v>105</c:v>
                </c:pt>
                <c:pt idx="57">
                  <c:v>120</c:v>
                </c:pt>
                <c:pt idx="58">
                  <c:v>205</c:v>
                </c:pt>
                <c:pt idx="59">
                  <c:v>170</c:v>
                </c:pt>
                <c:pt idx="60">
                  <c:v>165</c:v>
                </c:pt>
                <c:pt idx="61">
                  <c:v>155</c:v>
                </c:pt>
                <c:pt idx="62">
                  <c:v>145</c:v>
                </c:pt>
                <c:pt idx="63">
                  <c:v>180</c:v>
                </c:pt>
                <c:pt idx="64">
                  <c:v>145</c:v>
                </c:pt>
                <c:pt idx="65">
                  <c:v>150</c:v>
                </c:pt>
                <c:pt idx="66">
                  <c:v>200</c:v>
                </c:pt>
                <c:pt idx="67">
                  <c:v>180</c:v>
                </c:pt>
                <c:pt idx="68">
                  <c:v>150</c:v>
                </c:pt>
                <c:pt idx="69">
                  <c:v>250</c:v>
                </c:pt>
                <c:pt idx="70">
                  <c:v>140</c:v>
                </c:pt>
                <c:pt idx="71">
                  <c:v>180</c:v>
                </c:pt>
                <c:pt idx="72">
                  <c:v>100</c:v>
                </c:pt>
                <c:pt idx="73">
                  <c:v>100</c:v>
                </c:pt>
                <c:pt idx="74">
                  <c:v>150</c:v>
                </c:pt>
                <c:pt idx="75">
                  <c:v>150</c:v>
                </c:pt>
                <c:pt idx="76">
                  <c:v>190</c:v>
                </c:pt>
                <c:pt idx="77">
                  <c:v>140</c:v>
                </c:pt>
                <c:pt idx="78">
                  <c:v>115</c:v>
                </c:pt>
                <c:pt idx="79">
                  <c:v>100</c:v>
                </c:pt>
                <c:pt idx="80">
                  <c:v>295</c:v>
                </c:pt>
                <c:pt idx="81">
                  <c:v>235</c:v>
                </c:pt>
                <c:pt idx="82">
                  <c:v>105</c:v>
                </c:pt>
                <c:pt idx="83">
                  <c:v>160</c:v>
                </c:pt>
                <c:pt idx="84">
                  <c:v>210</c:v>
                </c:pt>
                <c:pt idx="85">
                  <c:v>160</c:v>
                </c:pt>
                <c:pt idx="86">
                  <c:v>110</c:v>
                </c:pt>
                <c:pt idx="87">
                  <c:v>180</c:v>
                </c:pt>
                <c:pt idx="88">
                  <c:v>130</c:v>
                </c:pt>
                <c:pt idx="89">
                  <c:v>90</c:v>
                </c:pt>
                <c:pt idx="90">
                  <c:v>210</c:v>
                </c:pt>
                <c:pt idx="91">
                  <c:v>220</c:v>
                </c:pt>
                <c:pt idx="92">
                  <c:v>195</c:v>
                </c:pt>
                <c:pt idx="93">
                  <c:v>150</c:v>
                </c:pt>
                <c:pt idx="94">
                  <c:v>140</c:v>
                </c:pt>
                <c:pt idx="95">
                  <c:v>155</c:v>
                </c:pt>
                <c:pt idx="96">
                  <c:v>200</c:v>
                </c:pt>
                <c:pt idx="97">
                  <c:v>115</c:v>
                </c:pt>
                <c:pt idx="98">
                  <c:v>190</c:v>
                </c:pt>
                <c:pt idx="99">
                  <c:v>255</c:v>
                </c:pt>
              </c:numCache>
            </c:numRef>
          </c:xVal>
          <c:yVal>
            <c:numRef>
              <c:f>Rock_sizes_Periphyton_biomass!$C$9:$C$108</c:f>
              <c:numCache>
                <c:formatCode>0</c:formatCode>
                <c:ptCount val="100"/>
                <c:pt idx="0">
                  <c:v>2396</c:v>
                </c:pt>
                <c:pt idx="1">
                  <c:v>2806</c:v>
                </c:pt>
                <c:pt idx="2">
                  <c:v>5781</c:v>
                </c:pt>
                <c:pt idx="3">
                  <c:v>2199</c:v>
                </c:pt>
                <c:pt idx="4">
                  <c:v>1972</c:v>
                </c:pt>
                <c:pt idx="5">
                  <c:v>5053</c:v>
                </c:pt>
                <c:pt idx="6">
                  <c:v>1719</c:v>
                </c:pt>
                <c:pt idx="7">
                  <c:v>1211</c:v>
                </c:pt>
                <c:pt idx="8">
                  <c:v>1640</c:v>
                </c:pt>
                <c:pt idx="9">
                  <c:v>4691</c:v>
                </c:pt>
                <c:pt idx="10">
                  <c:v>1700</c:v>
                </c:pt>
                <c:pt idx="11">
                  <c:v>2329</c:v>
                </c:pt>
                <c:pt idx="12">
                  <c:v>1057</c:v>
                </c:pt>
                <c:pt idx="13">
                  <c:v>1589</c:v>
                </c:pt>
                <c:pt idx="14">
                  <c:v>2812</c:v>
                </c:pt>
                <c:pt idx="15">
                  <c:v>3077</c:v>
                </c:pt>
                <c:pt idx="16">
                  <c:v>1695</c:v>
                </c:pt>
                <c:pt idx="17">
                  <c:v>640</c:v>
                </c:pt>
                <c:pt idx="18">
                  <c:v>1466</c:v>
                </c:pt>
                <c:pt idx="19">
                  <c:v>1073</c:v>
                </c:pt>
                <c:pt idx="20">
                  <c:v>1788</c:v>
                </c:pt>
                <c:pt idx="21">
                  <c:v>805</c:v>
                </c:pt>
                <c:pt idx="22">
                  <c:v>1477</c:v>
                </c:pt>
                <c:pt idx="23">
                  <c:v>1719</c:v>
                </c:pt>
                <c:pt idx="24">
                  <c:v>517</c:v>
                </c:pt>
                <c:pt idx="25">
                  <c:v>1397</c:v>
                </c:pt>
                <c:pt idx="26">
                  <c:v>1235</c:v>
                </c:pt>
                <c:pt idx="27">
                  <c:v>3553</c:v>
                </c:pt>
                <c:pt idx="28">
                  <c:v>4258</c:v>
                </c:pt>
                <c:pt idx="29">
                  <c:v>5376</c:v>
                </c:pt>
                <c:pt idx="30">
                  <c:v>658</c:v>
                </c:pt>
                <c:pt idx="31">
                  <c:v>1961</c:v>
                </c:pt>
                <c:pt idx="32">
                  <c:v>1346</c:v>
                </c:pt>
                <c:pt idx="33">
                  <c:v>917</c:v>
                </c:pt>
                <c:pt idx="34">
                  <c:v>2602</c:v>
                </c:pt>
                <c:pt idx="35">
                  <c:v>1843</c:v>
                </c:pt>
                <c:pt idx="36">
                  <c:v>682</c:v>
                </c:pt>
                <c:pt idx="37">
                  <c:v>1025</c:v>
                </c:pt>
                <c:pt idx="38">
                  <c:v>4481</c:v>
                </c:pt>
                <c:pt idx="39">
                  <c:v>5996</c:v>
                </c:pt>
                <c:pt idx="40">
                  <c:v>866</c:v>
                </c:pt>
                <c:pt idx="41">
                  <c:v>1528</c:v>
                </c:pt>
                <c:pt idx="42">
                  <c:v>2176</c:v>
                </c:pt>
                <c:pt idx="43">
                  <c:v>891</c:v>
                </c:pt>
                <c:pt idx="44">
                  <c:v>1343</c:v>
                </c:pt>
                <c:pt idx="45">
                  <c:v>281</c:v>
                </c:pt>
                <c:pt idx="46">
                  <c:v>184</c:v>
                </c:pt>
                <c:pt idx="47">
                  <c:v>3348</c:v>
                </c:pt>
                <c:pt idx="48">
                  <c:v>3252</c:v>
                </c:pt>
                <c:pt idx="49">
                  <c:v>10157</c:v>
                </c:pt>
                <c:pt idx="50">
                  <c:v>5335</c:v>
                </c:pt>
                <c:pt idx="51">
                  <c:v>4843</c:v>
                </c:pt>
                <c:pt idx="52">
                  <c:v>1314</c:v>
                </c:pt>
                <c:pt idx="53">
                  <c:v>2353</c:v>
                </c:pt>
                <c:pt idx="54">
                  <c:v>1212</c:v>
                </c:pt>
                <c:pt idx="55">
                  <c:v>949</c:v>
                </c:pt>
                <c:pt idx="56">
                  <c:v>651</c:v>
                </c:pt>
                <c:pt idx="57">
                  <c:v>500</c:v>
                </c:pt>
                <c:pt idx="58">
                  <c:v>1245</c:v>
                </c:pt>
                <c:pt idx="59">
                  <c:v>1035</c:v>
                </c:pt>
                <c:pt idx="60">
                  <c:v>894</c:v>
                </c:pt>
                <c:pt idx="61">
                  <c:v>964</c:v>
                </c:pt>
                <c:pt idx="62">
                  <c:v>1577</c:v>
                </c:pt>
                <c:pt idx="63">
                  <c:v>1411</c:v>
                </c:pt>
                <c:pt idx="64">
                  <c:v>737</c:v>
                </c:pt>
                <c:pt idx="65">
                  <c:v>1100</c:v>
                </c:pt>
                <c:pt idx="66">
                  <c:v>3449</c:v>
                </c:pt>
                <c:pt idx="67">
                  <c:v>2754</c:v>
                </c:pt>
                <c:pt idx="68">
                  <c:v>2085</c:v>
                </c:pt>
                <c:pt idx="69">
                  <c:v>5585</c:v>
                </c:pt>
                <c:pt idx="70">
                  <c:v>1626</c:v>
                </c:pt>
                <c:pt idx="71">
                  <c:v>2308</c:v>
                </c:pt>
                <c:pt idx="72">
                  <c:v>560</c:v>
                </c:pt>
                <c:pt idx="73">
                  <c:v>270</c:v>
                </c:pt>
                <c:pt idx="74">
                  <c:v>416</c:v>
                </c:pt>
                <c:pt idx="75">
                  <c:v>1380</c:v>
                </c:pt>
                <c:pt idx="76">
                  <c:v>1007</c:v>
                </c:pt>
                <c:pt idx="77">
                  <c:v>1039</c:v>
                </c:pt>
                <c:pt idx="78">
                  <c:v>555</c:v>
                </c:pt>
                <c:pt idx="79">
                  <c:v>647</c:v>
                </c:pt>
                <c:pt idx="80">
                  <c:v>3942</c:v>
                </c:pt>
                <c:pt idx="81">
                  <c:v>2926</c:v>
                </c:pt>
                <c:pt idx="82">
                  <c:v>557</c:v>
                </c:pt>
                <c:pt idx="83">
                  <c:v>874</c:v>
                </c:pt>
                <c:pt idx="84">
                  <c:v>2477</c:v>
                </c:pt>
                <c:pt idx="85">
                  <c:v>2081</c:v>
                </c:pt>
                <c:pt idx="86">
                  <c:v>636</c:v>
                </c:pt>
                <c:pt idx="87">
                  <c:v>2095</c:v>
                </c:pt>
                <c:pt idx="88">
                  <c:v>900</c:v>
                </c:pt>
                <c:pt idx="89">
                  <c:v>203</c:v>
                </c:pt>
                <c:pt idx="90">
                  <c:v>5072</c:v>
                </c:pt>
                <c:pt idx="91">
                  <c:v>3020</c:v>
                </c:pt>
                <c:pt idx="92">
                  <c:v>1562</c:v>
                </c:pt>
                <c:pt idx="93">
                  <c:v>1415</c:v>
                </c:pt>
                <c:pt idx="94">
                  <c:v>1153</c:v>
                </c:pt>
                <c:pt idx="95">
                  <c:v>712</c:v>
                </c:pt>
                <c:pt idx="96">
                  <c:v>3185</c:v>
                </c:pt>
                <c:pt idx="97">
                  <c:v>360</c:v>
                </c:pt>
                <c:pt idx="98">
                  <c:v>1936</c:v>
                </c:pt>
                <c:pt idx="99">
                  <c:v>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A-4069-BFA3-397D1D65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05311"/>
        <c:axId val="2062803871"/>
      </c:scatterChart>
      <c:valAx>
        <c:axId val="20628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03871"/>
        <c:crosses val="autoZero"/>
        <c:crossBetween val="midCat"/>
      </c:valAx>
      <c:valAx>
        <c:axId val="20628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Size</a:t>
            </a:r>
            <a:r>
              <a:rPr lang="en-NZ" baseline="0"/>
              <a:t> &amp; </a:t>
            </a:r>
            <a:r>
              <a:rPr lang="en-NZ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Rock_sizes_Periphyton_biomass!$B$9:$B$108</c:f>
              <c:numCache>
                <c:formatCode>0</c:formatCode>
                <c:ptCount val="100"/>
                <c:pt idx="0">
                  <c:v>160</c:v>
                </c:pt>
                <c:pt idx="1">
                  <c:v>215</c:v>
                </c:pt>
                <c:pt idx="2">
                  <c:v>230</c:v>
                </c:pt>
                <c:pt idx="3">
                  <c:v>190</c:v>
                </c:pt>
                <c:pt idx="4">
                  <c:v>235</c:v>
                </c:pt>
                <c:pt idx="5">
                  <c:v>240</c:v>
                </c:pt>
                <c:pt idx="6">
                  <c:v>165</c:v>
                </c:pt>
                <c:pt idx="7">
                  <c:v>139</c:v>
                </c:pt>
                <c:pt idx="8">
                  <c:v>160</c:v>
                </c:pt>
                <c:pt idx="9">
                  <c:v>265</c:v>
                </c:pt>
                <c:pt idx="10">
                  <c:v>180</c:v>
                </c:pt>
                <c:pt idx="11">
                  <c:v>195</c:v>
                </c:pt>
                <c:pt idx="12">
                  <c:v>130</c:v>
                </c:pt>
                <c:pt idx="13">
                  <c:v>170</c:v>
                </c:pt>
                <c:pt idx="14">
                  <c:v>260</c:v>
                </c:pt>
                <c:pt idx="15">
                  <c:v>210</c:v>
                </c:pt>
                <c:pt idx="16">
                  <c:v>150</c:v>
                </c:pt>
                <c:pt idx="17">
                  <c:v>140</c:v>
                </c:pt>
                <c:pt idx="18">
                  <c:v>145</c:v>
                </c:pt>
                <c:pt idx="19">
                  <c:v>170</c:v>
                </c:pt>
                <c:pt idx="20">
                  <c:v>160</c:v>
                </c:pt>
                <c:pt idx="21">
                  <c:v>140</c:v>
                </c:pt>
                <c:pt idx="22">
                  <c:v>145</c:v>
                </c:pt>
                <c:pt idx="23">
                  <c:v>170</c:v>
                </c:pt>
                <c:pt idx="24">
                  <c:v>125</c:v>
                </c:pt>
                <c:pt idx="25">
                  <c:v>150</c:v>
                </c:pt>
                <c:pt idx="26">
                  <c:v>140</c:v>
                </c:pt>
                <c:pt idx="27">
                  <c:v>180</c:v>
                </c:pt>
                <c:pt idx="28">
                  <c:v>230</c:v>
                </c:pt>
                <c:pt idx="29">
                  <c:v>250</c:v>
                </c:pt>
                <c:pt idx="30">
                  <c:v>130</c:v>
                </c:pt>
                <c:pt idx="31">
                  <c:v>200</c:v>
                </c:pt>
                <c:pt idx="32">
                  <c:v>150</c:v>
                </c:pt>
                <c:pt idx="33">
                  <c:v>150</c:v>
                </c:pt>
                <c:pt idx="34">
                  <c:v>165</c:v>
                </c:pt>
                <c:pt idx="35">
                  <c:v>160</c:v>
                </c:pt>
                <c:pt idx="36">
                  <c:v>135</c:v>
                </c:pt>
                <c:pt idx="37">
                  <c:v>150</c:v>
                </c:pt>
                <c:pt idx="38">
                  <c:v>200</c:v>
                </c:pt>
                <c:pt idx="39">
                  <c:v>270</c:v>
                </c:pt>
                <c:pt idx="40">
                  <c:v>210</c:v>
                </c:pt>
                <c:pt idx="41">
                  <c:v>210</c:v>
                </c:pt>
                <c:pt idx="42">
                  <c:v>220</c:v>
                </c:pt>
                <c:pt idx="43">
                  <c:v>145</c:v>
                </c:pt>
                <c:pt idx="44">
                  <c:v>120</c:v>
                </c:pt>
                <c:pt idx="45">
                  <c:v>100</c:v>
                </c:pt>
                <c:pt idx="46">
                  <c:v>85</c:v>
                </c:pt>
                <c:pt idx="47">
                  <c:v>210</c:v>
                </c:pt>
                <c:pt idx="48">
                  <c:v>210</c:v>
                </c:pt>
                <c:pt idx="49">
                  <c:v>315</c:v>
                </c:pt>
                <c:pt idx="50">
                  <c:v>245</c:v>
                </c:pt>
                <c:pt idx="51">
                  <c:v>270</c:v>
                </c:pt>
                <c:pt idx="52">
                  <c:v>140</c:v>
                </c:pt>
                <c:pt idx="53">
                  <c:v>200</c:v>
                </c:pt>
                <c:pt idx="54">
                  <c:v>150</c:v>
                </c:pt>
                <c:pt idx="55">
                  <c:v>130</c:v>
                </c:pt>
                <c:pt idx="56">
                  <c:v>105</c:v>
                </c:pt>
                <c:pt idx="57">
                  <c:v>120</c:v>
                </c:pt>
                <c:pt idx="58">
                  <c:v>205</c:v>
                </c:pt>
                <c:pt idx="59">
                  <c:v>170</c:v>
                </c:pt>
                <c:pt idx="60">
                  <c:v>165</c:v>
                </c:pt>
                <c:pt idx="61">
                  <c:v>155</c:v>
                </c:pt>
                <c:pt idx="62">
                  <c:v>145</c:v>
                </c:pt>
                <c:pt idx="63">
                  <c:v>180</c:v>
                </c:pt>
                <c:pt idx="64">
                  <c:v>145</c:v>
                </c:pt>
                <c:pt idx="65">
                  <c:v>150</c:v>
                </c:pt>
                <c:pt idx="66">
                  <c:v>200</c:v>
                </c:pt>
                <c:pt idx="67">
                  <c:v>180</c:v>
                </c:pt>
                <c:pt idx="68">
                  <c:v>150</c:v>
                </c:pt>
                <c:pt idx="69">
                  <c:v>250</c:v>
                </c:pt>
                <c:pt idx="70">
                  <c:v>140</c:v>
                </c:pt>
                <c:pt idx="71">
                  <c:v>180</c:v>
                </c:pt>
                <c:pt idx="72">
                  <c:v>100</c:v>
                </c:pt>
                <c:pt idx="73">
                  <c:v>100</c:v>
                </c:pt>
                <c:pt idx="74">
                  <c:v>150</c:v>
                </c:pt>
                <c:pt idx="75">
                  <c:v>150</c:v>
                </c:pt>
                <c:pt idx="76">
                  <c:v>190</c:v>
                </c:pt>
                <c:pt idx="77">
                  <c:v>140</c:v>
                </c:pt>
                <c:pt idx="78">
                  <c:v>115</c:v>
                </c:pt>
                <c:pt idx="79">
                  <c:v>100</c:v>
                </c:pt>
                <c:pt idx="80">
                  <c:v>295</c:v>
                </c:pt>
                <c:pt idx="81">
                  <c:v>235</c:v>
                </c:pt>
                <c:pt idx="82">
                  <c:v>105</c:v>
                </c:pt>
                <c:pt idx="83">
                  <c:v>160</c:v>
                </c:pt>
                <c:pt idx="84">
                  <c:v>210</c:v>
                </c:pt>
                <c:pt idx="85">
                  <c:v>160</c:v>
                </c:pt>
                <c:pt idx="86">
                  <c:v>110</c:v>
                </c:pt>
                <c:pt idx="87">
                  <c:v>180</c:v>
                </c:pt>
                <c:pt idx="88">
                  <c:v>130</c:v>
                </c:pt>
                <c:pt idx="89">
                  <c:v>90</c:v>
                </c:pt>
                <c:pt idx="90">
                  <c:v>210</c:v>
                </c:pt>
                <c:pt idx="91">
                  <c:v>220</c:v>
                </c:pt>
                <c:pt idx="92">
                  <c:v>195</c:v>
                </c:pt>
                <c:pt idx="93">
                  <c:v>150</c:v>
                </c:pt>
                <c:pt idx="94">
                  <c:v>140</c:v>
                </c:pt>
                <c:pt idx="95">
                  <c:v>155</c:v>
                </c:pt>
                <c:pt idx="96">
                  <c:v>200</c:v>
                </c:pt>
                <c:pt idx="97">
                  <c:v>115</c:v>
                </c:pt>
                <c:pt idx="98">
                  <c:v>190</c:v>
                </c:pt>
                <c:pt idx="99">
                  <c:v>255</c:v>
                </c:pt>
              </c:numCache>
            </c:numRef>
          </c:xVal>
          <c:yVal>
            <c:numRef>
              <c:f>Rock_sizes_Periphyton_biomass!$D$9:$D$108</c:f>
              <c:numCache>
                <c:formatCode>0</c:formatCode>
                <c:ptCount val="100"/>
                <c:pt idx="0">
                  <c:v>1100</c:v>
                </c:pt>
                <c:pt idx="1">
                  <c:v>1100</c:v>
                </c:pt>
                <c:pt idx="3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10">
                  <c:v>700</c:v>
                </c:pt>
                <c:pt idx="11">
                  <c:v>1100</c:v>
                </c:pt>
                <c:pt idx="12">
                  <c:v>500</c:v>
                </c:pt>
                <c:pt idx="13">
                  <c:v>700</c:v>
                </c:pt>
                <c:pt idx="14">
                  <c:v>1300</c:v>
                </c:pt>
                <c:pt idx="15">
                  <c:v>1400</c:v>
                </c:pt>
                <c:pt idx="16">
                  <c:v>800</c:v>
                </c:pt>
                <c:pt idx="17">
                  <c:v>400</c:v>
                </c:pt>
                <c:pt idx="18">
                  <c:v>500</c:v>
                </c:pt>
                <c:pt idx="19">
                  <c:v>400</c:v>
                </c:pt>
                <c:pt idx="20">
                  <c:v>800</c:v>
                </c:pt>
                <c:pt idx="21">
                  <c:v>300</c:v>
                </c:pt>
                <c:pt idx="22">
                  <c:v>800</c:v>
                </c:pt>
                <c:pt idx="23">
                  <c:v>800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1700</c:v>
                </c:pt>
                <c:pt idx="28">
                  <c:v>1700</c:v>
                </c:pt>
                <c:pt idx="29">
                  <c:v>2200</c:v>
                </c:pt>
                <c:pt idx="30">
                  <c:v>300</c:v>
                </c:pt>
                <c:pt idx="31">
                  <c:v>900</c:v>
                </c:pt>
                <c:pt idx="32">
                  <c:v>600</c:v>
                </c:pt>
                <c:pt idx="33">
                  <c:v>500</c:v>
                </c:pt>
                <c:pt idx="34">
                  <c:v>1100</c:v>
                </c:pt>
                <c:pt idx="35">
                  <c:v>900</c:v>
                </c:pt>
                <c:pt idx="36">
                  <c:v>300</c:v>
                </c:pt>
                <c:pt idx="37">
                  <c:v>400</c:v>
                </c:pt>
                <c:pt idx="38">
                  <c:v>2000</c:v>
                </c:pt>
                <c:pt idx="39">
                  <c:v>2600</c:v>
                </c:pt>
                <c:pt idx="40">
                  <c:v>300</c:v>
                </c:pt>
                <c:pt idx="41">
                  <c:v>600</c:v>
                </c:pt>
                <c:pt idx="42">
                  <c:v>1350</c:v>
                </c:pt>
                <c:pt idx="43">
                  <c:v>350</c:v>
                </c:pt>
                <c:pt idx="44">
                  <c:v>600</c:v>
                </c:pt>
                <c:pt idx="45">
                  <c:v>100</c:v>
                </c:pt>
                <c:pt idx="46">
                  <c:v>100</c:v>
                </c:pt>
                <c:pt idx="47">
                  <c:v>1600</c:v>
                </c:pt>
                <c:pt idx="48">
                  <c:v>1800</c:v>
                </c:pt>
                <c:pt idx="51">
                  <c:v>2500</c:v>
                </c:pt>
                <c:pt idx="52">
                  <c:v>600</c:v>
                </c:pt>
                <c:pt idx="53">
                  <c:v>1000</c:v>
                </c:pt>
                <c:pt idx="54">
                  <c:v>500</c:v>
                </c:pt>
                <c:pt idx="55">
                  <c:v>400</c:v>
                </c:pt>
                <c:pt idx="56">
                  <c:v>250</c:v>
                </c:pt>
                <c:pt idx="57">
                  <c:v>200</c:v>
                </c:pt>
                <c:pt idx="58">
                  <c:v>500</c:v>
                </c:pt>
                <c:pt idx="59">
                  <c:v>400</c:v>
                </c:pt>
                <c:pt idx="60">
                  <c:v>350</c:v>
                </c:pt>
                <c:pt idx="61">
                  <c:v>350</c:v>
                </c:pt>
                <c:pt idx="62">
                  <c:v>700</c:v>
                </c:pt>
                <c:pt idx="63">
                  <c:v>600</c:v>
                </c:pt>
                <c:pt idx="64">
                  <c:v>300</c:v>
                </c:pt>
                <c:pt idx="65">
                  <c:v>600</c:v>
                </c:pt>
                <c:pt idx="66">
                  <c:v>1500</c:v>
                </c:pt>
                <c:pt idx="67">
                  <c:v>1200</c:v>
                </c:pt>
                <c:pt idx="68">
                  <c:v>1000</c:v>
                </c:pt>
                <c:pt idx="70">
                  <c:v>600</c:v>
                </c:pt>
                <c:pt idx="71">
                  <c:v>1200</c:v>
                </c:pt>
                <c:pt idx="72">
                  <c:v>250</c:v>
                </c:pt>
                <c:pt idx="73">
                  <c:v>100</c:v>
                </c:pt>
                <c:pt idx="74">
                  <c:v>100</c:v>
                </c:pt>
                <c:pt idx="75">
                  <c:v>650</c:v>
                </c:pt>
                <c:pt idx="76">
                  <c:v>400</c:v>
                </c:pt>
                <c:pt idx="77">
                  <c:v>450</c:v>
                </c:pt>
                <c:pt idx="78">
                  <c:v>250</c:v>
                </c:pt>
                <c:pt idx="79">
                  <c:v>300</c:v>
                </c:pt>
                <c:pt idx="81">
                  <c:v>1200</c:v>
                </c:pt>
                <c:pt idx="82">
                  <c:v>300</c:v>
                </c:pt>
                <c:pt idx="83">
                  <c:v>350</c:v>
                </c:pt>
                <c:pt idx="84">
                  <c:v>1300</c:v>
                </c:pt>
                <c:pt idx="85">
                  <c:v>800</c:v>
                </c:pt>
                <c:pt idx="86">
                  <c:v>350</c:v>
                </c:pt>
                <c:pt idx="87">
                  <c:v>800</c:v>
                </c:pt>
                <c:pt idx="88">
                  <c:v>400</c:v>
                </c:pt>
                <c:pt idx="89">
                  <c:v>100</c:v>
                </c:pt>
                <c:pt idx="90">
                  <c:v>2250</c:v>
                </c:pt>
                <c:pt idx="91">
                  <c:v>1200</c:v>
                </c:pt>
                <c:pt idx="92">
                  <c:v>700</c:v>
                </c:pt>
                <c:pt idx="93">
                  <c:v>700</c:v>
                </c:pt>
                <c:pt idx="94">
                  <c:v>500</c:v>
                </c:pt>
                <c:pt idx="95">
                  <c:v>300</c:v>
                </c:pt>
                <c:pt idx="96">
                  <c:v>1300</c:v>
                </c:pt>
                <c:pt idx="97">
                  <c:v>150</c:v>
                </c:pt>
                <c:pt idx="98">
                  <c:v>950</c:v>
                </c:pt>
                <c:pt idx="99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D-48E6-B3B2-964E3C8C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92223"/>
        <c:axId val="1913693183"/>
      </c:scatterChart>
      <c:valAx>
        <c:axId val="19136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93183"/>
        <c:crosses val="autoZero"/>
        <c:crossBetween val="midCat"/>
      </c:valAx>
      <c:valAx>
        <c:axId val="19136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Weight &amp;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Rock_sizes_Periphyton_biomass!$C$9:$C$108</c:f>
              <c:numCache>
                <c:formatCode>0</c:formatCode>
                <c:ptCount val="100"/>
                <c:pt idx="0">
                  <c:v>2396</c:v>
                </c:pt>
                <c:pt idx="1">
                  <c:v>2806</c:v>
                </c:pt>
                <c:pt idx="2">
                  <c:v>5781</c:v>
                </c:pt>
                <c:pt idx="3">
                  <c:v>2199</c:v>
                </c:pt>
                <c:pt idx="4">
                  <c:v>1972</c:v>
                </c:pt>
                <c:pt idx="5">
                  <c:v>5053</c:v>
                </c:pt>
                <c:pt idx="6">
                  <c:v>1719</c:v>
                </c:pt>
                <c:pt idx="7">
                  <c:v>1211</c:v>
                </c:pt>
                <c:pt idx="8">
                  <c:v>1640</c:v>
                </c:pt>
                <c:pt idx="9">
                  <c:v>4691</c:v>
                </c:pt>
                <c:pt idx="10">
                  <c:v>1700</c:v>
                </c:pt>
                <c:pt idx="11">
                  <c:v>2329</c:v>
                </c:pt>
                <c:pt idx="12">
                  <c:v>1057</c:v>
                </c:pt>
                <c:pt idx="13">
                  <c:v>1589</c:v>
                </c:pt>
                <c:pt idx="14">
                  <c:v>2812</c:v>
                </c:pt>
                <c:pt idx="15">
                  <c:v>3077</c:v>
                </c:pt>
                <c:pt idx="16">
                  <c:v>1695</c:v>
                </c:pt>
                <c:pt idx="17">
                  <c:v>640</c:v>
                </c:pt>
                <c:pt idx="18">
                  <c:v>1466</c:v>
                </c:pt>
                <c:pt idx="19">
                  <c:v>1073</c:v>
                </c:pt>
                <c:pt idx="20">
                  <c:v>1788</c:v>
                </c:pt>
                <c:pt idx="21">
                  <c:v>805</c:v>
                </c:pt>
                <c:pt idx="22">
                  <c:v>1477</c:v>
                </c:pt>
                <c:pt idx="23">
                  <c:v>1719</c:v>
                </c:pt>
                <c:pt idx="24">
                  <c:v>517</c:v>
                </c:pt>
                <c:pt idx="25">
                  <c:v>1397</c:v>
                </c:pt>
                <c:pt idx="26">
                  <c:v>1235</c:v>
                </c:pt>
                <c:pt idx="27">
                  <c:v>3553</c:v>
                </c:pt>
                <c:pt idx="28">
                  <c:v>4258</c:v>
                </c:pt>
                <c:pt idx="29">
                  <c:v>5376</c:v>
                </c:pt>
                <c:pt idx="30">
                  <c:v>658</c:v>
                </c:pt>
                <c:pt idx="31">
                  <c:v>1961</c:v>
                </c:pt>
                <c:pt idx="32">
                  <c:v>1346</c:v>
                </c:pt>
                <c:pt idx="33">
                  <c:v>917</c:v>
                </c:pt>
                <c:pt idx="34">
                  <c:v>2602</c:v>
                </c:pt>
                <c:pt idx="35">
                  <c:v>1843</c:v>
                </c:pt>
                <c:pt idx="36">
                  <c:v>682</c:v>
                </c:pt>
                <c:pt idx="37">
                  <c:v>1025</c:v>
                </c:pt>
                <c:pt idx="38">
                  <c:v>4481</c:v>
                </c:pt>
                <c:pt idx="39">
                  <c:v>5996</c:v>
                </c:pt>
                <c:pt idx="40">
                  <c:v>866</c:v>
                </c:pt>
                <c:pt idx="41">
                  <c:v>1528</c:v>
                </c:pt>
                <c:pt idx="42">
                  <c:v>2176</c:v>
                </c:pt>
                <c:pt idx="43">
                  <c:v>891</c:v>
                </c:pt>
                <c:pt idx="44">
                  <c:v>1343</c:v>
                </c:pt>
                <c:pt idx="45">
                  <c:v>281</c:v>
                </c:pt>
                <c:pt idx="46">
                  <c:v>184</c:v>
                </c:pt>
                <c:pt idx="47">
                  <c:v>3348</c:v>
                </c:pt>
                <c:pt idx="48">
                  <c:v>3252</c:v>
                </c:pt>
                <c:pt idx="49">
                  <c:v>10157</c:v>
                </c:pt>
                <c:pt idx="50">
                  <c:v>5335</c:v>
                </c:pt>
                <c:pt idx="51">
                  <c:v>4843</c:v>
                </c:pt>
                <c:pt idx="52">
                  <c:v>1314</c:v>
                </c:pt>
                <c:pt idx="53">
                  <c:v>2353</c:v>
                </c:pt>
                <c:pt idx="54">
                  <c:v>1212</c:v>
                </c:pt>
                <c:pt idx="55">
                  <c:v>949</c:v>
                </c:pt>
                <c:pt idx="56">
                  <c:v>651</c:v>
                </c:pt>
                <c:pt idx="57">
                  <c:v>500</c:v>
                </c:pt>
                <c:pt idx="58">
                  <c:v>1245</c:v>
                </c:pt>
                <c:pt idx="59">
                  <c:v>1035</c:v>
                </c:pt>
                <c:pt idx="60">
                  <c:v>894</c:v>
                </c:pt>
                <c:pt idx="61">
                  <c:v>964</c:v>
                </c:pt>
                <c:pt idx="62">
                  <c:v>1577</c:v>
                </c:pt>
                <c:pt idx="63">
                  <c:v>1411</c:v>
                </c:pt>
                <c:pt idx="64">
                  <c:v>737</c:v>
                </c:pt>
                <c:pt idx="65">
                  <c:v>1100</c:v>
                </c:pt>
                <c:pt idx="66">
                  <c:v>3449</c:v>
                </c:pt>
                <c:pt idx="67">
                  <c:v>2754</c:v>
                </c:pt>
                <c:pt idx="68">
                  <c:v>2085</c:v>
                </c:pt>
                <c:pt idx="69">
                  <c:v>5585</c:v>
                </c:pt>
                <c:pt idx="70">
                  <c:v>1626</c:v>
                </c:pt>
                <c:pt idx="71">
                  <c:v>2308</c:v>
                </c:pt>
                <c:pt idx="72">
                  <c:v>560</c:v>
                </c:pt>
                <c:pt idx="73">
                  <c:v>270</c:v>
                </c:pt>
                <c:pt idx="74">
                  <c:v>416</c:v>
                </c:pt>
                <c:pt idx="75">
                  <c:v>1380</c:v>
                </c:pt>
                <c:pt idx="76">
                  <c:v>1007</c:v>
                </c:pt>
                <c:pt idx="77">
                  <c:v>1039</c:v>
                </c:pt>
                <c:pt idx="78">
                  <c:v>555</c:v>
                </c:pt>
                <c:pt idx="79">
                  <c:v>647</c:v>
                </c:pt>
                <c:pt idx="80">
                  <c:v>3942</c:v>
                </c:pt>
                <c:pt idx="81">
                  <c:v>2926</c:v>
                </c:pt>
                <c:pt idx="82">
                  <c:v>557</c:v>
                </c:pt>
                <c:pt idx="83">
                  <c:v>874</c:v>
                </c:pt>
                <c:pt idx="84">
                  <c:v>2477</c:v>
                </c:pt>
                <c:pt idx="85">
                  <c:v>2081</c:v>
                </c:pt>
                <c:pt idx="86">
                  <c:v>636</c:v>
                </c:pt>
                <c:pt idx="87">
                  <c:v>2095</c:v>
                </c:pt>
                <c:pt idx="88">
                  <c:v>900</c:v>
                </c:pt>
                <c:pt idx="89">
                  <c:v>203</c:v>
                </c:pt>
                <c:pt idx="90">
                  <c:v>5072</c:v>
                </c:pt>
                <c:pt idx="91">
                  <c:v>3020</c:v>
                </c:pt>
                <c:pt idx="92">
                  <c:v>1562</c:v>
                </c:pt>
                <c:pt idx="93">
                  <c:v>1415</c:v>
                </c:pt>
                <c:pt idx="94">
                  <c:v>1153</c:v>
                </c:pt>
                <c:pt idx="95">
                  <c:v>712</c:v>
                </c:pt>
                <c:pt idx="96">
                  <c:v>3185</c:v>
                </c:pt>
                <c:pt idx="97">
                  <c:v>360</c:v>
                </c:pt>
                <c:pt idx="98">
                  <c:v>1936</c:v>
                </c:pt>
                <c:pt idx="99">
                  <c:v>3291</c:v>
                </c:pt>
              </c:numCache>
            </c:numRef>
          </c:xVal>
          <c:yVal>
            <c:numRef>
              <c:f>Rock_sizes_Periphyton_biomass!$D$9:$D$108</c:f>
              <c:numCache>
                <c:formatCode>0</c:formatCode>
                <c:ptCount val="100"/>
                <c:pt idx="0">
                  <c:v>1100</c:v>
                </c:pt>
                <c:pt idx="1">
                  <c:v>1100</c:v>
                </c:pt>
                <c:pt idx="3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10">
                  <c:v>700</c:v>
                </c:pt>
                <c:pt idx="11">
                  <c:v>1100</c:v>
                </c:pt>
                <c:pt idx="12">
                  <c:v>500</c:v>
                </c:pt>
                <c:pt idx="13">
                  <c:v>700</c:v>
                </c:pt>
                <c:pt idx="14">
                  <c:v>1300</c:v>
                </c:pt>
                <c:pt idx="15">
                  <c:v>1400</c:v>
                </c:pt>
                <c:pt idx="16">
                  <c:v>800</c:v>
                </c:pt>
                <c:pt idx="17">
                  <c:v>400</c:v>
                </c:pt>
                <c:pt idx="18">
                  <c:v>500</c:v>
                </c:pt>
                <c:pt idx="19">
                  <c:v>400</c:v>
                </c:pt>
                <c:pt idx="20">
                  <c:v>800</c:v>
                </c:pt>
                <c:pt idx="21">
                  <c:v>300</c:v>
                </c:pt>
                <c:pt idx="22">
                  <c:v>800</c:v>
                </c:pt>
                <c:pt idx="23">
                  <c:v>800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1700</c:v>
                </c:pt>
                <c:pt idx="28">
                  <c:v>1700</c:v>
                </c:pt>
                <c:pt idx="29">
                  <c:v>2200</c:v>
                </c:pt>
                <c:pt idx="30">
                  <c:v>300</c:v>
                </c:pt>
                <c:pt idx="31">
                  <c:v>900</c:v>
                </c:pt>
                <c:pt idx="32">
                  <c:v>600</c:v>
                </c:pt>
                <c:pt idx="33">
                  <c:v>500</c:v>
                </c:pt>
                <c:pt idx="34">
                  <c:v>1100</c:v>
                </c:pt>
                <c:pt idx="35">
                  <c:v>900</c:v>
                </c:pt>
                <c:pt idx="36">
                  <c:v>300</c:v>
                </c:pt>
                <c:pt idx="37">
                  <c:v>400</c:v>
                </c:pt>
                <c:pt idx="38">
                  <c:v>2000</c:v>
                </c:pt>
                <c:pt idx="39">
                  <c:v>2600</c:v>
                </c:pt>
                <c:pt idx="40">
                  <c:v>300</c:v>
                </c:pt>
                <c:pt idx="41">
                  <c:v>600</c:v>
                </c:pt>
                <c:pt idx="42">
                  <c:v>1350</c:v>
                </c:pt>
                <c:pt idx="43">
                  <c:v>350</c:v>
                </c:pt>
                <c:pt idx="44">
                  <c:v>600</c:v>
                </c:pt>
                <c:pt idx="45">
                  <c:v>100</c:v>
                </c:pt>
                <c:pt idx="46">
                  <c:v>100</c:v>
                </c:pt>
                <c:pt idx="47">
                  <c:v>1600</c:v>
                </c:pt>
                <c:pt idx="48">
                  <c:v>1800</c:v>
                </c:pt>
                <c:pt idx="51">
                  <c:v>2500</c:v>
                </c:pt>
                <c:pt idx="52">
                  <c:v>600</c:v>
                </c:pt>
                <c:pt idx="53">
                  <c:v>1000</c:v>
                </c:pt>
                <c:pt idx="54">
                  <c:v>500</c:v>
                </c:pt>
                <c:pt idx="55">
                  <c:v>400</c:v>
                </c:pt>
                <c:pt idx="56">
                  <c:v>250</c:v>
                </c:pt>
                <c:pt idx="57">
                  <c:v>200</c:v>
                </c:pt>
                <c:pt idx="58">
                  <c:v>500</c:v>
                </c:pt>
                <c:pt idx="59">
                  <c:v>400</c:v>
                </c:pt>
                <c:pt idx="60">
                  <c:v>350</c:v>
                </c:pt>
                <c:pt idx="61">
                  <c:v>350</c:v>
                </c:pt>
                <c:pt idx="62">
                  <c:v>700</c:v>
                </c:pt>
                <c:pt idx="63">
                  <c:v>600</c:v>
                </c:pt>
                <c:pt idx="64">
                  <c:v>300</c:v>
                </c:pt>
                <c:pt idx="65">
                  <c:v>600</c:v>
                </c:pt>
                <c:pt idx="66">
                  <c:v>1500</c:v>
                </c:pt>
                <c:pt idx="67">
                  <c:v>1200</c:v>
                </c:pt>
                <c:pt idx="68">
                  <c:v>1000</c:v>
                </c:pt>
                <c:pt idx="70">
                  <c:v>600</c:v>
                </c:pt>
                <c:pt idx="71">
                  <c:v>1200</c:v>
                </c:pt>
                <c:pt idx="72">
                  <c:v>250</c:v>
                </c:pt>
                <c:pt idx="73">
                  <c:v>100</c:v>
                </c:pt>
                <c:pt idx="74">
                  <c:v>100</c:v>
                </c:pt>
                <c:pt idx="75">
                  <c:v>650</c:v>
                </c:pt>
                <c:pt idx="76">
                  <c:v>400</c:v>
                </c:pt>
                <c:pt idx="77">
                  <c:v>450</c:v>
                </c:pt>
                <c:pt idx="78">
                  <c:v>250</c:v>
                </c:pt>
                <c:pt idx="79">
                  <c:v>300</c:v>
                </c:pt>
                <c:pt idx="81">
                  <c:v>1200</c:v>
                </c:pt>
                <c:pt idx="82">
                  <c:v>300</c:v>
                </c:pt>
                <c:pt idx="83">
                  <c:v>350</c:v>
                </c:pt>
                <c:pt idx="84">
                  <c:v>1300</c:v>
                </c:pt>
                <c:pt idx="85">
                  <c:v>800</c:v>
                </c:pt>
                <c:pt idx="86">
                  <c:v>350</c:v>
                </c:pt>
                <c:pt idx="87">
                  <c:v>800</c:v>
                </c:pt>
                <c:pt idx="88">
                  <c:v>400</c:v>
                </c:pt>
                <c:pt idx="89">
                  <c:v>100</c:v>
                </c:pt>
                <c:pt idx="90">
                  <c:v>2250</c:v>
                </c:pt>
                <c:pt idx="91">
                  <c:v>1200</c:v>
                </c:pt>
                <c:pt idx="92">
                  <c:v>700</c:v>
                </c:pt>
                <c:pt idx="93">
                  <c:v>700</c:v>
                </c:pt>
                <c:pt idx="94">
                  <c:v>500</c:v>
                </c:pt>
                <c:pt idx="95">
                  <c:v>300</c:v>
                </c:pt>
                <c:pt idx="96">
                  <c:v>1300</c:v>
                </c:pt>
                <c:pt idx="97">
                  <c:v>150</c:v>
                </c:pt>
                <c:pt idx="98">
                  <c:v>950</c:v>
                </c:pt>
                <c:pt idx="99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D-49CE-B369-34AA0A20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1023"/>
        <c:axId val="2112263423"/>
      </c:scatterChart>
      <c:valAx>
        <c:axId val="211226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63423"/>
        <c:crosses val="autoZero"/>
        <c:crossBetween val="midCat"/>
      </c:valAx>
      <c:valAx>
        <c:axId val="2112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6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16467B3B-BCCB-4B6E-A2D3-F16362132044}">
          <cx:tx>
            <cx:txData>
              <cx:f>_xlchart.v1.1</cx:f>
              <cx:v>WW (g)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143827</xdr:colOff>
      <xdr:row>9</xdr:row>
      <xdr:rowOff>64770</xdr:rowOff>
    </xdr:from>
    <xdr:to>
      <xdr:col>15</xdr:col>
      <xdr:colOff>618172</xdr:colOff>
      <xdr:row>24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26FA9-C7DB-2FA0-DBEA-FE46BEA3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132397</xdr:colOff>
      <xdr:row>26</xdr:row>
      <xdr:rowOff>114300</xdr:rowOff>
    </xdr:from>
    <xdr:to>
      <xdr:col>15</xdr:col>
      <xdr:colOff>610552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8163A-7DAA-1F52-DDC8-0CEC4286F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113347</xdr:colOff>
      <xdr:row>43</xdr:row>
      <xdr:rowOff>123825</xdr:rowOff>
    </xdr:from>
    <xdr:to>
      <xdr:col>15</xdr:col>
      <xdr:colOff>610552</xdr:colOff>
      <xdr:row>58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7DF5-A427-A603-F733-76F55B93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436245</xdr:colOff>
      <xdr:row>5</xdr:row>
      <xdr:rowOff>113347</xdr:rowOff>
    </xdr:from>
    <xdr:to>
      <xdr:col>16</xdr:col>
      <xdr:colOff>542925</xdr:colOff>
      <xdr:row>20</xdr:row>
      <xdr:rowOff>134302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BECB1C-C15A-FC68-746D-62320ADD9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4670" y="1018222"/>
              <a:ext cx="457200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3E0F-6C63-463C-B5DC-E3E37D199956}">
  <dimension ref="A1:AJ61"/>
  <sheetViews>
    <sheetView tabSelected="1"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52" sqref="G52:G61"/>
    </sheetView>
  </sheetViews>
  <sheetFormatPr defaultRowHeight="14.4" x14ac:dyDescent="0.55000000000000004"/>
  <cols>
    <col min="1" max="1" width="6.7890625" bestFit="1" customWidth="1"/>
    <col min="2" max="2" width="3.62890625" bestFit="1" customWidth="1"/>
    <col min="3" max="3" width="12.41796875" bestFit="1" customWidth="1"/>
    <col min="4" max="4" width="16" bestFit="1" customWidth="1"/>
    <col min="5" max="5" width="12.578125" customWidth="1"/>
    <col min="6" max="6" width="6.1015625" bestFit="1" customWidth="1"/>
    <col min="7" max="7" width="9.26171875" bestFit="1" customWidth="1"/>
    <col min="8" max="8" width="6.7890625" bestFit="1" customWidth="1"/>
    <col min="9" max="9" width="12.26171875" bestFit="1" customWidth="1"/>
    <col min="10" max="10" width="11.68359375" bestFit="1" customWidth="1"/>
    <col min="11" max="11" width="8.20703125" bestFit="1" customWidth="1"/>
    <col min="12" max="12" width="5.734375" bestFit="1" customWidth="1"/>
    <col min="13" max="13" width="16.62890625" bestFit="1" customWidth="1"/>
    <col min="14" max="14" width="7.9453125" bestFit="1" customWidth="1"/>
    <col min="15" max="15" width="18.62890625" bestFit="1" customWidth="1"/>
    <col min="16" max="16" width="16" bestFit="1" customWidth="1"/>
    <col min="17" max="17" width="17.68359375" bestFit="1" customWidth="1"/>
    <col min="18" max="18" width="39.9453125" bestFit="1" customWidth="1"/>
    <col min="19" max="19" width="11.68359375" bestFit="1" customWidth="1"/>
    <col min="20" max="20" width="12.3671875" bestFit="1" customWidth="1"/>
    <col min="21" max="21" width="17.68359375" bestFit="1" customWidth="1"/>
    <col min="22" max="22" width="15.3125" bestFit="1" customWidth="1"/>
    <col min="23" max="23" width="16.1015625" bestFit="1" customWidth="1"/>
    <col min="24" max="24" width="11.20703125" bestFit="1" customWidth="1"/>
    <col min="25" max="25" width="10.47265625" bestFit="1" customWidth="1"/>
    <col min="26" max="26" width="8.47265625" bestFit="1" customWidth="1"/>
    <col min="27" max="27" width="11.3671875" bestFit="1" customWidth="1"/>
    <col min="28" max="28" width="18.62890625" bestFit="1" customWidth="1"/>
    <col min="29" max="29" width="13.47265625" bestFit="1" customWidth="1"/>
    <col min="30" max="30" width="12.3125" bestFit="1" customWidth="1"/>
    <col min="31" max="31" width="11.3671875" bestFit="1" customWidth="1"/>
    <col min="32" max="32" width="11" bestFit="1" customWidth="1"/>
    <col min="33" max="33" width="8.1015625" bestFit="1" customWidth="1"/>
    <col min="34" max="34" width="3.68359375" bestFit="1" customWidth="1"/>
    <col min="35" max="35" width="12.15625" bestFit="1" customWidth="1"/>
    <col min="36" max="36" width="7.3125" bestFit="1" customWidth="1"/>
  </cols>
  <sheetData>
    <row r="1" spans="1:36" s="1" customFormat="1" ht="14.65" customHeight="1" x14ac:dyDescent="0.55000000000000004">
      <c r="A1" s="1" t="s">
        <v>9</v>
      </c>
      <c r="B1" s="1" t="s">
        <v>212</v>
      </c>
      <c r="C1" s="1" t="s">
        <v>211</v>
      </c>
      <c r="D1" s="1" t="s">
        <v>10</v>
      </c>
      <c r="E1" s="1" t="s">
        <v>322</v>
      </c>
      <c r="F1" s="1" t="s">
        <v>0</v>
      </c>
      <c r="G1" s="1" t="s">
        <v>49</v>
      </c>
      <c r="H1" s="1" t="s">
        <v>46</v>
      </c>
      <c r="I1" s="1" t="s">
        <v>11</v>
      </c>
      <c r="J1" s="1" t="s">
        <v>12</v>
      </c>
      <c r="K1" s="1" t="s">
        <v>27</v>
      </c>
      <c r="L1" s="1" t="s">
        <v>47</v>
      </c>
      <c r="M1" s="1" t="s">
        <v>28</v>
      </c>
      <c r="N1" s="1" t="s">
        <v>13</v>
      </c>
      <c r="O1" s="1" t="s">
        <v>48</v>
      </c>
      <c r="P1" s="1" t="s">
        <v>29</v>
      </c>
      <c r="Q1" s="1" t="s">
        <v>30</v>
      </c>
      <c r="R1" s="1" t="s">
        <v>32</v>
      </c>
      <c r="S1" s="1" t="s">
        <v>275</v>
      </c>
      <c r="T1" s="1" t="s">
        <v>276</v>
      </c>
      <c r="U1" s="1" t="s">
        <v>31</v>
      </c>
      <c r="V1" s="1" t="s">
        <v>258</v>
      </c>
      <c r="W1" s="1" t="s">
        <v>152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</row>
    <row r="2" spans="1:36" x14ac:dyDescent="0.55000000000000004">
      <c r="A2">
        <v>3</v>
      </c>
      <c r="B2">
        <f>A2-2</f>
        <v>1</v>
      </c>
      <c r="C2">
        <v>0</v>
      </c>
      <c r="D2" s="15" t="str">
        <f>A2 &amp; "_"&amp; C2</f>
        <v>3_0</v>
      </c>
      <c r="E2" s="15" t="str">
        <f>B2 &amp; "_"&amp; C2</f>
        <v>1_0</v>
      </c>
      <c r="F2" t="s">
        <v>254</v>
      </c>
      <c r="G2" t="s">
        <v>268</v>
      </c>
      <c r="H2">
        <v>54730</v>
      </c>
      <c r="I2">
        <v>-38.052667307926299</v>
      </c>
      <c r="J2">
        <v>176.47144524762001</v>
      </c>
      <c r="K2">
        <f>15*10</f>
        <v>150</v>
      </c>
      <c r="L2" t="s">
        <v>143</v>
      </c>
      <c r="M2" s="20">
        <v>45692.125</v>
      </c>
      <c r="N2" t="s">
        <v>144</v>
      </c>
      <c r="O2">
        <v>3.5</v>
      </c>
      <c r="P2">
        <v>1</v>
      </c>
      <c r="Q2">
        <v>1</v>
      </c>
      <c r="S2">
        <v>82.9889020904982</v>
      </c>
      <c r="T2">
        <v>164.45001973472199</v>
      </c>
      <c r="U2">
        <v>163.76826676324899</v>
      </c>
      <c r="V2">
        <f>20/U2</f>
        <v>0.1221237813361787</v>
      </c>
      <c r="W2">
        <v>3040</v>
      </c>
      <c r="X2" s="17">
        <v>33805828.956973203</v>
      </c>
      <c r="Y2" s="17">
        <v>60736.7219804458</v>
      </c>
      <c r="Z2" s="18">
        <f>X2/1000000</f>
        <v>33.805828956973201</v>
      </c>
      <c r="AA2" s="18">
        <f>Y2/1000</f>
        <v>60.7367219804458</v>
      </c>
      <c r="AB2">
        <v>123.7</v>
      </c>
      <c r="AC2">
        <v>31.5</v>
      </c>
      <c r="AD2">
        <v>124</v>
      </c>
      <c r="AE2">
        <v>1.042</v>
      </c>
      <c r="AF2">
        <v>279</v>
      </c>
      <c r="AG2" t="s">
        <v>50</v>
      </c>
      <c r="AH2">
        <v>3.8</v>
      </c>
      <c r="AI2" t="str">
        <f t="shared" ref="AI2" si="0">IF(ISBLANK(AH2), "", IF(AH2&lt;=2, "Microtrophic", IF(AH2&lt;=3, "Oligotrophic", IF(AH2&lt;=4, "Mesotrophic", IF(AH2&lt;=5, "Eutrophic", "Supertrophic")))))</f>
        <v>Mesotrophic</v>
      </c>
      <c r="AJ2">
        <v>24.8</v>
      </c>
    </row>
    <row r="3" spans="1:36" x14ac:dyDescent="0.55000000000000004">
      <c r="A3">
        <v>4</v>
      </c>
      <c r="B3">
        <f t="shared" ref="B3:B41" si="1">A3-2</f>
        <v>2</v>
      </c>
      <c r="C3">
        <v>0</v>
      </c>
      <c r="D3" s="15" t="str">
        <f t="shared" ref="D3:D61" si="2">A3 &amp; "_"&amp; C3</f>
        <v>4_0</v>
      </c>
      <c r="E3" s="15" t="str">
        <f t="shared" ref="E3:E61" si="3">B3 &amp; "_"&amp; C3</f>
        <v>2_0</v>
      </c>
      <c r="F3" t="s">
        <v>254</v>
      </c>
      <c r="G3" t="s">
        <v>14</v>
      </c>
      <c r="H3">
        <v>54730</v>
      </c>
      <c r="I3">
        <v>-38.052913557037101</v>
      </c>
      <c r="J3">
        <v>176.47093312757499</v>
      </c>
      <c r="K3">
        <f t="shared" ref="K3:K61" si="4">15*10</f>
        <v>150</v>
      </c>
      <c r="L3" t="s">
        <v>143</v>
      </c>
      <c r="M3" s="20">
        <v>45692.145833333336</v>
      </c>
      <c r="N3" t="s">
        <v>144</v>
      </c>
      <c r="O3">
        <v>3.5</v>
      </c>
      <c r="P3">
        <v>1</v>
      </c>
      <c r="Q3">
        <v>1</v>
      </c>
      <c r="R3" t="s">
        <v>148</v>
      </c>
      <c r="S3">
        <v>105.445519540936</v>
      </c>
      <c r="T3">
        <v>180.302636624781</v>
      </c>
      <c r="U3">
        <v>179.82545515734</v>
      </c>
      <c r="V3">
        <f t="shared" ref="V3:V41" si="5">20/U3</f>
        <v>0.11121895942096079</v>
      </c>
      <c r="X3" s="17">
        <v>33805828.956973203</v>
      </c>
      <c r="Y3" s="17">
        <v>60736.7219804458</v>
      </c>
      <c r="Z3" s="18">
        <f>X3/1000000</f>
        <v>33.805828956973201</v>
      </c>
      <c r="AA3" s="18">
        <f>Y3/1000</f>
        <v>60.7367219804458</v>
      </c>
      <c r="AB3">
        <v>123.7</v>
      </c>
      <c r="AC3">
        <v>31.5</v>
      </c>
      <c r="AD3">
        <v>124</v>
      </c>
      <c r="AE3">
        <v>1.042</v>
      </c>
      <c r="AF3">
        <v>279</v>
      </c>
      <c r="AG3" t="s">
        <v>50</v>
      </c>
      <c r="AH3">
        <v>3.8</v>
      </c>
      <c r="AI3" t="str">
        <f t="shared" ref="AI3:AI4" si="6">IF(ISBLANK(AH3), "", IF(AH3&lt;=2, "Microtrophic", IF(AH3&lt;=3, "Oligotrophic", IF(AH3&lt;=4, "Mesotrophic", IF(AH3&lt;=5, "Eutrophic", "Supertrophic")))))</f>
        <v>Mesotrophic</v>
      </c>
      <c r="AJ3">
        <v>24.8</v>
      </c>
    </row>
    <row r="4" spans="1:36" x14ac:dyDescent="0.55000000000000004">
      <c r="A4">
        <v>5</v>
      </c>
      <c r="B4">
        <f t="shared" si="1"/>
        <v>3</v>
      </c>
      <c r="C4">
        <v>0</v>
      </c>
      <c r="D4" s="15" t="str">
        <f t="shared" si="2"/>
        <v>5_0</v>
      </c>
      <c r="E4" s="15" t="str">
        <f t="shared" si="3"/>
        <v>3_0</v>
      </c>
      <c r="F4" t="s">
        <v>254</v>
      </c>
      <c r="G4" t="s">
        <v>268</v>
      </c>
      <c r="H4">
        <v>54730</v>
      </c>
      <c r="I4">
        <v>-38.047698100528002</v>
      </c>
      <c r="J4">
        <v>176.341122568488</v>
      </c>
      <c r="K4">
        <f t="shared" si="4"/>
        <v>150</v>
      </c>
      <c r="L4" t="s">
        <v>145</v>
      </c>
      <c r="M4" s="20">
        <v>45692.534722222219</v>
      </c>
      <c r="N4" t="s">
        <v>144</v>
      </c>
      <c r="O4">
        <v>3</v>
      </c>
      <c r="P4">
        <v>1</v>
      </c>
      <c r="Q4">
        <v>1</v>
      </c>
      <c r="R4" t="s">
        <v>146</v>
      </c>
      <c r="S4">
        <v>75.103042747696705</v>
      </c>
      <c r="T4">
        <v>1429.22107248619</v>
      </c>
      <c r="U4">
        <v>1427.7637166842901</v>
      </c>
      <c r="V4">
        <f t="shared" si="5"/>
        <v>1.4007920054479463E-2</v>
      </c>
      <c r="W4">
        <v>1980</v>
      </c>
      <c r="X4" s="17">
        <v>33805828.956973203</v>
      </c>
      <c r="Y4" s="17">
        <v>60736.7219804458</v>
      </c>
      <c r="Z4" s="18">
        <f t="shared" ref="Z4:Z21" si="7">X4/1000000</f>
        <v>33.805828956973201</v>
      </c>
      <c r="AA4" s="18">
        <f t="shared" ref="AA4:AA21" si="8">Y4/1000</f>
        <v>60.7367219804458</v>
      </c>
      <c r="AB4">
        <v>123.7</v>
      </c>
      <c r="AC4">
        <v>31.5</v>
      </c>
      <c r="AD4">
        <v>124</v>
      </c>
      <c r="AE4">
        <v>1.042</v>
      </c>
      <c r="AF4">
        <v>279</v>
      </c>
      <c r="AG4" t="s">
        <v>50</v>
      </c>
      <c r="AH4">
        <v>3.8</v>
      </c>
      <c r="AI4" t="str">
        <f t="shared" si="6"/>
        <v>Mesotrophic</v>
      </c>
      <c r="AJ4">
        <v>24.8</v>
      </c>
    </row>
    <row r="5" spans="1:36" x14ac:dyDescent="0.55000000000000004">
      <c r="A5">
        <v>6</v>
      </c>
      <c r="B5">
        <f t="shared" si="1"/>
        <v>4</v>
      </c>
      <c r="C5">
        <v>0</v>
      </c>
      <c r="D5" s="15" t="str">
        <f t="shared" si="2"/>
        <v>6_0</v>
      </c>
      <c r="E5" s="15" t="str">
        <f t="shared" si="3"/>
        <v>4_0</v>
      </c>
      <c r="F5" t="s">
        <v>254</v>
      </c>
      <c r="G5" t="s">
        <v>14</v>
      </c>
      <c r="H5">
        <v>54730</v>
      </c>
      <c r="I5">
        <v>-38.048018716108501</v>
      </c>
      <c r="J5">
        <v>176.34148463911399</v>
      </c>
      <c r="K5">
        <f t="shared" si="4"/>
        <v>150</v>
      </c>
      <c r="L5" t="s">
        <v>145</v>
      </c>
      <c r="M5" s="20">
        <v>45692.520833333336</v>
      </c>
      <c r="N5" t="s">
        <v>144</v>
      </c>
      <c r="O5">
        <v>3</v>
      </c>
      <c r="P5">
        <v>1</v>
      </c>
      <c r="Q5">
        <v>1</v>
      </c>
      <c r="R5" t="s">
        <v>146</v>
      </c>
      <c r="S5">
        <v>73.106421389251906</v>
      </c>
      <c r="T5">
        <v>1435.7027457702</v>
      </c>
      <c r="U5">
        <v>1433.7609357772101</v>
      </c>
      <c r="V5">
        <f t="shared" si="5"/>
        <v>1.3949326907249319E-2</v>
      </c>
      <c r="X5" s="17">
        <v>33805828.956973203</v>
      </c>
      <c r="Y5" s="17">
        <v>60736.7219804458</v>
      </c>
      <c r="Z5" s="18">
        <f t="shared" si="7"/>
        <v>33.805828956973201</v>
      </c>
      <c r="AA5" s="18">
        <f t="shared" si="8"/>
        <v>60.7367219804458</v>
      </c>
      <c r="AB5">
        <v>123.7</v>
      </c>
      <c r="AC5">
        <v>31.5</v>
      </c>
      <c r="AD5">
        <v>124</v>
      </c>
      <c r="AE5">
        <v>1.042</v>
      </c>
      <c r="AF5">
        <v>279</v>
      </c>
      <c r="AG5" t="s">
        <v>50</v>
      </c>
      <c r="AH5">
        <v>3.8</v>
      </c>
      <c r="AI5" t="str">
        <f t="shared" ref="AI5:AI24" si="9">IF(ISBLANK(AH5), "", IF(AH5&lt;=2, "Microtrophic", IF(AH5&lt;=3, "Oligotrophic", IF(AH5&lt;=4, "Mesotrophic", IF(AH5&lt;=5, "Eutrophic", "Supertrophic")))))</f>
        <v>Mesotrophic</v>
      </c>
      <c r="AJ5">
        <v>24.8</v>
      </c>
    </row>
    <row r="6" spans="1:36" x14ac:dyDescent="0.55000000000000004">
      <c r="A6">
        <v>7</v>
      </c>
      <c r="B6">
        <f t="shared" si="1"/>
        <v>5</v>
      </c>
      <c r="C6">
        <v>0</v>
      </c>
      <c r="D6" s="15" t="str">
        <f t="shared" si="2"/>
        <v>7_0</v>
      </c>
      <c r="E6" s="15" t="str">
        <f t="shared" si="3"/>
        <v>5_0</v>
      </c>
      <c r="F6" t="s">
        <v>254</v>
      </c>
      <c r="G6" t="s">
        <v>268</v>
      </c>
      <c r="H6">
        <v>54730</v>
      </c>
      <c r="I6">
        <v>-38.022276086430402</v>
      </c>
      <c r="J6">
        <v>176.34864353760901</v>
      </c>
      <c r="K6">
        <f t="shared" si="4"/>
        <v>150</v>
      </c>
      <c r="L6" t="s">
        <v>145</v>
      </c>
      <c r="M6" s="20">
        <v>45692.479166666664</v>
      </c>
      <c r="N6" t="s">
        <v>144</v>
      </c>
      <c r="O6">
        <v>3</v>
      </c>
      <c r="P6">
        <v>1</v>
      </c>
      <c r="Q6">
        <v>1</v>
      </c>
      <c r="S6">
        <v>267.55142706578999</v>
      </c>
      <c r="T6">
        <v>1689.6854318227199</v>
      </c>
      <c r="U6">
        <v>1687.01869857311</v>
      </c>
      <c r="V6">
        <f t="shared" si="5"/>
        <v>1.1855233150003681E-2</v>
      </c>
      <c r="W6">
        <v>3700</v>
      </c>
      <c r="X6" s="17">
        <v>33805828.956973203</v>
      </c>
      <c r="Y6" s="17">
        <v>60736.7219804458</v>
      </c>
      <c r="Z6" s="18">
        <f t="shared" si="7"/>
        <v>33.805828956973201</v>
      </c>
      <c r="AA6" s="18">
        <f t="shared" si="8"/>
        <v>60.7367219804458</v>
      </c>
      <c r="AB6">
        <v>123.7</v>
      </c>
      <c r="AC6">
        <v>31.5</v>
      </c>
      <c r="AD6">
        <v>124</v>
      </c>
      <c r="AE6">
        <v>1.042</v>
      </c>
      <c r="AF6">
        <v>279</v>
      </c>
      <c r="AG6" t="s">
        <v>50</v>
      </c>
      <c r="AH6">
        <v>3.8</v>
      </c>
      <c r="AI6" t="str">
        <f t="shared" si="9"/>
        <v>Mesotrophic</v>
      </c>
      <c r="AJ6">
        <v>24.8</v>
      </c>
    </row>
    <row r="7" spans="1:36" x14ac:dyDescent="0.55000000000000004">
      <c r="A7">
        <v>8</v>
      </c>
      <c r="B7">
        <f t="shared" si="1"/>
        <v>6</v>
      </c>
      <c r="C7">
        <v>0</v>
      </c>
      <c r="D7" s="15" t="str">
        <f t="shared" si="2"/>
        <v>8_0</v>
      </c>
      <c r="E7" s="15" t="str">
        <f t="shared" si="3"/>
        <v>6_0</v>
      </c>
      <c r="F7" t="s">
        <v>254</v>
      </c>
      <c r="G7" t="s">
        <v>14</v>
      </c>
      <c r="H7">
        <v>54730</v>
      </c>
      <c r="I7">
        <v>-38.0218725085535</v>
      </c>
      <c r="J7">
        <v>176.348304238168</v>
      </c>
      <c r="K7">
        <f t="shared" si="4"/>
        <v>150</v>
      </c>
      <c r="L7" t="s">
        <v>145</v>
      </c>
      <c r="M7" s="20">
        <v>45692.458333333336</v>
      </c>
      <c r="N7" t="s">
        <v>144</v>
      </c>
      <c r="O7">
        <v>3</v>
      </c>
      <c r="P7">
        <v>1</v>
      </c>
      <c r="Q7">
        <v>1</v>
      </c>
      <c r="S7">
        <v>220.524873221001</v>
      </c>
      <c r="T7">
        <v>1741.0626313093101</v>
      </c>
      <c r="U7">
        <v>1738.0749000713899</v>
      </c>
      <c r="V7">
        <f t="shared" si="5"/>
        <v>1.1506983962071208E-2</v>
      </c>
      <c r="X7" s="17">
        <v>33805828.956973203</v>
      </c>
      <c r="Y7" s="17">
        <v>60736.7219804458</v>
      </c>
      <c r="Z7" s="18">
        <f t="shared" si="7"/>
        <v>33.805828956973201</v>
      </c>
      <c r="AA7" s="18">
        <f t="shared" si="8"/>
        <v>60.7367219804458</v>
      </c>
      <c r="AB7">
        <v>123.7</v>
      </c>
      <c r="AC7">
        <v>31.5</v>
      </c>
      <c r="AD7">
        <v>124</v>
      </c>
      <c r="AE7">
        <v>1.042</v>
      </c>
      <c r="AF7">
        <v>279</v>
      </c>
      <c r="AG7" t="s">
        <v>50</v>
      </c>
      <c r="AH7">
        <v>3.8</v>
      </c>
      <c r="AI7" t="str">
        <f t="shared" si="9"/>
        <v>Mesotrophic</v>
      </c>
      <c r="AJ7">
        <v>24.8</v>
      </c>
    </row>
    <row r="8" spans="1:36" x14ac:dyDescent="0.55000000000000004">
      <c r="A8">
        <v>9</v>
      </c>
      <c r="B8">
        <f t="shared" si="1"/>
        <v>7</v>
      </c>
      <c r="C8">
        <v>0</v>
      </c>
      <c r="D8" s="15" t="str">
        <f t="shared" si="2"/>
        <v>9_0</v>
      </c>
      <c r="E8" s="15" t="str">
        <f t="shared" si="3"/>
        <v>7_0</v>
      </c>
      <c r="F8" t="s">
        <v>254</v>
      </c>
      <c r="G8" t="s">
        <v>268</v>
      </c>
      <c r="H8">
        <v>54730</v>
      </c>
      <c r="I8">
        <v>-38.040070098908799</v>
      </c>
      <c r="J8">
        <v>176.36833341789901</v>
      </c>
      <c r="K8">
        <f t="shared" si="4"/>
        <v>150</v>
      </c>
      <c r="L8" t="s">
        <v>145</v>
      </c>
      <c r="M8" s="20">
        <v>45692.104166666664</v>
      </c>
      <c r="N8" t="s">
        <v>144</v>
      </c>
      <c r="O8">
        <v>3</v>
      </c>
      <c r="P8">
        <v>1</v>
      </c>
      <c r="Q8">
        <v>1</v>
      </c>
      <c r="S8">
        <v>130.67824847969601</v>
      </c>
      <c r="T8">
        <v>334.10486413213903</v>
      </c>
      <c r="U8">
        <v>332.37012426407</v>
      </c>
      <c r="V8">
        <f t="shared" si="5"/>
        <v>6.0173880081080586E-2</v>
      </c>
      <c r="W8">
        <v>1920</v>
      </c>
      <c r="X8" s="17">
        <v>33805828.956973203</v>
      </c>
      <c r="Y8" s="17">
        <v>60736.7219804458</v>
      </c>
      <c r="Z8" s="18">
        <f t="shared" si="7"/>
        <v>33.805828956973201</v>
      </c>
      <c r="AA8" s="18">
        <f t="shared" si="8"/>
        <v>60.7367219804458</v>
      </c>
      <c r="AB8">
        <v>123.7</v>
      </c>
      <c r="AC8">
        <v>31.5</v>
      </c>
      <c r="AD8">
        <v>124</v>
      </c>
      <c r="AE8">
        <v>1.042</v>
      </c>
      <c r="AF8">
        <v>279</v>
      </c>
      <c r="AG8" t="s">
        <v>50</v>
      </c>
      <c r="AH8">
        <v>3.8</v>
      </c>
      <c r="AI8" t="str">
        <f t="shared" si="9"/>
        <v>Mesotrophic</v>
      </c>
      <c r="AJ8">
        <v>24.8</v>
      </c>
    </row>
    <row r="9" spans="1:36" x14ac:dyDescent="0.55000000000000004">
      <c r="A9">
        <v>10</v>
      </c>
      <c r="B9">
        <f t="shared" si="1"/>
        <v>8</v>
      </c>
      <c r="C9">
        <v>0</v>
      </c>
      <c r="D9" s="15" t="str">
        <f t="shared" si="2"/>
        <v>10_0</v>
      </c>
      <c r="E9" s="15" t="str">
        <f t="shared" si="3"/>
        <v>8_0</v>
      </c>
      <c r="F9" t="s">
        <v>254</v>
      </c>
      <c r="G9" t="s">
        <v>14</v>
      </c>
      <c r="H9">
        <v>54730</v>
      </c>
      <c r="I9">
        <v>-38.039988426991101</v>
      </c>
      <c r="J9">
        <v>176.36764097484499</v>
      </c>
      <c r="K9">
        <f t="shared" si="4"/>
        <v>150</v>
      </c>
      <c r="L9" t="s">
        <v>145</v>
      </c>
      <c r="M9" s="20">
        <v>45692.083333333336</v>
      </c>
      <c r="N9" t="s">
        <v>144</v>
      </c>
      <c r="O9">
        <v>3</v>
      </c>
      <c r="P9">
        <v>1</v>
      </c>
      <c r="Q9">
        <v>1</v>
      </c>
      <c r="S9">
        <v>69.508184012671805</v>
      </c>
      <c r="T9">
        <v>381.61439291613999</v>
      </c>
      <c r="U9">
        <v>380.35946405720301</v>
      </c>
      <c r="V9">
        <f t="shared" si="5"/>
        <v>5.2581838733982866E-2</v>
      </c>
      <c r="X9" s="17">
        <v>33805828.956973203</v>
      </c>
      <c r="Y9" s="17">
        <v>60736.7219804458</v>
      </c>
      <c r="Z9" s="18">
        <f t="shared" si="7"/>
        <v>33.805828956973201</v>
      </c>
      <c r="AA9" s="18">
        <f t="shared" si="8"/>
        <v>60.7367219804458</v>
      </c>
      <c r="AB9">
        <v>123.7</v>
      </c>
      <c r="AC9">
        <v>31.5</v>
      </c>
      <c r="AD9">
        <v>124</v>
      </c>
      <c r="AE9">
        <v>1.042</v>
      </c>
      <c r="AF9">
        <v>279</v>
      </c>
      <c r="AG9" t="s">
        <v>50</v>
      </c>
      <c r="AH9">
        <v>3.8</v>
      </c>
      <c r="AI9" t="str">
        <f t="shared" si="9"/>
        <v>Mesotrophic</v>
      </c>
      <c r="AJ9">
        <v>24.8</v>
      </c>
    </row>
    <row r="10" spans="1:36" x14ac:dyDescent="0.55000000000000004">
      <c r="A10">
        <v>11</v>
      </c>
      <c r="B10">
        <f t="shared" si="1"/>
        <v>9</v>
      </c>
      <c r="C10">
        <v>0</v>
      </c>
      <c r="D10" s="15" t="str">
        <f t="shared" si="2"/>
        <v>11_0</v>
      </c>
      <c r="E10" s="15" t="str">
        <f t="shared" si="3"/>
        <v>9_0</v>
      </c>
      <c r="F10" t="s">
        <v>254</v>
      </c>
      <c r="G10" t="s">
        <v>268</v>
      </c>
      <c r="H10">
        <v>54730</v>
      </c>
      <c r="I10">
        <v>-38.014983800000003</v>
      </c>
      <c r="J10">
        <v>176.4133799</v>
      </c>
      <c r="K10">
        <f t="shared" si="4"/>
        <v>150</v>
      </c>
      <c r="L10" t="s">
        <v>145</v>
      </c>
      <c r="M10" s="20">
        <v>45692.40625</v>
      </c>
      <c r="N10" t="s">
        <v>144</v>
      </c>
      <c r="O10">
        <v>3.5</v>
      </c>
      <c r="P10">
        <v>1</v>
      </c>
      <c r="Q10">
        <v>1</v>
      </c>
      <c r="S10">
        <v>168.339491020125</v>
      </c>
      <c r="T10">
        <v>259.826404337621</v>
      </c>
      <c r="U10">
        <v>256.26720359303403</v>
      </c>
      <c r="V10">
        <f t="shared" si="5"/>
        <v>7.8043540958760635E-2</v>
      </c>
      <c r="W10">
        <v>3010</v>
      </c>
      <c r="X10" s="17">
        <v>33805828.956973203</v>
      </c>
      <c r="Y10" s="17">
        <v>60736.7219804458</v>
      </c>
      <c r="Z10" s="18">
        <f t="shared" si="7"/>
        <v>33.805828956973201</v>
      </c>
      <c r="AA10" s="18">
        <f t="shared" si="8"/>
        <v>60.7367219804458</v>
      </c>
      <c r="AB10">
        <v>123.7</v>
      </c>
      <c r="AC10">
        <v>31.5</v>
      </c>
      <c r="AD10">
        <v>124</v>
      </c>
      <c r="AE10">
        <v>1.042</v>
      </c>
      <c r="AF10">
        <v>279</v>
      </c>
      <c r="AG10" t="s">
        <v>50</v>
      </c>
      <c r="AH10">
        <v>3.8</v>
      </c>
      <c r="AI10" t="str">
        <f t="shared" si="9"/>
        <v>Mesotrophic</v>
      </c>
      <c r="AJ10">
        <v>24.8</v>
      </c>
    </row>
    <row r="11" spans="1:36" x14ac:dyDescent="0.55000000000000004">
      <c r="A11">
        <v>12</v>
      </c>
      <c r="B11">
        <f t="shared" si="1"/>
        <v>10</v>
      </c>
      <c r="C11">
        <v>0</v>
      </c>
      <c r="D11" s="15" t="str">
        <f t="shared" si="2"/>
        <v>12_0</v>
      </c>
      <c r="E11" s="15" t="str">
        <f t="shared" si="3"/>
        <v>10_0</v>
      </c>
      <c r="F11" t="s">
        <v>254</v>
      </c>
      <c r="G11" t="s">
        <v>14</v>
      </c>
      <c r="H11">
        <v>54730</v>
      </c>
      <c r="I11">
        <v>-38.014989425094797</v>
      </c>
      <c r="J11">
        <v>176.41420505142599</v>
      </c>
      <c r="K11">
        <f t="shared" si="4"/>
        <v>150</v>
      </c>
      <c r="L11" t="s">
        <v>143</v>
      </c>
      <c r="M11" s="20">
        <v>45692.430555555555</v>
      </c>
      <c r="N11" t="s">
        <v>144</v>
      </c>
      <c r="O11">
        <v>3.5</v>
      </c>
      <c r="P11">
        <v>1</v>
      </c>
      <c r="Q11">
        <v>1</v>
      </c>
      <c r="S11">
        <v>138.622117701376</v>
      </c>
      <c r="T11">
        <v>221.36538172916099</v>
      </c>
      <c r="U11">
        <v>219.14673183582099</v>
      </c>
      <c r="V11">
        <f t="shared" si="5"/>
        <v>9.1263053902092772E-2</v>
      </c>
      <c r="X11" s="17">
        <v>33805828.956973203</v>
      </c>
      <c r="Y11" s="17">
        <v>60736.7219804458</v>
      </c>
      <c r="Z11" s="18">
        <f t="shared" si="7"/>
        <v>33.805828956973201</v>
      </c>
      <c r="AA11" s="18">
        <f t="shared" si="8"/>
        <v>60.7367219804458</v>
      </c>
      <c r="AB11">
        <v>123.7</v>
      </c>
      <c r="AC11">
        <v>31.5</v>
      </c>
      <c r="AD11">
        <v>124</v>
      </c>
      <c r="AE11">
        <v>1.042</v>
      </c>
      <c r="AF11">
        <v>279</v>
      </c>
      <c r="AG11" t="s">
        <v>50</v>
      </c>
      <c r="AH11">
        <v>3.8</v>
      </c>
      <c r="AI11" t="str">
        <f t="shared" si="9"/>
        <v>Mesotrophic</v>
      </c>
      <c r="AJ11">
        <v>24.8</v>
      </c>
    </row>
    <row r="12" spans="1:36" x14ac:dyDescent="0.55000000000000004">
      <c r="A12">
        <v>13</v>
      </c>
      <c r="B12">
        <f t="shared" si="1"/>
        <v>11</v>
      </c>
      <c r="C12">
        <v>0</v>
      </c>
      <c r="D12" s="15" t="str">
        <f t="shared" si="2"/>
        <v>13_0</v>
      </c>
      <c r="E12" s="15" t="str">
        <f t="shared" si="3"/>
        <v>11_0</v>
      </c>
      <c r="F12" t="s">
        <v>254</v>
      </c>
      <c r="G12" s="16" t="s">
        <v>323</v>
      </c>
      <c r="H12">
        <v>54730</v>
      </c>
      <c r="I12">
        <v>-38.027605602270803</v>
      </c>
      <c r="J12" s="16">
        <v>176.40494378912001</v>
      </c>
      <c r="K12">
        <f t="shared" si="4"/>
        <v>150</v>
      </c>
      <c r="L12" t="s">
        <v>143</v>
      </c>
      <c r="M12" s="20">
        <v>45694.615277777775</v>
      </c>
      <c r="N12" t="s">
        <v>144</v>
      </c>
      <c r="O12">
        <v>3.5</v>
      </c>
      <c r="P12">
        <v>1</v>
      </c>
      <c r="Q12">
        <v>1</v>
      </c>
      <c r="R12" t="s">
        <v>149</v>
      </c>
      <c r="S12">
        <v>38.942244562325001</v>
      </c>
      <c r="T12">
        <v>121.850769016352</v>
      </c>
      <c r="U12">
        <v>119.249019758657</v>
      </c>
      <c r="V12">
        <f t="shared" si="5"/>
        <v>0.16771626333262232</v>
      </c>
      <c r="X12" s="17">
        <v>33805828.956973203</v>
      </c>
      <c r="Y12" s="17">
        <v>60736.7219804458</v>
      </c>
      <c r="Z12" s="18">
        <f t="shared" si="7"/>
        <v>33.805828956973201</v>
      </c>
      <c r="AA12" s="18">
        <f t="shared" si="8"/>
        <v>60.7367219804458</v>
      </c>
      <c r="AB12">
        <v>123.7</v>
      </c>
      <c r="AC12">
        <v>31.5</v>
      </c>
      <c r="AD12">
        <v>124</v>
      </c>
      <c r="AE12">
        <v>1.042</v>
      </c>
      <c r="AF12">
        <v>279</v>
      </c>
      <c r="AG12" t="s">
        <v>50</v>
      </c>
      <c r="AH12">
        <v>3.8</v>
      </c>
      <c r="AI12" t="str">
        <f t="shared" si="9"/>
        <v>Mesotrophic</v>
      </c>
      <c r="AJ12">
        <v>24.8</v>
      </c>
    </row>
    <row r="13" spans="1:36" x14ac:dyDescent="0.55000000000000004">
      <c r="A13">
        <v>14</v>
      </c>
      <c r="B13">
        <f t="shared" si="1"/>
        <v>12</v>
      </c>
      <c r="C13">
        <v>0</v>
      </c>
      <c r="D13" s="15" t="str">
        <f t="shared" si="2"/>
        <v>14_0</v>
      </c>
      <c r="E13" s="15" t="str">
        <f t="shared" si="3"/>
        <v>12_0</v>
      </c>
      <c r="F13" t="s">
        <v>254</v>
      </c>
      <c r="G13" s="16" t="s">
        <v>323</v>
      </c>
      <c r="H13">
        <v>54730</v>
      </c>
      <c r="I13">
        <v>-38.027782999999999</v>
      </c>
      <c r="J13" s="16">
        <v>176.4042814</v>
      </c>
      <c r="K13">
        <f t="shared" si="4"/>
        <v>150</v>
      </c>
      <c r="L13" t="s">
        <v>143</v>
      </c>
      <c r="M13" s="20">
        <v>45694.631944444445</v>
      </c>
      <c r="N13" t="s">
        <v>144</v>
      </c>
      <c r="O13">
        <v>3.5</v>
      </c>
      <c r="P13">
        <v>1</v>
      </c>
      <c r="Q13">
        <v>1</v>
      </c>
      <c r="R13" t="s">
        <v>150</v>
      </c>
      <c r="S13">
        <v>70.918634145760194</v>
      </c>
      <c r="T13">
        <v>162.05012479636801</v>
      </c>
      <c r="U13">
        <v>160.73463283398701</v>
      </c>
      <c r="V13">
        <f t="shared" si="5"/>
        <v>0.12442869123704522</v>
      </c>
      <c r="X13" s="17">
        <v>33805828.956973203</v>
      </c>
      <c r="Y13" s="17">
        <v>60736.7219804458</v>
      </c>
      <c r="Z13" s="18">
        <f t="shared" si="7"/>
        <v>33.805828956973201</v>
      </c>
      <c r="AA13" s="18">
        <f t="shared" si="8"/>
        <v>60.7367219804458</v>
      </c>
      <c r="AB13">
        <v>123.7</v>
      </c>
      <c r="AC13">
        <v>31.5</v>
      </c>
      <c r="AD13">
        <v>124</v>
      </c>
      <c r="AE13">
        <v>1.042</v>
      </c>
      <c r="AF13">
        <v>279</v>
      </c>
      <c r="AG13" t="s">
        <v>50</v>
      </c>
      <c r="AH13">
        <v>3.8</v>
      </c>
      <c r="AI13" t="str">
        <f t="shared" si="9"/>
        <v>Mesotrophic</v>
      </c>
      <c r="AJ13">
        <v>24.8</v>
      </c>
    </row>
    <row r="14" spans="1:36" x14ac:dyDescent="0.55000000000000004">
      <c r="A14">
        <v>15</v>
      </c>
      <c r="B14">
        <f t="shared" si="1"/>
        <v>13</v>
      </c>
      <c r="C14">
        <v>0</v>
      </c>
      <c r="D14" s="15" t="str">
        <f t="shared" si="2"/>
        <v>15_0</v>
      </c>
      <c r="E14" s="15" t="str">
        <f t="shared" si="3"/>
        <v>13_0</v>
      </c>
      <c r="F14" t="s">
        <v>254</v>
      </c>
      <c r="G14" s="16" t="s">
        <v>323</v>
      </c>
      <c r="H14">
        <v>54730</v>
      </c>
      <c r="I14">
        <v>-38.040194900000003</v>
      </c>
      <c r="J14" s="16">
        <v>176.35867870000001</v>
      </c>
      <c r="K14">
        <f t="shared" si="4"/>
        <v>150</v>
      </c>
      <c r="L14" t="s">
        <v>145</v>
      </c>
      <c r="M14" s="20">
        <v>45694.46875</v>
      </c>
      <c r="N14" t="s">
        <v>144</v>
      </c>
      <c r="O14">
        <v>3</v>
      </c>
      <c r="P14">
        <v>1</v>
      </c>
      <c r="Q14">
        <v>1</v>
      </c>
      <c r="R14" t="s">
        <v>147</v>
      </c>
      <c r="S14">
        <v>63.335015819361701</v>
      </c>
      <c r="T14">
        <v>218.54441100186699</v>
      </c>
      <c r="U14">
        <v>218.38448285811299</v>
      </c>
      <c r="V14">
        <f t="shared" si="5"/>
        <v>9.1581598372967921E-2</v>
      </c>
      <c r="X14" s="17">
        <v>33805828.956973203</v>
      </c>
      <c r="Y14" s="17">
        <v>60736.7219804458</v>
      </c>
      <c r="Z14" s="18">
        <f t="shared" si="7"/>
        <v>33.805828956973201</v>
      </c>
      <c r="AA14" s="18">
        <f t="shared" si="8"/>
        <v>60.7367219804458</v>
      </c>
      <c r="AB14">
        <v>123.7</v>
      </c>
      <c r="AC14">
        <v>31.5</v>
      </c>
      <c r="AD14">
        <v>124</v>
      </c>
      <c r="AE14">
        <v>1.042</v>
      </c>
      <c r="AF14">
        <v>279</v>
      </c>
      <c r="AG14" t="s">
        <v>50</v>
      </c>
      <c r="AH14">
        <v>3.8</v>
      </c>
      <c r="AI14" t="str">
        <f t="shared" si="9"/>
        <v>Mesotrophic</v>
      </c>
      <c r="AJ14">
        <v>24.8</v>
      </c>
    </row>
    <row r="15" spans="1:36" x14ac:dyDescent="0.55000000000000004">
      <c r="A15">
        <v>16</v>
      </c>
      <c r="B15">
        <f t="shared" si="1"/>
        <v>14</v>
      </c>
      <c r="C15">
        <v>0</v>
      </c>
      <c r="D15" s="15" t="str">
        <f t="shared" si="2"/>
        <v>16_0</v>
      </c>
      <c r="E15" s="15" t="str">
        <f t="shared" si="3"/>
        <v>14_0</v>
      </c>
      <c r="F15" t="s">
        <v>254</v>
      </c>
      <c r="G15" s="16" t="s">
        <v>323</v>
      </c>
      <c r="H15">
        <v>54730</v>
      </c>
      <c r="I15">
        <v>-38.039811399999998</v>
      </c>
      <c r="J15" s="16">
        <v>176.3581623</v>
      </c>
      <c r="K15">
        <f t="shared" si="4"/>
        <v>150</v>
      </c>
      <c r="L15" t="s">
        <v>145</v>
      </c>
      <c r="M15" s="20">
        <v>45694.458333333336</v>
      </c>
      <c r="N15" t="s">
        <v>144</v>
      </c>
      <c r="O15">
        <v>3</v>
      </c>
      <c r="P15">
        <v>1</v>
      </c>
      <c r="Q15">
        <v>1</v>
      </c>
      <c r="R15" t="s">
        <v>316</v>
      </c>
      <c r="S15">
        <v>59.880478669367001</v>
      </c>
      <c r="T15">
        <v>183.12960987940701</v>
      </c>
      <c r="U15">
        <v>182.742768352052</v>
      </c>
      <c r="V15">
        <f t="shared" si="5"/>
        <v>0.10944345530253878</v>
      </c>
      <c r="X15" s="17">
        <v>33805828.956973203</v>
      </c>
      <c r="Y15" s="17">
        <v>60736.7219804458</v>
      </c>
      <c r="Z15" s="18">
        <f t="shared" si="7"/>
        <v>33.805828956973201</v>
      </c>
      <c r="AA15" s="18">
        <f t="shared" si="8"/>
        <v>60.7367219804458</v>
      </c>
      <c r="AB15">
        <v>123.7</v>
      </c>
      <c r="AC15">
        <v>31.5</v>
      </c>
      <c r="AD15">
        <v>124</v>
      </c>
      <c r="AE15">
        <v>1.042</v>
      </c>
      <c r="AF15">
        <v>279</v>
      </c>
      <c r="AG15" t="s">
        <v>50</v>
      </c>
      <c r="AH15">
        <v>3.8</v>
      </c>
      <c r="AI15" t="str">
        <f t="shared" si="9"/>
        <v>Mesotrophic</v>
      </c>
      <c r="AJ15">
        <v>24.8</v>
      </c>
    </row>
    <row r="16" spans="1:36" x14ac:dyDescent="0.55000000000000004">
      <c r="A16">
        <v>17</v>
      </c>
      <c r="B16">
        <f t="shared" si="1"/>
        <v>15</v>
      </c>
      <c r="C16">
        <v>0</v>
      </c>
      <c r="D16" s="15" t="str">
        <f t="shared" si="2"/>
        <v>17_0</v>
      </c>
      <c r="E16" s="15" t="str">
        <f t="shared" si="3"/>
        <v>15_0</v>
      </c>
      <c r="F16" t="s">
        <v>254</v>
      </c>
      <c r="G16" s="16" t="s">
        <v>323</v>
      </c>
      <c r="H16">
        <v>54730</v>
      </c>
      <c r="I16">
        <v>-38.035432005463697</v>
      </c>
      <c r="J16" s="16">
        <v>176.345087343881</v>
      </c>
      <c r="K16">
        <f t="shared" si="4"/>
        <v>150</v>
      </c>
      <c r="L16" t="s">
        <v>143</v>
      </c>
      <c r="M16" s="20">
        <v>45694.416666666664</v>
      </c>
      <c r="N16" t="s">
        <v>144</v>
      </c>
      <c r="O16">
        <v>3</v>
      </c>
      <c r="P16">
        <v>1</v>
      </c>
      <c r="Q16">
        <v>1</v>
      </c>
      <c r="R16" t="s">
        <v>151</v>
      </c>
      <c r="S16">
        <v>57.9411293181277</v>
      </c>
      <c r="T16">
        <v>639.03395274642901</v>
      </c>
      <c r="U16">
        <v>638.65612301617796</v>
      </c>
      <c r="V16">
        <f t="shared" si="5"/>
        <v>3.1315757070559509E-2</v>
      </c>
      <c r="X16" s="17">
        <v>33805828.956973203</v>
      </c>
      <c r="Y16" s="17">
        <v>60736.7219804458</v>
      </c>
      <c r="Z16" s="18">
        <f t="shared" si="7"/>
        <v>33.805828956973201</v>
      </c>
      <c r="AA16" s="18">
        <f t="shared" si="8"/>
        <v>60.7367219804458</v>
      </c>
      <c r="AB16">
        <v>123.7</v>
      </c>
      <c r="AC16">
        <v>31.5</v>
      </c>
      <c r="AD16">
        <v>124</v>
      </c>
      <c r="AE16">
        <v>1.042</v>
      </c>
      <c r="AF16">
        <v>279</v>
      </c>
      <c r="AG16" t="s">
        <v>50</v>
      </c>
      <c r="AH16">
        <v>3.8</v>
      </c>
      <c r="AI16" t="str">
        <f t="shared" si="9"/>
        <v>Mesotrophic</v>
      </c>
      <c r="AJ16">
        <v>24.8</v>
      </c>
    </row>
    <row r="17" spans="1:36" x14ac:dyDescent="0.55000000000000004">
      <c r="A17">
        <v>18</v>
      </c>
      <c r="B17">
        <f t="shared" si="1"/>
        <v>16</v>
      </c>
      <c r="C17">
        <v>0</v>
      </c>
      <c r="D17" s="15" t="str">
        <f t="shared" si="2"/>
        <v>18_0</v>
      </c>
      <c r="E17" s="15" t="str">
        <f t="shared" si="3"/>
        <v>16_0</v>
      </c>
      <c r="F17" t="s">
        <v>254</v>
      </c>
      <c r="G17" s="16" t="s">
        <v>323</v>
      </c>
      <c r="H17">
        <v>54730</v>
      </c>
      <c r="I17">
        <v>-38.035946522853997</v>
      </c>
      <c r="J17" s="16">
        <v>176.34572710770701</v>
      </c>
      <c r="K17">
        <f t="shared" si="4"/>
        <v>150</v>
      </c>
      <c r="L17" t="s">
        <v>143</v>
      </c>
      <c r="M17" s="20">
        <v>45694.427083333336</v>
      </c>
      <c r="N17" t="s">
        <v>144</v>
      </c>
      <c r="O17">
        <v>3</v>
      </c>
      <c r="P17">
        <v>1</v>
      </c>
      <c r="Q17">
        <v>1</v>
      </c>
      <c r="R17" t="s">
        <v>147</v>
      </c>
      <c r="S17">
        <v>27.586278169075001</v>
      </c>
      <c r="T17">
        <v>565.61863728637502</v>
      </c>
      <c r="U17">
        <v>565.447481720974</v>
      </c>
      <c r="V17">
        <f t="shared" si="5"/>
        <v>3.537021676907779E-2</v>
      </c>
      <c r="X17" s="17">
        <v>33805828.956973203</v>
      </c>
      <c r="Y17" s="17">
        <v>60736.7219804458</v>
      </c>
      <c r="Z17" s="18">
        <f t="shared" si="7"/>
        <v>33.805828956973201</v>
      </c>
      <c r="AA17" s="18">
        <f t="shared" si="8"/>
        <v>60.7367219804458</v>
      </c>
      <c r="AB17">
        <v>123.7</v>
      </c>
      <c r="AC17">
        <v>31.5</v>
      </c>
      <c r="AD17">
        <v>124</v>
      </c>
      <c r="AE17">
        <v>1.042</v>
      </c>
      <c r="AF17">
        <v>279</v>
      </c>
      <c r="AG17" t="s">
        <v>50</v>
      </c>
      <c r="AH17">
        <v>3.8</v>
      </c>
      <c r="AI17" t="str">
        <f t="shared" si="9"/>
        <v>Mesotrophic</v>
      </c>
      <c r="AJ17">
        <v>24.8</v>
      </c>
    </row>
    <row r="18" spans="1:36" x14ac:dyDescent="0.55000000000000004">
      <c r="A18">
        <v>19</v>
      </c>
      <c r="B18">
        <f t="shared" si="1"/>
        <v>17</v>
      </c>
      <c r="C18">
        <v>0</v>
      </c>
      <c r="D18" s="15" t="str">
        <f t="shared" si="2"/>
        <v>19_0</v>
      </c>
      <c r="E18" s="15" t="str">
        <f t="shared" si="3"/>
        <v>17_0</v>
      </c>
      <c r="F18" t="s">
        <v>254</v>
      </c>
      <c r="G18" s="16" t="s">
        <v>323</v>
      </c>
      <c r="H18">
        <v>54730</v>
      </c>
      <c r="I18">
        <v>-38.0174132</v>
      </c>
      <c r="J18" s="16">
        <v>176.37552679999999</v>
      </c>
      <c r="K18">
        <f t="shared" si="4"/>
        <v>150</v>
      </c>
      <c r="L18" t="s">
        <v>143</v>
      </c>
      <c r="M18" s="20">
        <v>45694.54791666667</v>
      </c>
      <c r="N18" t="s">
        <v>144</v>
      </c>
      <c r="O18">
        <v>3.5</v>
      </c>
      <c r="P18">
        <v>1</v>
      </c>
      <c r="Q18">
        <v>1</v>
      </c>
      <c r="R18" t="s">
        <v>151</v>
      </c>
      <c r="S18">
        <v>13.9155980353024</v>
      </c>
      <c r="T18">
        <v>411.55710413086803</v>
      </c>
      <c r="U18">
        <v>410.69456668695398</v>
      </c>
      <c r="V18">
        <f t="shared" si="5"/>
        <v>4.8697990239653481E-2</v>
      </c>
      <c r="X18" s="17">
        <v>33805828.956973203</v>
      </c>
      <c r="Y18" s="17">
        <v>60736.7219804458</v>
      </c>
      <c r="Z18" s="18">
        <f t="shared" si="7"/>
        <v>33.805828956973201</v>
      </c>
      <c r="AA18" s="18">
        <f t="shared" si="8"/>
        <v>60.7367219804458</v>
      </c>
      <c r="AB18">
        <v>123.7</v>
      </c>
      <c r="AC18">
        <v>31.5</v>
      </c>
      <c r="AD18">
        <v>124</v>
      </c>
      <c r="AE18">
        <v>1.042</v>
      </c>
      <c r="AF18">
        <v>279</v>
      </c>
      <c r="AG18" t="s">
        <v>50</v>
      </c>
      <c r="AH18">
        <v>3.8</v>
      </c>
      <c r="AI18" t="str">
        <f t="shared" si="9"/>
        <v>Mesotrophic</v>
      </c>
      <c r="AJ18">
        <v>24.8</v>
      </c>
    </row>
    <row r="19" spans="1:36" x14ac:dyDescent="0.55000000000000004">
      <c r="A19">
        <v>20</v>
      </c>
      <c r="B19">
        <f t="shared" si="1"/>
        <v>18</v>
      </c>
      <c r="C19">
        <v>0</v>
      </c>
      <c r="D19" s="15" t="str">
        <f t="shared" si="2"/>
        <v>20_0</v>
      </c>
      <c r="E19" s="15" t="str">
        <f t="shared" si="3"/>
        <v>18_0</v>
      </c>
      <c r="F19" t="s">
        <v>254</v>
      </c>
      <c r="G19" s="16" t="s">
        <v>323</v>
      </c>
      <c r="H19">
        <v>54730</v>
      </c>
      <c r="I19">
        <v>-38.0172588</v>
      </c>
      <c r="J19" s="16">
        <v>176.3757789</v>
      </c>
      <c r="K19">
        <f t="shared" si="4"/>
        <v>150</v>
      </c>
      <c r="L19" t="s">
        <v>143</v>
      </c>
      <c r="M19" s="20">
        <v>45694.5625</v>
      </c>
      <c r="N19" t="s">
        <v>144</v>
      </c>
      <c r="O19">
        <v>3.5</v>
      </c>
      <c r="P19">
        <v>1</v>
      </c>
      <c r="Q19">
        <v>1</v>
      </c>
      <c r="R19" t="s">
        <v>147</v>
      </c>
      <c r="S19">
        <v>10.2582815366794</v>
      </c>
      <c r="T19">
        <v>393.99543134125298</v>
      </c>
      <c r="U19">
        <v>393.14630596845097</v>
      </c>
      <c r="V19">
        <f t="shared" si="5"/>
        <v>5.0871646754338196E-2</v>
      </c>
      <c r="X19" s="17">
        <v>33805828.956973203</v>
      </c>
      <c r="Y19" s="17">
        <v>60736.7219804458</v>
      </c>
      <c r="Z19" s="18">
        <f t="shared" si="7"/>
        <v>33.805828956973201</v>
      </c>
      <c r="AA19" s="18">
        <f t="shared" si="8"/>
        <v>60.7367219804458</v>
      </c>
      <c r="AB19">
        <v>123.7</v>
      </c>
      <c r="AC19">
        <v>31.5</v>
      </c>
      <c r="AD19">
        <v>124</v>
      </c>
      <c r="AE19">
        <v>1.042</v>
      </c>
      <c r="AF19">
        <v>279</v>
      </c>
      <c r="AG19" t="s">
        <v>50</v>
      </c>
      <c r="AH19">
        <v>3.8</v>
      </c>
      <c r="AI19" t="str">
        <f t="shared" si="9"/>
        <v>Mesotrophic</v>
      </c>
      <c r="AJ19">
        <v>24.8</v>
      </c>
    </row>
    <row r="20" spans="1:36" x14ac:dyDescent="0.55000000000000004">
      <c r="A20">
        <v>21</v>
      </c>
      <c r="B20">
        <f t="shared" si="1"/>
        <v>19</v>
      </c>
      <c r="C20">
        <v>0</v>
      </c>
      <c r="D20" s="15" t="str">
        <f t="shared" si="2"/>
        <v>21_0</v>
      </c>
      <c r="E20" s="15" t="str">
        <f t="shared" si="3"/>
        <v>19_0</v>
      </c>
      <c r="F20" t="s">
        <v>254</v>
      </c>
      <c r="G20" s="16" t="s">
        <v>323</v>
      </c>
      <c r="H20">
        <v>54730</v>
      </c>
      <c r="I20">
        <v>-38.016770000000001</v>
      </c>
      <c r="J20" s="16">
        <v>176.42099999999999</v>
      </c>
      <c r="K20">
        <f t="shared" si="4"/>
        <v>150</v>
      </c>
      <c r="L20" t="s">
        <v>143</v>
      </c>
      <c r="M20" s="20">
        <v>45694.638888888891</v>
      </c>
      <c r="N20" t="s">
        <v>144</v>
      </c>
      <c r="O20">
        <v>3.5</v>
      </c>
      <c r="P20">
        <v>1</v>
      </c>
      <c r="Q20">
        <v>1</v>
      </c>
      <c r="R20" t="s">
        <v>147</v>
      </c>
      <c r="S20">
        <v>142.69564315661299</v>
      </c>
      <c r="T20">
        <v>187.90193049333001</v>
      </c>
      <c r="U20">
        <v>187.539175274033</v>
      </c>
      <c r="V20">
        <f t="shared" si="5"/>
        <v>0.10664438494397728</v>
      </c>
      <c r="X20" s="17">
        <v>33805828.956973203</v>
      </c>
      <c r="Y20" s="17">
        <v>60736.7219804458</v>
      </c>
      <c r="Z20" s="18">
        <f t="shared" si="7"/>
        <v>33.805828956973201</v>
      </c>
      <c r="AA20" s="18">
        <f t="shared" si="8"/>
        <v>60.7367219804458</v>
      </c>
      <c r="AB20">
        <v>123.7</v>
      </c>
      <c r="AC20">
        <v>31.5</v>
      </c>
      <c r="AD20">
        <v>124</v>
      </c>
      <c r="AE20">
        <v>1.042</v>
      </c>
      <c r="AF20">
        <v>279</v>
      </c>
      <c r="AG20" t="s">
        <v>50</v>
      </c>
      <c r="AH20">
        <v>3.8</v>
      </c>
      <c r="AI20" t="str">
        <f t="shared" si="9"/>
        <v>Mesotrophic</v>
      </c>
      <c r="AJ20">
        <v>24.8</v>
      </c>
    </row>
    <row r="21" spans="1:36" x14ac:dyDescent="0.55000000000000004">
      <c r="A21">
        <v>22</v>
      </c>
      <c r="B21">
        <f t="shared" si="1"/>
        <v>20</v>
      </c>
      <c r="C21">
        <v>0</v>
      </c>
      <c r="D21" s="15" t="str">
        <f t="shared" si="2"/>
        <v>22_0</v>
      </c>
      <c r="E21" s="15" t="str">
        <f t="shared" si="3"/>
        <v>20_0</v>
      </c>
      <c r="F21" t="s">
        <v>254</v>
      </c>
      <c r="G21" s="16" t="s">
        <v>323</v>
      </c>
      <c r="H21">
        <v>54730</v>
      </c>
      <c r="I21">
        <v>-38.0170202210521</v>
      </c>
      <c r="J21" s="16">
        <v>176.42048967569099</v>
      </c>
      <c r="K21">
        <f t="shared" si="4"/>
        <v>150</v>
      </c>
      <c r="L21" t="s">
        <v>143</v>
      </c>
      <c r="M21" s="20">
        <v>45694.652777777781</v>
      </c>
      <c r="N21" t="s">
        <v>144</v>
      </c>
      <c r="O21">
        <v>3.5</v>
      </c>
      <c r="P21">
        <v>1</v>
      </c>
      <c r="Q21">
        <v>1</v>
      </c>
      <c r="R21" t="s">
        <v>151</v>
      </c>
      <c r="S21">
        <v>112.65205053481201</v>
      </c>
      <c r="T21">
        <v>153.52894194799001</v>
      </c>
      <c r="U21">
        <v>153.45260302180401</v>
      </c>
      <c r="V21">
        <f t="shared" si="5"/>
        <v>0.13033340331905749</v>
      </c>
      <c r="X21" s="17">
        <v>33805828.956973203</v>
      </c>
      <c r="Y21" s="17">
        <v>60736.7219804458</v>
      </c>
      <c r="Z21" s="18">
        <f t="shared" si="7"/>
        <v>33.805828956973201</v>
      </c>
      <c r="AA21" s="18">
        <f t="shared" si="8"/>
        <v>60.7367219804458</v>
      </c>
      <c r="AB21">
        <v>123.7</v>
      </c>
      <c r="AC21">
        <v>31.5</v>
      </c>
      <c r="AD21">
        <v>124</v>
      </c>
      <c r="AE21">
        <v>1.042</v>
      </c>
      <c r="AF21">
        <v>279</v>
      </c>
      <c r="AG21" t="s">
        <v>50</v>
      </c>
      <c r="AH21">
        <v>3.8</v>
      </c>
      <c r="AI21" t="str">
        <f t="shared" si="9"/>
        <v>Mesotrophic</v>
      </c>
      <c r="AJ21">
        <v>24.8</v>
      </c>
    </row>
    <row r="22" spans="1:36" x14ac:dyDescent="0.55000000000000004">
      <c r="A22">
        <v>3</v>
      </c>
      <c r="B22">
        <f t="shared" si="1"/>
        <v>1</v>
      </c>
      <c r="C22">
        <v>1</v>
      </c>
      <c r="D22" s="15" t="str">
        <f t="shared" si="2"/>
        <v>3_1</v>
      </c>
      <c r="E22" s="15" t="str">
        <f t="shared" si="3"/>
        <v>1_1</v>
      </c>
      <c r="F22" t="s">
        <v>254</v>
      </c>
      <c r="G22" t="s">
        <v>268</v>
      </c>
      <c r="H22">
        <v>54730</v>
      </c>
      <c r="I22">
        <v>-38.052667307926299</v>
      </c>
      <c r="J22">
        <v>176.47144524762001</v>
      </c>
      <c r="K22">
        <f>15*10</f>
        <v>150</v>
      </c>
      <c r="L22" t="s">
        <v>143</v>
      </c>
      <c r="M22" s="20">
        <v>45775.541666666664</v>
      </c>
      <c r="N22" t="s">
        <v>248</v>
      </c>
      <c r="O22">
        <v>5</v>
      </c>
      <c r="P22">
        <v>0</v>
      </c>
      <c r="Q22">
        <v>0</v>
      </c>
      <c r="S22">
        <v>82.9889020904982</v>
      </c>
      <c r="T22">
        <v>164.45001973472199</v>
      </c>
      <c r="U22">
        <v>163.76826676324899</v>
      </c>
      <c r="V22">
        <f t="shared" si="5"/>
        <v>0.1221237813361787</v>
      </c>
      <c r="W22">
        <v>3040</v>
      </c>
      <c r="X22" s="17">
        <v>33805828.956973203</v>
      </c>
      <c r="Y22" s="17">
        <v>60736.7219804458</v>
      </c>
      <c r="Z22" s="18">
        <f>X22/1000000</f>
        <v>33.805828956973201</v>
      </c>
      <c r="AA22" s="18">
        <f>Y22/1000</f>
        <v>60.7367219804458</v>
      </c>
      <c r="AB22">
        <v>123.7</v>
      </c>
      <c r="AC22">
        <v>31.5</v>
      </c>
      <c r="AD22">
        <v>124</v>
      </c>
      <c r="AE22">
        <v>1.042</v>
      </c>
      <c r="AF22">
        <v>279</v>
      </c>
      <c r="AG22" t="s">
        <v>50</v>
      </c>
      <c r="AH22">
        <v>3.8</v>
      </c>
      <c r="AI22" t="str">
        <f t="shared" si="9"/>
        <v>Mesotrophic</v>
      </c>
      <c r="AJ22">
        <v>24.8</v>
      </c>
    </row>
    <row r="23" spans="1:36" x14ac:dyDescent="0.55000000000000004">
      <c r="A23">
        <v>4</v>
      </c>
      <c r="B23">
        <f t="shared" si="1"/>
        <v>2</v>
      </c>
      <c r="C23">
        <v>1</v>
      </c>
      <c r="D23" s="15" t="str">
        <f t="shared" si="2"/>
        <v>4_1</v>
      </c>
      <c r="E23" s="15" t="str">
        <f t="shared" si="3"/>
        <v>2_1</v>
      </c>
      <c r="F23" t="s">
        <v>254</v>
      </c>
      <c r="G23" t="s">
        <v>14</v>
      </c>
      <c r="H23">
        <v>54730</v>
      </c>
      <c r="I23">
        <v>-38.052913557037101</v>
      </c>
      <c r="J23">
        <v>176.47093312757499</v>
      </c>
      <c r="K23">
        <f t="shared" si="4"/>
        <v>150</v>
      </c>
      <c r="L23" t="s">
        <v>143</v>
      </c>
      <c r="M23" s="20">
        <v>45775.520833333336</v>
      </c>
      <c r="N23" t="s">
        <v>248</v>
      </c>
      <c r="O23">
        <v>5</v>
      </c>
      <c r="P23">
        <v>0</v>
      </c>
      <c r="Q23">
        <v>0</v>
      </c>
      <c r="S23">
        <v>105.445519540936</v>
      </c>
      <c r="T23">
        <v>180.302636624781</v>
      </c>
      <c r="U23">
        <v>179.82545515734</v>
      </c>
      <c r="V23">
        <f t="shared" si="5"/>
        <v>0.11121895942096079</v>
      </c>
      <c r="X23" s="17">
        <v>33805828.956973203</v>
      </c>
      <c r="Y23" s="17">
        <v>60736.7219804458</v>
      </c>
      <c r="Z23" s="18">
        <f>X23/1000000</f>
        <v>33.805828956973201</v>
      </c>
      <c r="AA23" s="18">
        <f>Y23/1000</f>
        <v>60.7367219804458</v>
      </c>
      <c r="AB23">
        <v>123.7</v>
      </c>
      <c r="AC23">
        <v>31.5</v>
      </c>
      <c r="AD23">
        <v>124</v>
      </c>
      <c r="AE23">
        <v>1.042</v>
      </c>
      <c r="AF23">
        <v>279</v>
      </c>
      <c r="AG23" t="s">
        <v>50</v>
      </c>
      <c r="AH23">
        <v>3.8</v>
      </c>
      <c r="AI23" t="str">
        <f t="shared" si="9"/>
        <v>Mesotrophic</v>
      </c>
      <c r="AJ23">
        <v>24.8</v>
      </c>
    </row>
    <row r="24" spans="1:36" x14ac:dyDescent="0.55000000000000004">
      <c r="A24">
        <v>5</v>
      </c>
      <c r="B24">
        <f t="shared" si="1"/>
        <v>3</v>
      </c>
      <c r="C24">
        <v>1</v>
      </c>
      <c r="D24" s="15" t="str">
        <f t="shared" si="2"/>
        <v>5_1</v>
      </c>
      <c r="E24" s="15" t="str">
        <f t="shared" si="3"/>
        <v>3_1</v>
      </c>
      <c r="F24" t="s">
        <v>254</v>
      </c>
      <c r="G24" t="s">
        <v>268</v>
      </c>
      <c r="H24">
        <v>54730</v>
      </c>
      <c r="I24">
        <v>-38.047698100528002</v>
      </c>
      <c r="J24">
        <v>176.341122568488</v>
      </c>
      <c r="K24">
        <f t="shared" si="4"/>
        <v>150</v>
      </c>
      <c r="L24" t="s">
        <v>145</v>
      </c>
      <c r="M24" s="20">
        <v>45775.451388888891</v>
      </c>
      <c r="N24" t="s">
        <v>248</v>
      </c>
      <c r="O24">
        <v>5</v>
      </c>
      <c r="P24">
        <v>0</v>
      </c>
      <c r="Q24">
        <v>0</v>
      </c>
      <c r="S24">
        <v>75.103042747696705</v>
      </c>
      <c r="T24">
        <v>1429.22107248619</v>
      </c>
      <c r="U24">
        <v>1427.7637166842901</v>
      </c>
      <c r="V24">
        <f t="shared" si="5"/>
        <v>1.4007920054479463E-2</v>
      </c>
      <c r="W24">
        <v>1980</v>
      </c>
      <c r="X24" s="17">
        <v>33805828.956973203</v>
      </c>
      <c r="Y24" s="17">
        <v>60736.7219804458</v>
      </c>
      <c r="Z24" s="18">
        <f t="shared" ref="Z24:Z41" si="10">X24/1000000</f>
        <v>33.805828956973201</v>
      </c>
      <c r="AA24" s="18">
        <f t="shared" ref="AA24:AA41" si="11">Y24/1000</f>
        <v>60.7367219804458</v>
      </c>
      <c r="AB24">
        <v>123.7</v>
      </c>
      <c r="AC24">
        <v>31.5</v>
      </c>
      <c r="AD24">
        <v>124</v>
      </c>
      <c r="AE24">
        <v>1.042</v>
      </c>
      <c r="AF24">
        <v>279</v>
      </c>
      <c r="AG24" t="s">
        <v>50</v>
      </c>
      <c r="AH24">
        <v>3.8</v>
      </c>
      <c r="AI24" t="str">
        <f t="shared" si="9"/>
        <v>Mesotrophic</v>
      </c>
      <c r="AJ24">
        <v>24.8</v>
      </c>
    </row>
    <row r="25" spans="1:36" x14ac:dyDescent="0.55000000000000004">
      <c r="A25">
        <v>6</v>
      </c>
      <c r="B25">
        <f t="shared" si="1"/>
        <v>4</v>
      </c>
      <c r="C25">
        <v>1</v>
      </c>
      <c r="D25" s="15" t="str">
        <f t="shared" si="2"/>
        <v>6_1</v>
      </c>
      <c r="E25" s="15" t="str">
        <f t="shared" si="3"/>
        <v>4_1</v>
      </c>
      <c r="F25" t="s">
        <v>254</v>
      </c>
      <c r="G25" t="s">
        <v>14</v>
      </c>
      <c r="H25">
        <v>54730</v>
      </c>
      <c r="I25">
        <v>-38.048018716108501</v>
      </c>
      <c r="J25">
        <v>176.34148463911399</v>
      </c>
      <c r="K25">
        <f t="shared" si="4"/>
        <v>150</v>
      </c>
      <c r="L25" t="s">
        <v>145</v>
      </c>
      <c r="M25" s="20">
        <v>45775.4375</v>
      </c>
      <c r="N25" t="s">
        <v>248</v>
      </c>
      <c r="O25">
        <v>5</v>
      </c>
      <c r="P25">
        <v>0</v>
      </c>
      <c r="Q25">
        <v>0</v>
      </c>
      <c r="S25">
        <v>73.106421389251906</v>
      </c>
      <c r="T25">
        <v>1435.7027457702</v>
      </c>
      <c r="U25">
        <v>1433.7609357772101</v>
      </c>
      <c r="V25">
        <f t="shared" si="5"/>
        <v>1.3949326907249319E-2</v>
      </c>
      <c r="X25" s="17">
        <v>33805828.956973203</v>
      </c>
      <c r="Y25" s="17">
        <v>60736.7219804458</v>
      </c>
      <c r="Z25" s="18">
        <f t="shared" si="10"/>
        <v>33.805828956973201</v>
      </c>
      <c r="AA25" s="18">
        <f t="shared" si="11"/>
        <v>60.7367219804458</v>
      </c>
      <c r="AB25">
        <v>123.7</v>
      </c>
      <c r="AC25">
        <v>31.5</v>
      </c>
      <c r="AD25">
        <v>124</v>
      </c>
      <c r="AE25">
        <v>1.042</v>
      </c>
      <c r="AF25">
        <v>279</v>
      </c>
      <c r="AG25" t="s">
        <v>50</v>
      </c>
      <c r="AH25">
        <v>3.8</v>
      </c>
      <c r="AI25" t="str">
        <f t="shared" ref="AI25:AI44" si="12">IF(ISBLANK(AH25), "", IF(AH25&lt;=2, "Microtrophic", IF(AH25&lt;=3, "Oligotrophic", IF(AH25&lt;=4, "Mesotrophic", IF(AH25&lt;=5, "Eutrophic", "Supertrophic")))))</f>
        <v>Mesotrophic</v>
      </c>
      <c r="AJ25">
        <v>24.8</v>
      </c>
    </row>
    <row r="26" spans="1:36" x14ac:dyDescent="0.55000000000000004">
      <c r="A26">
        <v>7</v>
      </c>
      <c r="B26">
        <f t="shared" si="1"/>
        <v>5</v>
      </c>
      <c r="C26">
        <v>1</v>
      </c>
      <c r="D26" s="15" t="str">
        <f t="shared" si="2"/>
        <v>7_1</v>
      </c>
      <c r="E26" s="15" t="str">
        <f t="shared" si="3"/>
        <v>5_1</v>
      </c>
      <c r="F26" t="s">
        <v>254</v>
      </c>
      <c r="G26" t="s">
        <v>268</v>
      </c>
      <c r="H26">
        <v>54730</v>
      </c>
      <c r="I26">
        <v>-38.022276086430402</v>
      </c>
      <c r="J26">
        <v>176.34864353760901</v>
      </c>
      <c r="K26">
        <f t="shared" si="4"/>
        <v>150</v>
      </c>
      <c r="L26" t="s">
        <v>145</v>
      </c>
      <c r="M26" s="20">
        <v>45775.375</v>
      </c>
      <c r="N26" t="s">
        <v>248</v>
      </c>
      <c r="O26">
        <v>5</v>
      </c>
      <c r="P26">
        <v>0</v>
      </c>
      <c r="Q26">
        <v>0</v>
      </c>
      <c r="S26">
        <v>267.55142706578999</v>
      </c>
      <c r="T26">
        <v>1689.6854318227199</v>
      </c>
      <c r="U26">
        <v>1687.01869857311</v>
      </c>
      <c r="V26">
        <f t="shared" si="5"/>
        <v>1.1855233150003681E-2</v>
      </c>
      <c r="W26">
        <v>3700</v>
      </c>
      <c r="X26" s="17">
        <v>33805828.956973203</v>
      </c>
      <c r="Y26" s="17">
        <v>60736.7219804458</v>
      </c>
      <c r="Z26" s="18">
        <f t="shared" si="10"/>
        <v>33.805828956973201</v>
      </c>
      <c r="AA26" s="18">
        <f t="shared" si="11"/>
        <v>60.7367219804458</v>
      </c>
      <c r="AB26">
        <v>123.7</v>
      </c>
      <c r="AC26">
        <v>31.5</v>
      </c>
      <c r="AD26">
        <v>124</v>
      </c>
      <c r="AE26">
        <v>1.042</v>
      </c>
      <c r="AF26">
        <v>279</v>
      </c>
      <c r="AG26" t="s">
        <v>50</v>
      </c>
      <c r="AH26">
        <v>3.8</v>
      </c>
      <c r="AI26" t="str">
        <f t="shared" si="12"/>
        <v>Mesotrophic</v>
      </c>
      <c r="AJ26">
        <v>24.8</v>
      </c>
    </row>
    <row r="27" spans="1:36" x14ac:dyDescent="0.55000000000000004">
      <c r="A27">
        <v>8</v>
      </c>
      <c r="B27">
        <f t="shared" si="1"/>
        <v>6</v>
      </c>
      <c r="C27">
        <v>1</v>
      </c>
      <c r="D27" s="15" t="str">
        <f t="shared" si="2"/>
        <v>8_1</v>
      </c>
      <c r="E27" s="15" t="str">
        <f t="shared" si="3"/>
        <v>6_1</v>
      </c>
      <c r="F27" t="s">
        <v>254</v>
      </c>
      <c r="G27" t="s">
        <v>14</v>
      </c>
      <c r="H27">
        <v>54730</v>
      </c>
      <c r="I27">
        <v>-38.0218725085535</v>
      </c>
      <c r="J27">
        <v>176.348304238168</v>
      </c>
      <c r="K27">
        <f t="shared" si="4"/>
        <v>150</v>
      </c>
      <c r="L27" t="s">
        <v>145</v>
      </c>
      <c r="M27" s="20">
        <v>45775.354166666664</v>
      </c>
      <c r="N27" t="s">
        <v>248</v>
      </c>
      <c r="O27">
        <v>5</v>
      </c>
      <c r="P27">
        <v>0</v>
      </c>
      <c r="Q27">
        <v>0</v>
      </c>
      <c r="S27">
        <v>220.524873221001</v>
      </c>
      <c r="T27">
        <v>1741.0626313093101</v>
      </c>
      <c r="U27">
        <v>1738.0749000713899</v>
      </c>
      <c r="V27">
        <f t="shared" si="5"/>
        <v>1.1506983962071208E-2</v>
      </c>
      <c r="X27" s="17">
        <v>33805828.956973203</v>
      </c>
      <c r="Y27" s="17">
        <v>60736.7219804458</v>
      </c>
      <c r="Z27" s="18">
        <f t="shared" si="10"/>
        <v>33.805828956973201</v>
      </c>
      <c r="AA27" s="18">
        <f t="shared" si="11"/>
        <v>60.7367219804458</v>
      </c>
      <c r="AB27">
        <v>123.7</v>
      </c>
      <c r="AC27">
        <v>31.5</v>
      </c>
      <c r="AD27">
        <v>124</v>
      </c>
      <c r="AE27">
        <v>1.042</v>
      </c>
      <c r="AF27">
        <v>279</v>
      </c>
      <c r="AG27" t="s">
        <v>50</v>
      </c>
      <c r="AH27">
        <v>3.8</v>
      </c>
      <c r="AI27" t="str">
        <f t="shared" si="12"/>
        <v>Mesotrophic</v>
      </c>
      <c r="AJ27">
        <v>24.8</v>
      </c>
    </row>
    <row r="28" spans="1:36" x14ac:dyDescent="0.55000000000000004">
      <c r="A28">
        <v>9</v>
      </c>
      <c r="B28">
        <f t="shared" si="1"/>
        <v>7</v>
      </c>
      <c r="C28">
        <v>1</v>
      </c>
      <c r="D28" s="15" t="str">
        <f t="shared" si="2"/>
        <v>9_1</v>
      </c>
      <c r="E28" s="15" t="str">
        <f t="shared" si="3"/>
        <v>7_1</v>
      </c>
      <c r="F28" t="s">
        <v>254</v>
      </c>
      <c r="G28" t="s">
        <v>268</v>
      </c>
      <c r="H28">
        <v>54730</v>
      </c>
      <c r="I28">
        <v>-38.040070098908799</v>
      </c>
      <c r="J28">
        <v>176.36833341789901</v>
      </c>
      <c r="K28">
        <f t="shared" si="4"/>
        <v>150</v>
      </c>
      <c r="L28" t="s">
        <v>145</v>
      </c>
      <c r="M28" s="20">
        <v>45775.488888888889</v>
      </c>
      <c r="N28" t="s">
        <v>248</v>
      </c>
      <c r="O28">
        <v>5</v>
      </c>
      <c r="P28">
        <v>0</v>
      </c>
      <c r="Q28">
        <v>0</v>
      </c>
      <c r="S28">
        <v>130.67824847969601</v>
      </c>
      <c r="T28">
        <v>334.10486413213903</v>
      </c>
      <c r="U28">
        <v>332.37012426407</v>
      </c>
      <c r="V28">
        <f t="shared" si="5"/>
        <v>6.0173880081080586E-2</v>
      </c>
      <c r="W28">
        <v>1920</v>
      </c>
      <c r="X28" s="17">
        <v>33805828.956973203</v>
      </c>
      <c r="Y28" s="17">
        <v>60736.7219804458</v>
      </c>
      <c r="Z28" s="18">
        <f t="shared" si="10"/>
        <v>33.805828956973201</v>
      </c>
      <c r="AA28" s="18">
        <f t="shared" si="11"/>
        <v>60.7367219804458</v>
      </c>
      <c r="AB28">
        <v>123.7</v>
      </c>
      <c r="AC28">
        <v>31.5</v>
      </c>
      <c r="AD28">
        <v>124</v>
      </c>
      <c r="AE28">
        <v>1.042</v>
      </c>
      <c r="AF28">
        <v>279</v>
      </c>
      <c r="AG28" t="s">
        <v>50</v>
      </c>
      <c r="AH28">
        <v>3.8</v>
      </c>
      <c r="AI28" t="str">
        <f t="shared" si="12"/>
        <v>Mesotrophic</v>
      </c>
      <c r="AJ28">
        <v>24.8</v>
      </c>
    </row>
    <row r="29" spans="1:36" x14ac:dyDescent="0.55000000000000004">
      <c r="A29">
        <v>10</v>
      </c>
      <c r="B29">
        <f t="shared" si="1"/>
        <v>8</v>
      </c>
      <c r="C29">
        <v>1</v>
      </c>
      <c r="D29" s="15" t="str">
        <f t="shared" si="2"/>
        <v>10_1</v>
      </c>
      <c r="E29" s="15" t="str">
        <f t="shared" si="3"/>
        <v>8_1</v>
      </c>
      <c r="F29" t="s">
        <v>254</v>
      </c>
      <c r="G29" t="s">
        <v>14</v>
      </c>
      <c r="H29">
        <v>54730</v>
      </c>
      <c r="I29">
        <v>-38.039988426991101</v>
      </c>
      <c r="J29">
        <v>176.36764097484499</v>
      </c>
      <c r="K29">
        <f t="shared" si="4"/>
        <v>150</v>
      </c>
      <c r="L29" t="s">
        <v>145</v>
      </c>
      <c r="M29" s="20">
        <v>45775.479166666664</v>
      </c>
      <c r="N29" t="s">
        <v>248</v>
      </c>
      <c r="O29">
        <v>5</v>
      </c>
      <c r="P29">
        <v>0</v>
      </c>
      <c r="Q29">
        <v>0</v>
      </c>
      <c r="R29" t="s">
        <v>252</v>
      </c>
      <c r="S29">
        <v>69.508184012671805</v>
      </c>
      <c r="T29">
        <v>381.61439291613999</v>
      </c>
      <c r="U29">
        <v>380.35946405720301</v>
      </c>
      <c r="V29">
        <f t="shared" si="5"/>
        <v>5.2581838733982866E-2</v>
      </c>
      <c r="X29" s="17">
        <v>33805828.956973203</v>
      </c>
      <c r="Y29" s="17">
        <v>60736.7219804458</v>
      </c>
      <c r="Z29" s="18">
        <f t="shared" si="10"/>
        <v>33.805828956973201</v>
      </c>
      <c r="AA29" s="18">
        <f t="shared" si="11"/>
        <v>60.7367219804458</v>
      </c>
      <c r="AB29">
        <v>123.7</v>
      </c>
      <c r="AC29">
        <v>31.5</v>
      </c>
      <c r="AD29">
        <v>124</v>
      </c>
      <c r="AE29">
        <v>1.042</v>
      </c>
      <c r="AF29">
        <v>279</v>
      </c>
      <c r="AG29" t="s">
        <v>50</v>
      </c>
      <c r="AH29">
        <v>3.8</v>
      </c>
      <c r="AI29" t="str">
        <f t="shared" si="12"/>
        <v>Mesotrophic</v>
      </c>
      <c r="AJ29">
        <v>24.8</v>
      </c>
    </row>
    <row r="30" spans="1:36" x14ac:dyDescent="0.55000000000000004">
      <c r="A30">
        <v>11</v>
      </c>
      <c r="B30">
        <f t="shared" si="1"/>
        <v>9</v>
      </c>
      <c r="C30">
        <v>1</v>
      </c>
      <c r="D30" s="15" t="str">
        <f t="shared" si="2"/>
        <v>11_1</v>
      </c>
      <c r="E30" s="15" t="str">
        <f t="shared" si="3"/>
        <v>9_1</v>
      </c>
      <c r="F30" t="s">
        <v>254</v>
      </c>
      <c r="G30" t="s">
        <v>268</v>
      </c>
      <c r="H30">
        <v>54730</v>
      </c>
      <c r="I30">
        <v>-38.014983800000003</v>
      </c>
      <c r="J30">
        <v>176.4133799</v>
      </c>
      <c r="K30">
        <f t="shared" si="4"/>
        <v>150</v>
      </c>
      <c r="L30" t="s">
        <v>145</v>
      </c>
      <c r="M30" s="20">
        <v>45775.395833333336</v>
      </c>
      <c r="N30" t="s">
        <v>248</v>
      </c>
      <c r="O30">
        <v>5</v>
      </c>
      <c r="P30">
        <v>0</v>
      </c>
      <c r="Q30">
        <v>0</v>
      </c>
      <c r="S30">
        <v>168.339491020125</v>
      </c>
      <c r="T30">
        <v>259.826404337621</v>
      </c>
      <c r="U30">
        <v>256.26720359303403</v>
      </c>
      <c r="V30">
        <f t="shared" si="5"/>
        <v>7.8043540958760635E-2</v>
      </c>
      <c r="W30">
        <v>3010</v>
      </c>
      <c r="X30" s="17">
        <v>33805828.956973203</v>
      </c>
      <c r="Y30" s="17">
        <v>60736.7219804458</v>
      </c>
      <c r="Z30" s="18">
        <f t="shared" si="10"/>
        <v>33.805828956973201</v>
      </c>
      <c r="AA30" s="18">
        <f t="shared" si="11"/>
        <v>60.7367219804458</v>
      </c>
      <c r="AB30">
        <v>123.7</v>
      </c>
      <c r="AC30">
        <v>31.5</v>
      </c>
      <c r="AD30">
        <v>124</v>
      </c>
      <c r="AE30">
        <v>1.042</v>
      </c>
      <c r="AF30">
        <v>279</v>
      </c>
      <c r="AG30" t="s">
        <v>50</v>
      </c>
      <c r="AH30">
        <v>3.8</v>
      </c>
      <c r="AI30" t="str">
        <f t="shared" si="12"/>
        <v>Mesotrophic</v>
      </c>
      <c r="AJ30">
        <v>24.8</v>
      </c>
    </row>
    <row r="31" spans="1:36" x14ac:dyDescent="0.55000000000000004">
      <c r="A31">
        <v>12</v>
      </c>
      <c r="B31">
        <f t="shared" si="1"/>
        <v>10</v>
      </c>
      <c r="C31">
        <v>1</v>
      </c>
      <c r="D31" s="15" t="str">
        <f t="shared" si="2"/>
        <v>12_1</v>
      </c>
      <c r="E31" s="15" t="str">
        <f t="shared" si="3"/>
        <v>10_1</v>
      </c>
      <c r="F31" t="s">
        <v>254</v>
      </c>
      <c r="G31" t="s">
        <v>14</v>
      </c>
      <c r="H31">
        <v>54730</v>
      </c>
      <c r="I31">
        <v>-38.014989425094797</v>
      </c>
      <c r="J31">
        <v>176.41420505142599</v>
      </c>
      <c r="K31">
        <f t="shared" si="4"/>
        <v>150</v>
      </c>
      <c r="L31" t="s">
        <v>143</v>
      </c>
      <c r="M31" s="20">
        <v>45775.40625</v>
      </c>
      <c r="N31" t="s">
        <v>248</v>
      </c>
      <c r="O31">
        <v>5</v>
      </c>
      <c r="P31">
        <v>0</v>
      </c>
      <c r="Q31">
        <v>0</v>
      </c>
      <c r="S31">
        <v>138.622117701376</v>
      </c>
      <c r="T31">
        <v>221.36538172916099</v>
      </c>
      <c r="U31">
        <v>219.14673183582099</v>
      </c>
      <c r="V31">
        <f t="shared" si="5"/>
        <v>9.1263053902092772E-2</v>
      </c>
      <c r="X31" s="17">
        <v>33805828.956973203</v>
      </c>
      <c r="Y31" s="17">
        <v>60736.7219804458</v>
      </c>
      <c r="Z31" s="18">
        <f t="shared" si="10"/>
        <v>33.805828956973201</v>
      </c>
      <c r="AA31" s="18">
        <f t="shared" si="11"/>
        <v>60.7367219804458</v>
      </c>
      <c r="AB31">
        <v>123.7</v>
      </c>
      <c r="AC31">
        <v>31.5</v>
      </c>
      <c r="AD31">
        <v>124</v>
      </c>
      <c r="AE31">
        <v>1.042</v>
      </c>
      <c r="AF31">
        <v>279</v>
      </c>
      <c r="AG31" t="s">
        <v>50</v>
      </c>
      <c r="AH31">
        <v>3.8</v>
      </c>
      <c r="AI31" t="str">
        <f t="shared" si="12"/>
        <v>Mesotrophic</v>
      </c>
      <c r="AJ31">
        <v>24.8</v>
      </c>
    </row>
    <row r="32" spans="1:36" x14ac:dyDescent="0.55000000000000004">
      <c r="A32">
        <v>13</v>
      </c>
      <c r="B32">
        <f t="shared" si="1"/>
        <v>11</v>
      </c>
      <c r="C32">
        <v>1</v>
      </c>
      <c r="D32" s="15" t="str">
        <f t="shared" si="2"/>
        <v>13_1</v>
      </c>
      <c r="E32" s="15" t="str">
        <f t="shared" si="3"/>
        <v>11_1</v>
      </c>
      <c r="F32" t="s">
        <v>254</v>
      </c>
      <c r="G32" s="16" t="s">
        <v>323</v>
      </c>
      <c r="H32">
        <v>54730</v>
      </c>
      <c r="I32">
        <v>-38.027605602270803</v>
      </c>
      <c r="J32" s="16">
        <v>176.40494378912001</v>
      </c>
      <c r="K32">
        <f t="shared" si="4"/>
        <v>150</v>
      </c>
      <c r="L32" t="s">
        <v>143</v>
      </c>
      <c r="M32" s="20">
        <v>45778.678472222222</v>
      </c>
      <c r="N32" t="s">
        <v>144</v>
      </c>
      <c r="O32">
        <v>5</v>
      </c>
      <c r="P32">
        <v>0</v>
      </c>
      <c r="Q32">
        <v>0</v>
      </c>
      <c r="S32">
        <v>38.942244562325001</v>
      </c>
      <c r="T32">
        <v>121.850769016352</v>
      </c>
      <c r="U32">
        <v>119.249019758657</v>
      </c>
      <c r="V32">
        <f t="shared" si="5"/>
        <v>0.16771626333262232</v>
      </c>
      <c r="X32" s="17">
        <v>33805828.956973203</v>
      </c>
      <c r="Y32" s="17">
        <v>60736.7219804458</v>
      </c>
      <c r="Z32" s="18">
        <f t="shared" si="10"/>
        <v>33.805828956973201</v>
      </c>
      <c r="AA32" s="18">
        <f t="shared" si="11"/>
        <v>60.7367219804458</v>
      </c>
      <c r="AB32">
        <v>123.7</v>
      </c>
      <c r="AC32">
        <v>31.5</v>
      </c>
      <c r="AD32">
        <v>124</v>
      </c>
      <c r="AE32">
        <v>1.042</v>
      </c>
      <c r="AF32">
        <v>279</v>
      </c>
      <c r="AG32" t="s">
        <v>50</v>
      </c>
      <c r="AH32">
        <v>3.8</v>
      </c>
      <c r="AI32" t="str">
        <f t="shared" si="12"/>
        <v>Mesotrophic</v>
      </c>
      <c r="AJ32">
        <v>24.8</v>
      </c>
    </row>
    <row r="33" spans="1:36" x14ac:dyDescent="0.55000000000000004">
      <c r="A33">
        <v>14</v>
      </c>
      <c r="B33">
        <f t="shared" si="1"/>
        <v>12</v>
      </c>
      <c r="C33">
        <v>1</v>
      </c>
      <c r="D33" s="15" t="str">
        <f t="shared" si="2"/>
        <v>14_1</v>
      </c>
      <c r="E33" s="15" t="str">
        <f t="shared" si="3"/>
        <v>12_1</v>
      </c>
      <c r="F33" t="s">
        <v>254</v>
      </c>
      <c r="G33" s="16" t="s">
        <v>323</v>
      </c>
      <c r="H33">
        <v>54730</v>
      </c>
      <c r="I33">
        <v>-38.027782999999999</v>
      </c>
      <c r="J33" s="16">
        <v>176.4042814</v>
      </c>
      <c r="K33">
        <f t="shared" si="4"/>
        <v>150</v>
      </c>
      <c r="L33" t="s">
        <v>143</v>
      </c>
      <c r="M33" s="20">
        <v>45778.678472222222</v>
      </c>
      <c r="N33" t="s">
        <v>144</v>
      </c>
      <c r="O33">
        <v>5</v>
      </c>
      <c r="P33">
        <v>0</v>
      </c>
      <c r="Q33">
        <v>0</v>
      </c>
      <c r="S33">
        <v>70.918634145760194</v>
      </c>
      <c r="T33">
        <v>162.05012479636801</v>
      </c>
      <c r="U33">
        <v>160.73463283398701</v>
      </c>
      <c r="V33">
        <f t="shared" si="5"/>
        <v>0.12442869123704522</v>
      </c>
      <c r="X33" s="17">
        <v>33805828.956973203</v>
      </c>
      <c r="Y33" s="17">
        <v>60736.7219804458</v>
      </c>
      <c r="Z33" s="18">
        <f t="shared" si="10"/>
        <v>33.805828956973201</v>
      </c>
      <c r="AA33" s="18">
        <f t="shared" si="11"/>
        <v>60.7367219804458</v>
      </c>
      <c r="AB33">
        <v>123.7</v>
      </c>
      <c r="AC33">
        <v>31.5</v>
      </c>
      <c r="AD33">
        <v>124</v>
      </c>
      <c r="AE33">
        <v>1.042</v>
      </c>
      <c r="AF33">
        <v>279</v>
      </c>
      <c r="AG33" t="s">
        <v>50</v>
      </c>
      <c r="AH33">
        <v>3.8</v>
      </c>
      <c r="AI33" t="str">
        <f t="shared" si="12"/>
        <v>Mesotrophic</v>
      </c>
      <c r="AJ33">
        <v>24.8</v>
      </c>
    </row>
    <row r="34" spans="1:36" x14ac:dyDescent="0.55000000000000004">
      <c r="A34">
        <v>15</v>
      </c>
      <c r="B34">
        <f t="shared" si="1"/>
        <v>13</v>
      </c>
      <c r="C34">
        <v>1</v>
      </c>
      <c r="D34" s="15" t="str">
        <f t="shared" si="2"/>
        <v>15_1</v>
      </c>
      <c r="E34" s="15" t="str">
        <f t="shared" si="3"/>
        <v>13_1</v>
      </c>
      <c r="F34" t="s">
        <v>254</v>
      </c>
      <c r="G34" s="16" t="s">
        <v>323</v>
      </c>
      <c r="H34">
        <v>54730</v>
      </c>
      <c r="I34">
        <v>-38.040194900000003</v>
      </c>
      <c r="J34" s="16">
        <v>176.35867870000001</v>
      </c>
      <c r="K34">
        <f t="shared" si="4"/>
        <v>150</v>
      </c>
      <c r="L34" t="s">
        <v>145</v>
      </c>
      <c r="M34" s="20">
        <v>45778.71597222222</v>
      </c>
      <c r="N34" t="s">
        <v>144</v>
      </c>
      <c r="O34">
        <v>5</v>
      </c>
      <c r="P34">
        <v>0</v>
      </c>
      <c r="Q34">
        <v>0</v>
      </c>
      <c r="R34" t="s">
        <v>251</v>
      </c>
      <c r="S34">
        <v>63.335015819361701</v>
      </c>
      <c r="T34">
        <v>218.54441100186699</v>
      </c>
      <c r="U34">
        <v>218.38448285811299</v>
      </c>
      <c r="V34">
        <f t="shared" si="5"/>
        <v>9.1581598372967921E-2</v>
      </c>
      <c r="X34" s="17">
        <v>33805828.956973203</v>
      </c>
      <c r="Y34" s="17">
        <v>60736.7219804458</v>
      </c>
      <c r="Z34" s="18">
        <f t="shared" si="10"/>
        <v>33.805828956973201</v>
      </c>
      <c r="AA34" s="18">
        <f t="shared" si="11"/>
        <v>60.7367219804458</v>
      </c>
      <c r="AB34">
        <v>123.7</v>
      </c>
      <c r="AC34">
        <v>31.5</v>
      </c>
      <c r="AD34">
        <v>124</v>
      </c>
      <c r="AE34">
        <v>1.042</v>
      </c>
      <c r="AF34">
        <v>279</v>
      </c>
      <c r="AG34" t="s">
        <v>50</v>
      </c>
      <c r="AH34">
        <v>3.8</v>
      </c>
      <c r="AI34" t="str">
        <f t="shared" si="12"/>
        <v>Mesotrophic</v>
      </c>
      <c r="AJ34">
        <v>24.8</v>
      </c>
    </row>
    <row r="35" spans="1:36" x14ac:dyDescent="0.55000000000000004">
      <c r="A35">
        <v>16</v>
      </c>
      <c r="B35">
        <f t="shared" si="1"/>
        <v>14</v>
      </c>
      <c r="C35">
        <v>1</v>
      </c>
      <c r="D35" s="15" t="str">
        <f t="shared" si="2"/>
        <v>16_1</v>
      </c>
      <c r="E35" s="15" t="str">
        <f t="shared" si="3"/>
        <v>14_1</v>
      </c>
      <c r="F35" t="s">
        <v>254</v>
      </c>
      <c r="G35" s="16" t="s">
        <v>323</v>
      </c>
      <c r="H35">
        <v>54730</v>
      </c>
      <c r="I35">
        <v>-38.039811399999998</v>
      </c>
      <c r="J35" s="16">
        <v>176.3581623</v>
      </c>
      <c r="K35">
        <f t="shared" si="4"/>
        <v>150</v>
      </c>
      <c r="L35" t="s">
        <v>145</v>
      </c>
      <c r="M35" s="20">
        <v>45778.71597222222</v>
      </c>
      <c r="N35" t="s">
        <v>144</v>
      </c>
      <c r="O35">
        <v>5</v>
      </c>
      <c r="P35">
        <v>0</v>
      </c>
      <c r="Q35">
        <v>0</v>
      </c>
      <c r="R35" t="s">
        <v>251</v>
      </c>
      <c r="S35">
        <v>59.880478669367001</v>
      </c>
      <c r="T35">
        <v>183.12960987940701</v>
      </c>
      <c r="U35">
        <v>182.742768352052</v>
      </c>
      <c r="V35">
        <f t="shared" si="5"/>
        <v>0.10944345530253878</v>
      </c>
      <c r="X35" s="17">
        <v>33805828.956973203</v>
      </c>
      <c r="Y35" s="17">
        <v>60736.7219804458</v>
      </c>
      <c r="Z35" s="18">
        <f t="shared" si="10"/>
        <v>33.805828956973201</v>
      </c>
      <c r="AA35" s="18">
        <f t="shared" si="11"/>
        <v>60.7367219804458</v>
      </c>
      <c r="AB35">
        <v>123.7</v>
      </c>
      <c r="AC35">
        <v>31.5</v>
      </c>
      <c r="AD35">
        <v>124</v>
      </c>
      <c r="AE35">
        <v>1.042</v>
      </c>
      <c r="AF35">
        <v>279</v>
      </c>
      <c r="AG35" t="s">
        <v>50</v>
      </c>
      <c r="AH35">
        <v>3.8</v>
      </c>
      <c r="AI35" t="str">
        <f t="shared" si="12"/>
        <v>Mesotrophic</v>
      </c>
      <c r="AJ35">
        <v>24.8</v>
      </c>
    </row>
    <row r="36" spans="1:36" x14ac:dyDescent="0.55000000000000004">
      <c r="A36">
        <v>17</v>
      </c>
      <c r="B36">
        <f t="shared" si="1"/>
        <v>15</v>
      </c>
      <c r="C36">
        <v>1</v>
      </c>
      <c r="D36" s="15" t="str">
        <f t="shared" si="2"/>
        <v>17_1</v>
      </c>
      <c r="E36" s="15" t="str">
        <f t="shared" si="3"/>
        <v>15_1</v>
      </c>
      <c r="F36" t="s">
        <v>254</v>
      </c>
      <c r="G36" s="16" t="s">
        <v>323</v>
      </c>
      <c r="H36">
        <v>54730</v>
      </c>
      <c r="I36">
        <v>-38.035432005463697</v>
      </c>
      <c r="J36" s="16">
        <v>176.345087343881</v>
      </c>
      <c r="K36">
        <f t="shared" si="4"/>
        <v>150</v>
      </c>
      <c r="L36" t="s">
        <v>143</v>
      </c>
      <c r="M36" s="20">
        <v>45778.52847222222</v>
      </c>
      <c r="N36" t="s">
        <v>144</v>
      </c>
      <c r="O36">
        <v>5</v>
      </c>
      <c r="P36">
        <v>0</v>
      </c>
      <c r="Q36">
        <v>0</v>
      </c>
      <c r="S36">
        <v>57.9411293181277</v>
      </c>
      <c r="T36">
        <v>639.03395274642901</v>
      </c>
      <c r="U36">
        <v>638.65612301617796</v>
      </c>
      <c r="V36">
        <f t="shared" si="5"/>
        <v>3.1315757070559509E-2</v>
      </c>
      <c r="X36" s="17">
        <v>33805828.956973203</v>
      </c>
      <c r="Y36" s="17">
        <v>60736.7219804458</v>
      </c>
      <c r="Z36" s="18">
        <f t="shared" si="10"/>
        <v>33.805828956973201</v>
      </c>
      <c r="AA36" s="18">
        <f t="shared" si="11"/>
        <v>60.7367219804458</v>
      </c>
      <c r="AB36">
        <v>123.7</v>
      </c>
      <c r="AC36">
        <v>31.5</v>
      </c>
      <c r="AD36">
        <v>124</v>
      </c>
      <c r="AE36">
        <v>1.042</v>
      </c>
      <c r="AF36">
        <v>279</v>
      </c>
      <c r="AG36" t="s">
        <v>50</v>
      </c>
      <c r="AH36">
        <v>3.8</v>
      </c>
      <c r="AI36" t="str">
        <f t="shared" si="12"/>
        <v>Mesotrophic</v>
      </c>
      <c r="AJ36">
        <v>24.8</v>
      </c>
    </row>
    <row r="37" spans="1:36" x14ac:dyDescent="0.55000000000000004">
      <c r="A37">
        <v>18</v>
      </c>
      <c r="B37">
        <f t="shared" si="1"/>
        <v>16</v>
      </c>
      <c r="C37">
        <v>1</v>
      </c>
      <c r="D37" s="15" t="str">
        <f t="shared" si="2"/>
        <v>18_1</v>
      </c>
      <c r="E37" s="15" t="str">
        <f t="shared" si="3"/>
        <v>16_1</v>
      </c>
      <c r="F37" t="s">
        <v>254</v>
      </c>
      <c r="G37" s="16" t="s">
        <v>323</v>
      </c>
      <c r="H37">
        <v>54730</v>
      </c>
      <c r="I37">
        <v>-38.035946522853997</v>
      </c>
      <c r="J37" s="16">
        <v>176.34572710770701</v>
      </c>
      <c r="K37">
        <f t="shared" si="4"/>
        <v>150</v>
      </c>
      <c r="L37" t="s">
        <v>143</v>
      </c>
      <c r="M37" s="20">
        <v>45778.547222222223</v>
      </c>
      <c r="N37" t="s">
        <v>144</v>
      </c>
      <c r="O37">
        <v>5</v>
      </c>
      <c r="P37">
        <v>0</v>
      </c>
      <c r="Q37">
        <v>0</v>
      </c>
      <c r="S37">
        <v>27.586278169075001</v>
      </c>
      <c r="T37">
        <v>565.61863728637502</v>
      </c>
      <c r="U37">
        <v>565.447481720974</v>
      </c>
      <c r="V37">
        <f t="shared" si="5"/>
        <v>3.537021676907779E-2</v>
      </c>
      <c r="X37" s="17">
        <v>33805828.956973203</v>
      </c>
      <c r="Y37" s="17">
        <v>60736.7219804458</v>
      </c>
      <c r="Z37" s="18">
        <f t="shared" si="10"/>
        <v>33.805828956973201</v>
      </c>
      <c r="AA37" s="18">
        <f t="shared" si="11"/>
        <v>60.7367219804458</v>
      </c>
      <c r="AB37">
        <v>123.7</v>
      </c>
      <c r="AC37">
        <v>31.5</v>
      </c>
      <c r="AD37">
        <v>124</v>
      </c>
      <c r="AE37">
        <v>1.042</v>
      </c>
      <c r="AF37">
        <v>279</v>
      </c>
      <c r="AG37" t="s">
        <v>50</v>
      </c>
      <c r="AH37">
        <v>3.8</v>
      </c>
      <c r="AI37" t="str">
        <f t="shared" si="12"/>
        <v>Mesotrophic</v>
      </c>
      <c r="AJ37">
        <v>24.8</v>
      </c>
    </row>
    <row r="38" spans="1:36" x14ac:dyDescent="0.55000000000000004">
      <c r="A38">
        <v>19</v>
      </c>
      <c r="B38">
        <f t="shared" si="1"/>
        <v>17</v>
      </c>
      <c r="C38">
        <v>1</v>
      </c>
      <c r="D38" s="15" t="str">
        <f t="shared" si="2"/>
        <v>19_1</v>
      </c>
      <c r="E38" s="15" t="str">
        <f t="shared" si="3"/>
        <v>17_1</v>
      </c>
      <c r="F38" t="s">
        <v>254</v>
      </c>
      <c r="G38" s="16" t="s">
        <v>323</v>
      </c>
      <c r="H38">
        <v>54730</v>
      </c>
      <c r="I38">
        <v>-38.0174132</v>
      </c>
      <c r="J38" s="16">
        <v>176.37552679999999</v>
      </c>
      <c r="K38">
        <f t="shared" si="4"/>
        <v>150</v>
      </c>
      <c r="L38" t="s">
        <v>143</v>
      </c>
      <c r="M38" s="20">
        <v>45778.590277777781</v>
      </c>
      <c r="N38" t="s">
        <v>144</v>
      </c>
      <c r="O38">
        <v>5</v>
      </c>
      <c r="P38">
        <v>0</v>
      </c>
      <c r="Q38">
        <v>0</v>
      </c>
      <c r="S38">
        <v>13.9155980353024</v>
      </c>
      <c r="T38">
        <v>411.55710413086803</v>
      </c>
      <c r="U38">
        <v>410.69456668695398</v>
      </c>
      <c r="V38">
        <f t="shared" si="5"/>
        <v>4.8697990239653481E-2</v>
      </c>
      <c r="X38" s="17">
        <v>33805828.956973203</v>
      </c>
      <c r="Y38" s="17">
        <v>60736.7219804458</v>
      </c>
      <c r="Z38" s="18">
        <f t="shared" si="10"/>
        <v>33.805828956973201</v>
      </c>
      <c r="AA38" s="18">
        <f t="shared" si="11"/>
        <v>60.7367219804458</v>
      </c>
      <c r="AB38">
        <v>123.7</v>
      </c>
      <c r="AC38">
        <v>31.5</v>
      </c>
      <c r="AD38">
        <v>124</v>
      </c>
      <c r="AE38">
        <v>1.042</v>
      </c>
      <c r="AF38">
        <v>279</v>
      </c>
      <c r="AG38" t="s">
        <v>50</v>
      </c>
      <c r="AH38">
        <v>3.8</v>
      </c>
      <c r="AI38" t="str">
        <f t="shared" si="12"/>
        <v>Mesotrophic</v>
      </c>
      <c r="AJ38">
        <v>24.8</v>
      </c>
    </row>
    <row r="39" spans="1:36" x14ac:dyDescent="0.55000000000000004">
      <c r="A39">
        <v>20</v>
      </c>
      <c r="B39">
        <f t="shared" si="1"/>
        <v>18</v>
      </c>
      <c r="C39">
        <v>1</v>
      </c>
      <c r="D39" s="15" t="str">
        <f t="shared" si="2"/>
        <v>20_1</v>
      </c>
      <c r="E39" s="15" t="str">
        <f t="shared" si="3"/>
        <v>18_1</v>
      </c>
      <c r="F39" t="s">
        <v>254</v>
      </c>
      <c r="G39" s="16" t="s">
        <v>323</v>
      </c>
      <c r="H39">
        <v>54730</v>
      </c>
      <c r="I39">
        <v>-38.0172588</v>
      </c>
      <c r="J39" s="16">
        <v>176.3757789</v>
      </c>
      <c r="K39">
        <f t="shared" si="4"/>
        <v>150</v>
      </c>
      <c r="L39" t="s">
        <v>143</v>
      </c>
      <c r="M39" s="20">
        <v>45778.590277777781</v>
      </c>
      <c r="N39" t="s">
        <v>144</v>
      </c>
      <c r="O39">
        <v>5</v>
      </c>
      <c r="P39">
        <v>0</v>
      </c>
      <c r="Q39">
        <v>0</v>
      </c>
      <c r="S39">
        <v>10.2582815366794</v>
      </c>
      <c r="T39">
        <v>393.99543134125298</v>
      </c>
      <c r="U39">
        <v>393.14630596845097</v>
      </c>
      <c r="V39">
        <f t="shared" si="5"/>
        <v>5.0871646754338196E-2</v>
      </c>
      <c r="X39" s="17">
        <v>33805828.956973203</v>
      </c>
      <c r="Y39" s="17">
        <v>60736.7219804458</v>
      </c>
      <c r="Z39" s="18">
        <f t="shared" si="10"/>
        <v>33.805828956973201</v>
      </c>
      <c r="AA39" s="18">
        <f t="shared" si="11"/>
        <v>60.7367219804458</v>
      </c>
      <c r="AB39">
        <v>123.7</v>
      </c>
      <c r="AC39">
        <v>31.5</v>
      </c>
      <c r="AD39">
        <v>124</v>
      </c>
      <c r="AE39">
        <v>1.042</v>
      </c>
      <c r="AF39">
        <v>279</v>
      </c>
      <c r="AG39" t="s">
        <v>50</v>
      </c>
      <c r="AH39">
        <v>3.8</v>
      </c>
      <c r="AI39" t="str">
        <f t="shared" si="12"/>
        <v>Mesotrophic</v>
      </c>
      <c r="AJ39">
        <v>24.8</v>
      </c>
    </row>
    <row r="40" spans="1:36" x14ac:dyDescent="0.55000000000000004">
      <c r="A40">
        <v>21</v>
      </c>
      <c r="B40">
        <f t="shared" si="1"/>
        <v>19</v>
      </c>
      <c r="C40">
        <v>1</v>
      </c>
      <c r="D40" s="15" t="str">
        <f t="shared" si="2"/>
        <v>21_1</v>
      </c>
      <c r="E40" s="15" t="str">
        <f t="shared" si="3"/>
        <v>19_1</v>
      </c>
      <c r="F40" t="s">
        <v>254</v>
      </c>
      <c r="G40" s="16" t="s">
        <v>323</v>
      </c>
      <c r="H40">
        <v>54730</v>
      </c>
      <c r="I40">
        <v>-38.016770000000001</v>
      </c>
      <c r="J40" s="16">
        <v>176.42099999999999</v>
      </c>
      <c r="K40">
        <f t="shared" si="4"/>
        <v>150</v>
      </c>
      <c r="L40" t="s">
        <v>143</v>
      </c>
      <c r="M40" s="20">
        <v>45778.631944444445</v>
      </c>
      <c r="N40" t="s">
        <v>144</v>
      </c>
      <c r="O40">
        <v>5</v>
      </c>
      <c r="P40">
        <v>0</v>
      </c>
      <c r="Q40">
        <v>0</v>
      </c>
      <c r="S40">
        <v>142.69564315661299</v>
      </c>
      <c r="T40">
        <v>187.90193049333001</v>
      </c>
      <c r="U40">
        <v>187.539175274033</v>
      </c>
      <c r="V40">
        <f t="shared" si="5"/>
        <v>0.10664438494397728</v>
      </c>
      <c r="X40" s="17">
        <v>33805828.956973203</v>
      </c>
      <c r="Y40" s="17">
        <v>60736.7219804458</v>
      </c>
      <c r="Z40" s="18">
        <f t="shared" si="10"/>
        <v>33.805828956973201</v>
      </c>
      <c r="AA40" s="18">
        <f t="shared" si="11"/>
        <v>60.7367219804458</v>
      </c>
      <c r="AB40">
        <v>123.7</v>
      </c>
      <c r="AC40">
        <v>31.5</v>
      </c>
      <c r="AD40">
        <v>124</v>
      </c>
      <c r="AE40">
        <v>1.042</v>
      </c>
      <c r="AF40">
        <v>279</v>
      </c>
      <c r="AG40" t="s">
        <v>50</v>
      </c>
      <c r="AH40">
        <v>3.8</v>
      </c>
      <c r="AI40" t="str">
        <f t="shared" si="12"/>
        <v>Mesotrophic</v>
      </c>
      <c r="AJ40">
        <v>24.8</v>
      </c>
    </row>
    <row r="41" spans="1:36" x14ac:dyDescent="0.55000000000000004">
      <c r="A41">
        <v>22</v>
      </c>
      <c r="B41">
        <f t="shared" si="1"/>
        <v>20</v>
      </c>
      <c r="C41">
        <v>1</v>
      </c>
      <c r="D41" s="15" t="str">
        <f t="shared" si="2"/>
        <v>22_1</v>
      </c>
      <c r="E41" s="15" t="str">
        <f t="shared" si="3"/>
        <v>20_1</v>
      </c>
      <c r="F41" t="s">
        <v>254</v>
      </c>
      <c r="G41" s="16" t="s">
        <v>323</v>
      </c>
      <c r="H41">
        <v>54730</v>
      </c>
      <c r="I41">
        <v>-38.0170202210521</v>
      </c>
      <c r="J41" s="16">
        <v>176.42048967569099</v>
      </c>
      <c r="K41">
        <f t="shared" si="4"/>
        <v>150</v>
      </c>
      <c r="L41" t="s">
        <v>143</v>
      </c>
      <c r="M41" s="20">
        <v>45778.631944444445</v>
      </c>
      <c r="N41" t="s">
        <v>144</v>
      </c>
      <c r="O41">
        <v>5</v>
      </c>
      <c r="P41">
        <v>0</v>
      </c>
      <c r="Q41">
        <v>0</v>
      </c>
      <c r="S41">
        <v>112.65205053481201</v>
      </c>
      <c r="T41">
        <v>153.52894194799001</v>
      </c>
      <c r="U41">
        <v>153.45260302180401</v>
      </c>
      <c r="V41">
        <f t="shared" si="5"/>
        <v>0.13033340331905749</v>
      </c>
      <c r="X41" s="17">
        <v>33805828.956973203</v>
      </c>
      <c r="Y41" s="17">
        <v>60736.7219804458</v>
      </c>
      <c r="Z41" s="18">
        <f t="shared" si="10"/>
        <v>33.805828956973201</v>
      </c>
      <c r="AA41" s="18">
        <f t="shared" si="11"/>
        <v>60.7367219804458</v>
      </c>
      <c r="AB41">
        <v>123.7</v>
      </c>
      <c r="AC41">
        <v>31.5</v>
      </c>
      <c r="AD41">
        <v>124</v>
      </c>
      <c r="AE41">
        <v>1.042</v>
      </c>
      <c r="AF41">
        <v>279</v>
      </c>
      <c r="AG41" t="s">
        <v>50</v>
      </c>
      <c r="AH41">
        <v>3.8</v>
      </c>
      <c r="AI41" t="str">
        <f t="shared" si="12"/>
        <v>Mesotrophic</v>
      </c>
      <c r="AJ41">
        <v>24.8</v>
      </c>
    </row>
    <row r="42" spans="1:36" x14ac:dyDescent="0.55000000000000004">
      <c r="A42">
        <v>3</v>
      </c>
      <c r="B42">
        <f t="shared" ref="B42:B61" si="13">A42-2</f>
        <v>1</v>
      </c>
      <c r="C42">
        <v>2</v>
      </c>
      <c r="D42" s="15" t="str">
        <f t="shared" si="2"/>
        <v>3_2</v>
      </c>
      <c r="E42" s="15" t="str">
        <f t="shared" si="3"/>
        <v>1_2</v>
      </c>
      <c r="F42" t="s">
        <v>254</v>
      </c>
      <c r="G42" t="s">
        <v>268</v>
      </c>
      <c r="H42">
        <v>54730</v>
      </c>
      <c r="I42">
        <v>-38.052667307926299</v>
      </c>
      <c r="J42">
        <v>176.47144524762001</v>
      </c>
      <c r="K42">
        <f>15*10</f>
        <v>150</v>
      </c>
      <c r="L42" t="s">
        <v>143</v>
      </c>
      <c r="M42" s="20">
        <v>45854.55</v>
      </c>
      <c r="N42" t="s">
        <v>315</v>
      </c>
      <c r="P42">
        <v>0</v>
      </c>
      <c r="Q42">
        <v>0</v>
      </c>
      <c r="R42" t="s">
        <v>317</v>
      </c>
      <c r="S42">
        <v>82.9889020904982</v>
      </c>
      <c r="T42">
        <v>164.45001973472199</v>
      </c>
      <c r="U42">
        <v>163.76826676324899</v>
      </c>
      <c r="V42">
        <f t="shared" ref="V42:V61" si="14">20/U42</f>
        <v>0.1221237813361787</v>
      </c>
      <c r="W42">
        <v>3040</v>
      </c>
      <c r="X42" s="17">
        <v>33805828.956973203</v>
      </c>
      <c r="Y42" s="17">
        <v>60736.7219804458</v>
      </c>
      <c r="Z42" s="18">
        <f>X42/1000000</f>
        <v>33.805828956973201</v>
      </c>
      <c r="AA42" s="18">
        <f>Y42/1000</f>
        <v>60.7367219804458</v>
      </c>
      <c r="AB42">
        <v>123.7</v>
      </c>
      <c r="AC42">
        <v>31.5</v>
      </c>
      <c r="AD42">
        <v>124</v>
      </c>
      <c r="AE42">
        <v>1.042</v>
      </c>
      <c r="AF42">
        <v>279</v>
      </c>
      <c r="AG42" t="s">
        <v>50</v>
      </c>
      <c r="AH42">
        <v>3.8</v>
      </c>
      <c r="AI42" t="str">
        <f t="shared" si="12"/>
        <v>Mesotrophic</v>
      </c>
      <c r="AJ42">
        <v>24.8</v>
      </c>
    </row>
    <row r="43" spans="1:36" x14ac:dyDescent="0.55000000000000004">
      <c r="A43">
        <v>4</v>
      </c>
      <c r="B43">
        <f t="shared" si="13"/>
        <v>2</v>
      </c>
      <c r="C43">
        <v>2</v>
      </c>
      <c r="D43" s="15" t="str">
        <f t="shared" si="2"/>
        <v>4_2</v>
      </c>
      <c r="E43" s="15" t="str">
        <f t="shared" si="3"/>
        <v>2_2</v>
      </c>
      <c r="F43" t="s">
        <v>254</v>
      </c>
      <c r="G43" t="s">
        <v>14</v>
      </c>
      <c r="H43">
        <v>54730</v>
      </c>
      <c r="I43">
        <v>-38.052913557037101</v>
      </c>
      <c r="J43">
        <v>176.47093312757499</v>
      </c>
      <c r="K43">
        <f t="shared" si="4"/>
        <v>150</v>
      </c>
      <c r="L43" t="s">
        <v>143</v>
      </c>
      <c r="M43" s="20">
        <v>45854.537499999999</v>
      </c>
      <c r="N43" t="s">
        <v>315</v>
      </c>
      <c r="P43">
        <v>0</v>
      </c>
      <c r="Q43">
        <v>0</v>
      </c>
      <c r="R43" t="s">
        <v>318</v>
      </c>
      <c r="S43">
        <v>105.445519540936</v>
      </c>
      <c r="T43">
        <v>180.302636624781</v>
      </c>
      <c r="U43">
        <v>179.82545515734</v>
      </c>
      <c r="V43">
        <f t="shared" si="14"/>
        <v>0.11121895942096079</v>
      </c>
      <c r="X43" s="17">
        <v>33805828.956973203</v>
      </c>
      <c r="Y43" s="17">
        <v>60736.7219804458</v>
      </c>
      <c r="Z43" s="18">
        <f>X43/1000000</f>
        <v>33.805828956973201</v>
      </c>
      <c r="AA43" s="18">
        <f>Y43/1000</f>
        <v>60.7367219804458</v>
      </c>
      <c r="AB43">
        <v>123.7</v>
      </c>
      <c r="AC43">
        <v>31.5</v>
      </c>
      <c r="AD43">
        <v>124</v>
      </c>
      <c r="AE43">
        <v>1.042</v>
      </c>
      <c r="AF43">
        <v>279</v>
      </c>
      <c r="AG43" t="s">
        <v>50</v>
      </c>
      <c r="AH43">
        <v>3.8</v>
      </c>
      <c r="AI43" t="str">
        <f t="shared" si="12"/>
        <v>Mesotrophic</v>
      </c>
      <c r="AJ43">
        <v>24.8</v>
      </c>
    </row>
    <row r="44" spans="1:36" x14ac:dyDescent="0.55000000000000004">
      <c r="A44">
        <v>5</v>
      </c>
      <c r="B44">
        <f t="shared" si="13"/>
        <v>3</v>
      </c>
      <c r="C44">
        <v>2</v>
      </c>
      <c r="D44" s="15" t="str">
        <f t="shared" si="2"/>
        <v>5_2</v>
      </c>
      <c r="E44" s="15" t="str">
        <f t="shared" si="3"/>
        <v>3_2</v>
      </c>
      <c r="F44" t="s">
        <v>254</v>
      </c>
      <c r="G44" t="s">
        <v>268</v>
      </c>
      <c r="H44">
        <v>54730</v>
      </c>
      <c r="I44">
        <v>-38.047698100528002</v>
      </c>
      <c r="J44">
        <v>176.341122568488</v>
      </c>
      <c r="K44">
        <f t="shared" si="4"/>
        <v>150</v>
      </c>
      <c r="L44" t="s">
        <v>145</v>
      </c>
      <c r="M44" s="20">
        <v>45854.470833333333</v>
      </c>
      <c r="N44" t="s">
        <v>144</v>
      </c>
      <c r="P44">
        <v>0</v>
      </c>
      <c r="Q44">
        <v>0</v>
      </c>
      <c r="S44">
        <v>75.103042747696705</v>
      </c>
      <c r="T44">
        <v>1429.22107248619</v>
      </c>
      <c r="U44">
        <v>1427.7637166842901</v>
      </c>
      <c r="V44">
        <f t="shared" si="14"/>
        <v>1.4007920054479463E-2</v>
      </c>
      <c r="W44">
        <v>1980</v>
      </c>
      <c r="X44" s="17">
        <v>33805828.956973203</v>
      </c>
      <c r="Y44" s="17">
        <v>60736.7219804458</v>
      </c>
      <c r="Z44" s="18">
        <f t="shared" ref="Z44:Z61" si="15">X44/1000000</f>
        <v>33.805828956973201</v>
      </c>
      <c r="AA44" s="18">
        <f t="shared" ref="AA44:AA61" si="16">Y44/1000</f>
        <v>60.7367219804458</v>
      </c>
      <c r="AB44">
        <v>123.7</v>
      </c>
      <c r="AC44">
        <v>31.5</v>
      </c>
      <c r="AD44">
        <v>124</v>
      </c>
      <c r="AE44">
        <v>1.042</v>
      </c>
      <c r="AF44">
        <v>279</v>
      </c>
      <c r="AG44" t="s">
        <v>50</v>
      </c>
      <c r="AH44">
        <v>3.8</v>
      </c>
      <c r="AI44" t="str">
        <f t="shared" si="12"/>
        <v>Mesotrophic</v>
      </c>
      <c r="AJ44">
        <v>24.8</v>
      </c>
    </row>
    <row r="45" spans="1:36" x14ac:dyDescent="0.55000000000000004">
      <c r="A45">
        <v>6</v>
      </c>
      <c r="B45">
        <f t="shared" si="13"/>
        <v>4</v>
      </c>
      <c r="C45">
        <v>2</v>
      </c>
      <c r="D45" s="15" t="str">
        <f t="shared" si="2"/>
        <v>6_2</v>
      </c>
      <c r="E45" s="15" t="str">
        <f t="shared" si="3"/>
        <v>4_2</v>
      </c>
      <c r="F45" t="s">
        <v>254</v>
      </c>
      <c r="G45" t="s">
        <v>14</v>
      </c>
      <c r="H45">
        <v>54730</v>
      </c>
      <c r="I45">
        <v>-38.048018716108501</v>
      </c>
      <c r="J45">
        <v>176.34148463911399</v>
      </c>
      <c r="K45">
        <f t="shared" si="4"/>
        <v>150</v>
      </c>
      <c r="L45" t="s">
        <v>145</v>
      </c>
      <c r="M45" s="20">
        <v>45854.461805555555</v>
      </c>
      <c r="N45" t="s">
        <v>144</v>
      </c>
      <c r="P45">
        <v>0</v>
      </c>
      <c r="Q45">
        <v>0</v>
      </c>
      <c r="S45">
        <v>73.106421389251906</v>
      </c>
      <c r="T45">
        <v>1435.7027457702</v>
      </c>
      <c r="U45">
        <v>1433.7609357772101</v>
      </c>
      <c r="V45">
        <f t="shared" si="14"/>
        <v>1.3949326907249319E-2</v>
      </c>
      <c r="X45" s="17">
        <v>33805828.956973203</v>
      </c>
      <c r="Y45" s="17">
        <v>60736.7219804458</v>
      </c>
      <c r="Z45" s="18">
        <f t="shared" si="15"/>
        <v>33.805828956973201</v>
      </c>
      <c r="AA45" s="18">
        <f t="shared" si="16"/>
        <v>60.7367219804458</v>
      </c>
      <c r="AB45">
        <v>123.7</v>
      </c>
      <c r="AC45">
        <v>31.5</v>
      </c>
      <c r="AD45">
        <v>124</v>
      </c>
      <c r="AE45">
        <v>1.042</v>
      </c>
      <c r="AF45">
        <v>279</v>
      </c>
      <c r="AG45" t="s">
        <v>50</v>
      </c>
      <c r="AH45">
        <v>3.8</v>
      </c>
      <c r="AI45" t="str">
        <f t="shared" ref="AI45:AI61" si="17">IF(ISBLANK(AH45), "", IF(AH45&lt;=2, "Microtrophic", IF(AH45&lt;=3, "Oligotrophic", IF(AH45&lt;=4, "Mesotrophic", IF(AH45&lt;=5, "Eutrophic", "Supertrophic")))))</f>
        <v>Mesotrophic</v>
      </c>
      <c r="AJ45">
        <v>24.8</v>
      </c>
    </row>
    <row r="46" spans="1:36" x14ac:dyDescent="0.55000000000000004">
      <c r="A46">
        <v>7</v>
      </c>
      <c r="B46">
        <f t="shared" si="13"/>
        <v>5</v>
      </c>
      <c r="C46">
        <v>2</v>
      </c>
      <c r="D46" s="15" t="str">
        <f t="shared" si="2"/>
        <v>7_2</v>
      </c>
      <c r="E46" s="15" t="str">
        <f t="shared" si="3"/>
        <v>5_2</v>
      </c>
      <c r="F46" t="s">
        <v>254</v>
      </c>
      <c r="G46" t="s">
        <v>268</v>
      </c>
      <c r="H46">
        <v>54730</v>
      </c>
      <c r="I46">
        <v>-38.022276086430402</v>
      </c>
      <c r="J46">
        <v>176.34864353760901</v>
      </c>
      <c r="K46">
        <f t="shared" si="4"/>
        <v>150</v>
      </c>
      <c r="L46" t="s">
        <v>145</v>
      </c>
      <c r="M46" s="20">
        <v>45854.443055555559</v>
      </c>
      <c r="N46" t="s">
        <v>144</v>
      </c>
      <c r="P46">
        <v>0</v>
      </c>
      <c r="Q46">
        <v>0</v>
      </c>
      <c r="S46">
        <v>267.55142706578999</v>
      </c>
      <c r="T46">
        <v>1689.6854318227199</v>
      </c>
      <c r="U46">
        <v>1687.01869857311</v>
      </c>
      <c r="V46">
        <f t="shared" si="14"/>
        <v>1.1855233150003681E-2</v>
      </c>
      <c r="W46">
        <v>3700</v>
      </c>
      <c r="X46" s="17">
        <v>33805828.956973203</v>
      </c>
      <c r="Y46" s="17">
        <v>60736.7219804458</v>
      </c>
      <c r="Z46" s="18">
        <f t="shared" si="15"/>
        <v>33.805828956973201</v>
      </c>
      <c r="AA46" s="18">
        <f t="shared" si="16"/>
        <v>60.7367219804458</v>
      </c>
      <c r="AB46">
        <v>123.7</v>
      </c>
      <c r="AC46">
        <v>31.5</v>
      </c>
      <c r="AD46">
        <v>124</v>
      </c>
      <c r="AE46">
        <v>1.042</v>
      </c>
      <c r="AF46">
        <v>279</v>
      </c>
      <c r="AG46" t="s">
        <v>50</v>
      </c>
      <c r="AH46">
        <v>3.8</v>
      </c>
      <c r="AI46" t="str">
        <f t="shared" si="17"/>
        <v>Mesotrophic</v>
      </c>
      <c r="AJ46">
        <v>24.8</v>
      </c>
    </row>
    <row r="47" spans="1:36" x14ac:dyDescent="0.55000000000000004">
      <c r="A47">
        <v>8</v>
      </c>
      <c r="B47">
        <f t="shared" si="13"/>
        <v>6</v>
      </c>
      <c r="C47">
        <v>2</v>
      </c>
      <c r="D47" s="15" t="str">
        <f t="shared" si="2"/>
        <v>8_2</v>
      </c>
      <c r="E47" s="15" t="str">
        <f t="shared" si="3"/>
        <v>6_2</v>
      </c>
      <c r="F47" t="s">
        <v>254</v>
      </c>
      <c r="G47" t="s">
        <v>14</v>
      </c>
      <c r="H47">
        <v>54730</v>
      </c>
      <c r="I47">
        <v>-38.0218725085535</v>
      </c>
      <c r="J47">
        <v>176.348304238168</v>
      </c>
      <c r="K47">
        <f t="shared" si="4"/>
        <v>150</v>
      </c>
      <c r="L47" t="s">
        <v>145</v>
      </c>
      <c r="M47" s="20">
        <v>45854.434027777781</v>
      </c>
      <c r="N47" t="s">
        <v>144</v>
      </c>
      <c r="P47">
        <v>0</v>
      </c>
      <c r="Q47">
        <v>0</v>
      </c>
      <c r="S47">
        <v>220.524873221001</v>
      </c>
      <c r="T47">
        <v>1741.0626313093101</v>
      </c>
      <c r="U47">
        <v>1738.0749000713899</v>
      </c>
      <c r="V47">
        <f t="shared" si="14"/>
        <v>1.1506983962071208E-2</v>
      </c>
      <c r="X47" s="17">
        <v>33805828.956973203</v>
      </c>
      <c r="Y47" s="17">
        <v>60736.7219804458</v>
      </c>
      <c r="Z47" s="18">
        <f t="shared" si="15"/>
        <v>33.805828956973201</v>
      </c>
      <c r="AA47" s="18">
        <f t="shared" si="16"/>
        <v>60.7367219804458</v>
      </c>
      <c r="AB47">
        <v>123.7</v>
      </c>
      <c r="AC47">
        <v>31.5</v>
      </c>
      <c r="AD47">
        <v>124</v>
      </c>
      <c r="AE47">
        <v>1.042</v>
      </c>
      <c r="AF47">
        <v>279</v>
      </c>
      <c r="AG47" t="s">
        <v>50</v>
      </c>
      <c r="AH47">
        <v>3.8</v>
      </c>
      <c r="AI47" t="str">
        <f t="shared" si="17"/>
        <v>Mesotrophic</v>
      </c>
      <c r="AJ47">
        <v>24.8</v>
      </c>
    </row>
    <row r="48" spans="1:36" x14ac:dyDescent="0.55000000000000004">
      <c r="A48">
        <v>9</v>
      </c>
      <c r="B48">
        <f t="shared" si="13"/>
        <v>7</v>
      </c>
      <c r="C48">
        <v>2</v>
      </c>
      <c r="D48" s="15" t="str">
        <f t="shared" si="2"/>
        <v>9_2</v>
      </c>
      <c r="E48" s="15" t="str">
        <f t="shared" si="3"/>
        <v>7_2</v>
      </c>
      <c r="F48" t="s">
        <v>254</v>
      </c>
      <c r="G48" t="s">
        <v>268</v>
      </c>
      <c r="H48">
        <v>54730</v>
      </c>
      <c r="I48">
        <v>-38.040070098908799</v>
      </c>
      <c r="J48">
        <v>176.36833341789901</v>
      </c>
      <c r="K48">
        <f t="shared" si="4"/>
        <v>150</v>
      </c>
      <c r="L48" t="s">
        <v>145</v>
      </c>
      <c r="M48" s="20">
        <v>45854.502083333333</v>
      </c>
      <c r="N48" t="s">
        <v>144</v>
      </c>
      <c r="P48">
        <v>0</v>
      </c>
      <c r="Q48">
        <v>0</v>
      </c>
      <c r="S48">
        <v>130.67824847969601</v>
      </c>
      <c r="T48">
        <v>334.10486413213903</v>
      </c>
      <c r="U48">
        <v>332.37012426407</v>
      </c>
      <c r="V48">
        <f t="shared" si="14"/>
        <v>6.0173880081080586E-2</v>
      </c>
      <c r="W48">
        <v>1920</v>
      </c>
      <c r="X48" s="17">
        <v>33805828.956973203</v>
      </c>
      <c r="Y48" s="17">
        <v>60736.7219804458</v>
      </c>
      <c r="Z48" s="18">
        <f t="shared" si="15"/>
        <v>33.805828956973201</v>
      </c>
      <c r="AA48" s="18">
        <f t="shared" si="16"/>
        <v>60.7367219804458</v>
      </c>
      <c r="AB48">
        <v>123.7</v>
      </c>
      <c r="AC48">
        <v>31.5</v>
      </c>
      <c r="AD48">
        <v>124</v>
      </c>
      <c r="AE48">
        <v>1.042</v>
      </c>
      <c r="AF48">
        <v>279</v>
      </c>
      <c r="AG48" t="s">
        <v>50</v>
      </c>
      <c r="AH48">
        <v>3.8</v>
      </c>
      <c r="AI48" t="str">
        <f t="shared" si="17"/>
        <v>Mesotrophic</v>
      </c>
      <c r="AJ48">
        <v>24.8</v>
      </c>
    </row>
    <row r="49" spans="1:36" x14ac:dyDescent="0.55000000000000004">
      <c r="A49">
        <v>10</v>
      </c>
      <c r="B49">
        <f t="shared" si="13"/>
        <v>8</v>
      </c>
      <c r="C49">
        <v>2</v>
      </c>
      <c r="D49" s="15" t="str">
        <f t="shared" si="2"/>
        <v>10_2</v>
      </c>
      <c r="E49" s="15" t="str">
        <f t="shared" si="3"/>
        <v>8_2</v>
      </c>
      <c r="F49" t="s">
        <v>254</v>
      </c>
      <c r="G49" t="s">
        <v>14</v>
      </c>
      <c r="H49">
        <v>54730</v>
      </c>
      <c r="I49">
        <v>-38.039988426991101</v>
      </c>
      <c r="J49">
        <v>176.36764097484499</v>
      </c>
      <c r="K49">
        <f t="shared" si="4"/>
        <v>150</v>
      </c>
      <c r="L49" t="s">
        <v>145</v>
      </c>
      <c r="M49" s="20">
        <v>45854.5</v>
      </c>
      <c r="N49" t="s">
        <v>315</v>
      </c>
      <c r="P49">
        <v>0</v>
      </c>
      <c r="Q49">
        <v>0</v>
      </c>
      <c r="S49">
        <v>69.508184012671805</v>
      </c>
      <c r="T49">
        <v>381.61439291613999</v>
      </c>
      <c r="U49">
        <v>380.35946405720301</v>
      </c>
      <c r="V49">
        <f t="shared" si="14"/>
        <v>5.2581838733982866E-2</v>
      </c>
      <c r="X49" s="17">
        <v>33805828.956973203</v>
      </c>
      <c r="Y49" s="17">
        <v>60736.7219804458</v>
      </c>
      <c r="Z49" s="18">
        <f t="shared" si="15"/>
        <v>33.805828956973201</v>
      </c>
      <c r="AA49" s="18">
        <f t="shared" si="16"/>
        <v>60.7367219804458</v>
      </c>
      <c r="AB49">
        <v>123.7</v>
      </c>
      <c r="AC49">
        <v>31.5</v>
      </c>
      <c r="AD49">
        <v>124</v>
      </c>
      <c r="AE49">
        <v>1.042</v>
      </c>
      <c r="AF49">
        <v>279</v>
      </c>
      <c r="AG49" t="s">
        <v>50</v>
      </c>
      <c r="AH49">
        <v>3.8</v>
      </c>
      <c r="AI49" t="str">
        <f t="shared" si="17"/>
        <v>Mesotrophic</v>
      </c>
      <c r="AJ49">
        <v>24.8</v>
      </c>
    </row>
    <row r="50" spans="1:36" x14ac:dyDescent="0.55000000000000004">
      <c r="A50">
        <v>11</v>
      </c>
      <c r="B50">
        <f t="shared" si="13"/>
        <v>9</v>
      </c>
      <c r="C50">
        <v>2</v>
      </c>
      <c r="D50" s="15" t="str">
        <f t="shared" si="2"/>
        <v>11_2</v>
      </c>
      <c r="E50" s="15" t="str">
        <f t="shared" si="3"/>
        <v>9_2</v>
      </c>
      <c r="F50" t="s">
        <v>254</v>
      </c>
      <c r="G50" t="s">
        <v>268</v>
      </c>
      <c r="H50">
        <v>54730</v>
      </c>
      <c r="I50">
        <v>-38.014983800000003</v>
      </c>
      <c r="J50">
        <v>176.4133799</v>
      </c>
      <c r="K50">
        <f t="shared" si="4"/>
        <v>150</v>
      </c>
      <c r="L50" t="s">
        <v>145</v>
      </c>
      <c r="M50" s="20">
        <v>45854.406944444447</v>
      </c>
      <c r="N50" t="s">
        <v>314</v>
      </c>
      <c r="P50">
        <v>0</v>
      </c>
      <c r="Q50">
        <v>0</v>
      </c>
      <c r="S50">
        <v>168.339491020125</v>
      </c>
      <c r="T50">
        <v>259.826404337621</v>
      </c>
      <c r="U50">
        <v>256.26720359303403</v>
      </c>
      <c r="V50">
        <f t="shared" si="14"/>
        <v>7.8043540958760635E-2</v>
      </c>
      <c r="W50">
        <v>3010</v>
      </c>
      <c r="X50" s="17">
        <v>33805828.956973203</v>
      </c>
      <c r="Y50" s="17">
        <v>60736.7219804458</v>
      </c>
      <c r="Z50" s="18">
        <f t="shared" si="15"/>
        <v>33.805828956973201</v>
      </c>
      <c r="AA50" s="18">
        <f t="shared" si="16"/>
        <v>60.7367219804458</v>
      </c>
      <c r="AB50">
        <v>123.7</v>
      </c>
      <c r="AC50">
        <v>31.5</v>
      </c>
      <c r="AD50">
        <v>124</v>
      </c>
      <c r="AE50">
        <v>1.042</v>
      </c>
      <c r="AF50">
        <v>279</v>
      </c>
      <c r="AG50" t="s">
        <v>50</v>
      </c>
      <c r="AH50">
        <v>3.8</v>
      </c>
      <c r="AI50" t="str">
        <f t="shared" si="17"/>
        <v>Mesotrophic</v>
      </c>
      <c r="AJ50">
        <v>24.8</v>
      </c>
    </row>
    <row r="51" spans="1:36" x14ac:dyDescent="0.55000000000000004">
      <c r="A51">
        <v>12</v>
      </c>
      <c r="B51">
        <f t="shared" si="13"/>
        <v>10</v>
      </c>
      <c r="C51">
        <v>2</v>
      </c>
      <c r="D51" s="15" t="str">
        <f t="shared" si="2"/>
        <v>12_2</v>
      </c>
      <c r="E51" s="15" t="str">
        <f t="shared" si="3"/>
        <v>10_2</v>
      </c>
      <c r="F51" t="s">
        <v>254</v>
      </c>
      <c r="G51" t="s">
        <v>14</v>
      </c>
      <c r="H51">
        <v>54730</v>
      </c>
      <c r="I51">
        <v>-38.014989425094797</v>
      </c>
      <c r="J51">
        <v>176.41420505142599</v>
      </c>
      <c r="K51">
        <f t="shared" si="4"/>
        <v>150</v>
      </c>
      <c r="L51" t="s">
        <v>143</v>
      </c>
      <c r="M51" s="20">
        <v>45854.409722222219</v>
      </c>
      <c r="N51" t="s">
        <v>314</v>
      </c>
      <c r="P51">
        <v>0</v>
      </c>
      <c r="Q51">
        <v>0</v>
      </c>
      <c r="S51">
        <v>138.622117701376</v>
      </c>
      <c r="T51">
        <v>221.36538172916099</v>
      </c>
      <c r="U51">
        <v>219.14673183582099</v>
      </c>
      <c r="V51">
        <f t="shared" si="14"/>
        <v>9.1263053902092772E-2</v>
      </c>
      <c r="X51" s="17">
        <v>33805828.956973203</v>
      </c>
      <c r="Y51" s="17">
        <v>60736.7219804458</v>
      </c>
      <c r="Z51" s="18">
        <f t="shared" si="15"/>
        <v>33.805828956973201</v>
      </c>
      <c r="AA51" s="18">
        <f t="shared" si="16"/>
        <v>60.7367219804458</v>
      </c>
      <c r="AB51">
        <v>123.7</v>
      </c>
      <c r="AC51">
        <v>31.5</v>
      </c>
      <c r="AD51">
        <v>124</v>
      </c>
      <c r="AE51">
        <v>1.042</v>
      </c>
      <c r="AF51">
        <v>279</v>
      </c>
      <c r="AG51" t="s">
        <v>50</v>
      </c>
      <c r="AH51">
        <v>3.8</v>
      </c>
      <c r="AI51" t="str">
        <f t="shared" si="17"/>
        <v>Mesotrophic</v>
      </c>
      <c r="AJ51">
        <v>24.8</v>
      </c>
    </row>
    <row r="52" spans="1:36" x14ac:dyDescent="0.55000000000000004">
      <c r="A52">
        <v>13</v>
      </c>
      <c r="B52">
        <f t="shared" si="13"/>
        <v>11</v>
      </c>
      <c r="C52">
        <v>2</v>
      </c>
      <c r="D52" s="15" t="str">
        <f t="shared" si="2"/>
        <v>13_2</v>
      </c>
      <c r="E52" s="15" t="str">
        <f t="shared" si="3"/>
        <v>11_2</v>
      </c>
      <c r="F52" t="s">
        <v>254</v>
      </c>
      <c r="G52" s="16" t="s">
        <v>323</v>
      </c>
      <c r="H52">
        <v>54730</v>
      </c>
      <c r="I52">
        <v>-38.027605602270803</v>
      </c>
      <c r="J52" s="16">
        <v>176.40494378912001</v>
      </c>
      <c r="K52">
        <f t="shared" si="4"/>
        <v>150</v>
      </c>
      <c r="L52" t="s">
        <v>143</v>
      </c>
      <c r="M52" s="20"/>
      <c r="P52">
        <v>0</v>
      </c>
      <c r="Q52">
        <v>0</v>
      </c>
      <c r="S52">
        <v>38.942244562325001</v>
      </c>
      <c r="T52">
        <v>121.850769016352</v>
      </c>
      <c r="U52">
        <v>119.249019758657</v>
      </c>
      <c r="V52">
        <f t="shared" si="14"/>
        <v>0.16771626333262232</v>
      </c>
      <c r="X52" s="17">
        <v>33805828.956973203</v>
      </c>
      <c r="Y52" s="17">
        <v>60736.7219804458</v>
      </c>
      <c r="Z52" s="18">
        <f t="shared" si="15"/>
        <v>33.805828956973201</v>
      </c>
      <c r="AA52" s="18">
        <f t="shared" si="16"/>
        <v>60.7367219804458</v>
      </c>
      <c r="AB52">
        <v>123.7</v>
      </c>
      <c r="AC52">
        <v>31.5</v>
      </c>
      <c r="AD52">
        <v>124</v>
      </c>
      <c r="AE52">
        <v>1.042</v>
      </c>
      <c r="AF52">
        <v>279</v>
      </c>
      <c r="AG52" t="s">
        <v>50</v>
      </c>
      <c r="AH52">
        <v>3.8</v>
      </c>
      <c r="AI52" t="str">
        <f t="shared" si="17"/>
        <v>Mesotrophic</v>
      </c>
      <c r="AJ52">
        <v>24.8</v>
      </c>
    </row>
    <row r="53" spans="1:36" x14ac:dyDescent="0.55000000000000004">
      <c r="A53">
        <v>14</v>
      </c>
      <c r="B53">
        <f t="shared" si="13"/>
        <v>12</v>
      </c>
      <c r="C53">
        <v>2</v>
      </c>
      <c r="D53" s="15" t="str">
        <f t="shared" si="2"/>
        <v>14_2</v>
      </c>
      <c r="E53" s="15" t="str">
        <f t="shared" si="3"/>
        <v>12_2</v>
      </c>
      <c r="F53" t="s">
        <v>254</v>
      </c>
      <c r="G53" s="16" t="s">
        <v>323</v>
      </c>
      <c r="H53">
        <v>54730</v>
      </c>
      <c r="I53">
        <v>-38.027782999999999</v>
      </c>
      <c r="J53" s="16">
        <v>176.4042814</v>
      </c>
      <c r="K53">
        <f t="shared" si="4"/>
        <v>150</v>
      </c>
      <c r="L53" t="s">
        <v>143</v>
      </c>
      <c r="M53" s="20"/>
      <c r="P53">
        <v>0</v>
      </c>
      <c r="Q53">
        <v>0</v>
      </c>
      <c r="S53">
        <v>70.918634145760194</v>
      </c>
      <c r="T53">
        <v>162.05012479636801</v>
      </c>
      <c r="U53">
        <v>160.73463283398701</v>
      </c>
      <c r="V53">
        <f t="shared" si="14"/>
        <v>0.12442869123704522</v>
      </c>
      <c r="X53" s="17">
        <v>33805828.956973203</v>
      </c>
      <c r="Y53" s="17">
        <v>60736.7219804458</v>
      </c>
      <c r="Z53" s="18">
        <f t="shared" si="15"/>
        <v>33.805828956973201</v>
      </c>
      <c r="AA53" s="18">
        <f t="shared" si="16"/>
        <v>60.7367219804458</v>
      </c>
      <c r="AB53">
        <v>123.7</v>
      </c>
      <c r="AC53">
        <v>31.5</v>
      </c>
      <c r="AD53">
        <v>124</v>
      </c>
      <c r="AE53">
        <v>1.042</v>
      </c>
      <c r="AF53">
        <v>279</v>
      </c>
      <c r="AG53" t="s">
        <v>50</v>
      </c>
      <c r="AH53">
        <v>3.8</v>
      </c>
      <c r="AI53" t="str">
        <f t="shared" si="17"/>
        <v>Mesotrophic</v>
      </c>
      <c r="AJ53">
        <v>24.8</v>
      </c>
    </row>
    <row r="54" spans="1:36" x14ac:dyDescent="0.55000000000000004">
      <c r="A54">
        <v>15</v>
      </c>
      <c r="B54">
        <f t="shared" si="13"/>
        <v>13</v>
      </c>
      <c r="C54">
        <v>2</v>
      </c>
      <c r="D54" s="15" t="str">
        <f t="shared" si="2"/>
        <v>15_2</v>
      </c>
      <c r="E54" s="15" t="str">
        <f t="shared" si="3"/>
        <v>13_2</v>
      </c>
      <c r="F54" t="s">
        <v>254</v>
      </c>
      <c r="G54" s="16" t="s">
        <v>323</v>
      </c>
      <c r="H54">
        <v>54730</v>
      </c>
      <c r="I54">
        <v>-38.040194900000003</v>
      </c>
      <c r="J54" s="16">
        <v>176.35867870000001</v>
      </c>
      <c r="K54">
        <f t="shared" si="4"/>
        <v>150</v>
      </c>
      <c r="L54" t="s">
        <v>145</v>
      </c>
      <c r="M54" s="20"/>
      <c r="P54">
        <v>0</v>
      </c>
      <c r="Q54">
        <v>0</v>
      </c>
      <c r="S54">
        <v>63.335015819361701</v>
      </c>
      <c r="T54">
        <v>218.54441100186699</v>
      </c>
      <c r="U54">
        <v>218.38448285811299</v>
      </c>
      <c r="V54">
        <f t="shared" si="14"/>
        <v>9.1581598372967921E-2</v>
      </c>
      <c r="X54" s="17">
        <v>33805828.956973203</v>
      </c>
      <c r="Y54" s="17">
        <v>60736.7219804458</v>
      </c>
      <c r="Z54" s="18">
        <f t="shared" si="15"/>
        <v>33.805828956973201</v>
      </c>
      <c r="AA54" s="18">
        <f t="shared" si="16"/>
        <v>60.7367219804458</v>
      </c>
      <c r="AB54">
        <v>123.7</v>
      </c>
      <c r="AC54">
        <v>31.5</v>
      </c>
      <c r="AD54">
        <v>124</v>
      </c>
      <c r="AE54">
        <v>1.042</v>
      </c>
      <c r="AF54">
        <v>279</v>
      </c>
      <c r="AG54" t="s">
        <v>50</v>
      </c>
      <c r="AH54">
        <v>3.8</v>
      </c>
      <c r="AI54" t="str">
        <f t="shared" si="17"/>
        <v>Mesotrophic</v>
      </c>
      <c r="AJ54">
        <v>24.8</v>
      </c>
    </row>
    <row r="55" spans="1:36" x14ac:dyDescent="0.55000000000000004">
      <c r="A55">
        <v>16</v>
      </c>
      <c r="B55">
        <f t="shared" si="13"/>
        <v>14</v>
      </c>
      <c r="C55">
        <v>2</v>
      </c>
      <c r="D55" s="15" t="str">
        <f t="shared" si="2"/>
        <v>16_2</v>
      </c>
      <c r="E55" s="15" t="str">
        <f t="shared" si="3"/>
        <v>14_2</v>
      </c>
      <c r="F55" t="s">
        <v>254</v>
      </c>
      <c r="G55" s="16" t="s">
        <v>323</v>
      </c>
      <c r="H55">
        <v>54730</v>
      </c>
      <c r="I55">
        <v>-38.039811399999998</v>
      </c>
      <c r="J55" s="16">
        <v>176.3581623</v>
      </c>
      <c r="K55">
        <f t="shared" si="4"/>
        <v>150</v>
      </c>
      <c r="L55" t="s">
        <v>145</v>
      </c>
      <c r="M55" s="20"/>
      <c r="P55">
        <v>0</v>
      </c>
      <c r="Q55">
        <v>0</v>
      </c>
      <c r="S55">
        <v>59.880478669367001</v>
      </c>
      <c r="T55">
        <v>183.12960987940701</v>
      </c>
      <c r="U55">
        <v>182.742768352052</v>
      </c>
      <c r="V55">
        <f t="shared" si="14"/>
        <v>0.10944345530253878</v>
      </c>
      <c r="X55" s="17">
        <v>33805828.956973203</v>
      </c>
      <c r="Y55" s="17">
        <v>60736.7219804458</v>
      </c>
      <c r="Z55" s="18">
        <f t="shared" si="15"/>
        <v>33.805828956973201</v>
      </c>
      <c r="AA55" s="18">
        <f t="shared" si="16"/>
        <v>60.7367219804458</v>
      </c>
      <c r="AB55">
        <v>123.7</v>
      </c>
      <c r="AC55">
        <v>31.5</v>
      </c>
      <c r="AD55">
        <v>124</v>
      </c>
      <c r="AE55">
        <v>1.042</v>
      </c>
      <c r="AF55">
        <v>279</v>
      </c>
      <c r="AG55" t="s">
        <v>50</v>
      </c>
      <c r="AH55">
        <v>3.8</v>
      </c>
      <c r="AI55" t="str">
        <f t="shared" si="17"/>
        <v>Mesotrophic</v>
      </c>
      <c r="AJ55">
        <v>24.8</v>
      </c>
    </row>
    <row r="56" spans="1:36" x14ac:dyDescent="0.55000000000000004">
      <c r="A56">
        <v>17</v>
      </c>
      <c r="B56">
        <f t="shared" si="13"/>
        <v>15</v>
      </c>
      <c r="C56">
        <v>2</v>
      </c>
      <c r="D56" s="15" t="str">
        <f t="shared" si="2"/>
        <v>17_2</v>
      </c>
      <c r="E56" s="15" t="str">
        <f t="shared" si="3"/>
        <v>15_2</v>
      </c>
      <c r="F56" t="s">
        <v>254</v>
      </c>
      <c r="G56" s="16" t="s">
        <v>323</v>
      </c>
      <c r="H56">
        <v>54730</v>
      </c>
      <c r="I56">
        <v>-38.035432005463697</v>
      </c>
      <c r="J56" s="16">
        <v>176.345087343881</v>
      </c>
      <c r="K56">
        <f t="shared" si="4"/>
        <v>150</v>
      </c>
      <c r="L56" t="s">
        <v>143</v>
      </c>
      <c r="M56" s="20"/>
      <c r="P56">
        <v>0</v>
      </c>
      <c r="Q56">
        <v>0</v>
      </c>
      <c r="S56">
        <v>57.9411293181277</v>
      </c>
      <c r="T56">
        <v>639.03395274642901</v>
      </c>
      <c r="U56">
        <v>638.65612301617796</v>
      </c>
      <c r="V56">
        <f t="shared" si="14"/>
        <v>3.1315757070559509E-2</v>
      </c>
      <c r="X56" s="17">
        <v>33805828.956973203</v>
      </c>
      <c r="Y56" s="17">
        <v>60736.7219804458</v>
      </c>
      <c r="Z56" s="18">
        <f t="shared" si="15"/>
        <v>33.805828956973201</v>
      </c>
      <c r="AA56" s="18">
        <f t="shared" si="16"/>
        <v>60.7367219804458</v>
      </c>
      <c r="AB56">
        <v>123.7</v>
      </c>
      <c r="AC56">
        <v>31.5</v>
      </c>
      <c r="AD56">
        <v>124</v>
      </c>
      <c r="AE56">
        <v>1.042</v>
      </c>
      <c r="AF56">
        <v>279</v>
      </c>
      <c r="AG56" t="s">
        <v>50</v>
      </c>
      <c r="AH56">
        <v>3.8</v>
      </c>
      <c r="AI56" t="str">
        <f t="shared" si="17"/>
        <v>Mesotrophic</v>
      </c>
      <c r="AJ56">
        <v>24.8</v>
      </c>
    </row>
    <row r="57" spans="1:36" x14ac:dyDescent="0.55000000000000004">
      <c r="A57">
        <v>18</v>
      </c>
      <c r="B57">
        <f t="shared" si="13"/>
        <v>16</v>
      </c>
      <c r="C57">
        <v>2</v>
      </c>
      <c r="D57" s="15" t="str">
        <f t="shared" si="2"/>
        <v>18_2</v>
      </c>
      <c r="E57" s="15" t="str">
        <f t="shared" si="3"/>
        <v>16_2</v>
      </c>
      <c r="F57" t="s">
        <v>254</v>
      </c>
      <c r="G57" s="16" t="s">
        <v>323</v>
      </c>
      <c r="H57">
        <v>54730</v>
      </c>
      <c r="I57">
        <v>-38.035946522853997</v>
      </c>
      <c r="J57" s="16">
        <v>176.34572710770701</v>
      </c>
      <c r="K57">
        <f t="shared" si="4"/>
        <v>150</v>
      </c>
      <c r="L57" t="s">
        <v>143</v>
      </c>
      <c r="M57" s="20"/>
      <c r="P57">
        <v>0</v>
      </c>
      <c r="Q57">
        <v>0</v>
      </c>
      <c r="S57">
        <v>27.586278169075001</v>
      </c>
      <c r="T57">
        <v>565.61863728637502</v>
      </c>
      <c r="U57">
        <v>565.447481720974</v>
      </c>
      <c r="V57">
        <f t="shared" si="14"/>
        <v>3.537021676907779E-2</v>
      </c>
      <c r="X57" s="17">
        <v>33805828.956973203</v>
      </c>
      <c r="Y57" s="17">
        <v>60736.7219804458</v>
      </c>
      <c r="Z57" s="18">
        <f t="shared" si="15"/>
        <v>33.805828956973201</v>
      </c>
      <c r="AA57" s="18">
        <f t="shared" si="16"/>
        <v>60.7367219804458</v>
      </c>
      <c r="AB57">
        <v>123.7</v>
      </c>
      <c r="AC57">
        <v>31.5</v>
      </c>
      <c r="AD57">
        <v>124</v>
      </c>
      <c r="AE57">
        <v>1.042</v>
      </c>
      <c r="AF57">
        <v>279</v>
      </c>
      <c r="AG57" t="s">
        <v>50</v>
      </c>
      <c r="AH57">
        <v>3.8</v>
      </c>
      <c r="AI57" t="str">
        <f t="shared" si="17"/>
        <v>Mesotrophic</v>
      </c>
      <c r="AJ57">
        <v>24.8</v>
      </c>
    </row>
    <row r="58" spans="1:36" x14ac:dyDescent="0.55000000000000004">
      <c r="A58">
        <v>19</v>
      </c>
      <c r="B58">
        <f t="shared" si="13"/>
        <v>17</v>
      </c>
      <c r="C58">
        <v>2</v>
      </c>
      <c r="D58" s="15" t="str">
        <f t="shared" si="2"/>
        <v>19_2</v>
      </c>
      <c r="E58" s="15" t="str">
        <f t="shared" si="3"/>
        <v>17_2</v>
      </c>
      <c r="F58" t="s">
        <v>254</v>
      </c>
      <c r="G58" s="16" t="s">
        <v>323</v>
      </c>
      <c r="H58">
        <v>54730</v>
      </c>
      <c r="I58">
        <v>-38.0174132</v>
      </c>
      <c r="J58" s="16">
        <v>176.37552679999999</v>
      </c>
      <c r="K58">
        <f t="shared" si="4"/>
        <v>150</v>
      </c>
      <c r="L58" t="s">
        <v>143</v>
      </c>
      <c r="M58" s="20"/>
      <c r="P58">
        <v>0</v>
      </c>
      <c r="Q58">
        <v>0</v>
      </c>
      <c r="S58">
        <v>13.9155980353024</v>
      </c>
      <c r="T58">
        <v>411.55710413086803</v>
      </c>
      <c r="U58">
        <v>410.69456668695398</v>
      </c>
      <c r="V58">
        <f t="shared" si="14"/>
        <v>4.8697990239653481E-2</v>
      </c>
      <c r="X58" s="17">
        <v>33805828.956973203</v>
      </c>
      <c r="Y58" s="17">
        <v>60736.7219804458</v>
      </c>
      <c r="Z58" s="18">
        <f t="shared" si="15"/>
        <v>33.805828956973201</v>
      </c>
      <c r="AA58" s="18">
        <f t="shared" si="16"/>
        <v>60.7367219804458</v>
      </c>
      <c r="AB58">
        <v>123.7</v>
      </c>
      <c r="AC58">
        <v>31.5</v>
      </c>
      <c r="AD58">
        <v>124</v>
      </c>
      <c r="AE58">
        <v>1.042</v>
      </c>
      <c r="AF58">
        <v>279</v>
      </c>
      <c r="AG58" t="s">
        <v>50</v>
      </c>
      <c r="AH58">
        <v>3.8</v>
      </c>
      <c r="AI58" t="str">
        <f t="shared" si="17"/>
        <v>Mesotrophic</v>
      </c>
      <c r="AJ58">
        <v>24.8</v>
      </c>
    </row>
    <row r="59" spans="1:36" x14ac:dyDescent="0.55000000000000004">
      <c r="A59">
        <v>20</v>
      </c>
      <c r="B59">
        <f t="shared" si="13"/>
        <v>18</v>
      </c>
      <c r="C59">
        <v>2</v>
      </c>
      <c r="D59" s="15" t="str">
        <f t="shared" si="2"/>
        <v>20_2</v>
      </c>
      <c r="E59" s="15" t="str">
        <f t="shared" si="3"/>
        <v>18_2</v>
      </c>
      <c r="F59" t="s">
        <v>254</v>
      </c>
      <c r="G59" s="16" t="s">
        <v>323</v>
      </c>
      <c r="H59">
        <v>54730</v>
      </c>
      <c r="I59">
        <v>-38.0172588</v>
      </c>
      <c r="J59" s="16">
        <v>176.3757789</v>
      </c>
      <c r="K59">
        <f t="shared" si="4"/>
        <v>150</v>
      </c>
      <c r="L59" t="s">
        <v>143</v>
      </c>
      <c r="M59" s="20"/>
      <c r="P59">
        <v>0</v>
      </c>
      <c r="Q59">
        <v>0</v>
      </c>
      <c r="S59">
        <v>10.2582815366794</v>
      </c>
      <c r="T59">
        <v>393.99543134125298</v>
      </c>
      <c r="U59">
        <v>393.14630596845097</v>
      </c>
      <c r="V59">
        <f t="shared" si="14"/>
        <v>5.0871646754338196E-2</v>
      </c>
      <c r="X59" s="17">
        <v>33805828.956973203</v>
      </c>
      <c r="Y59" s="17">
        <v>60736.7219804458</v>
      </c>
      <c r="Z59" s="18">
        <f t="shared" si="15"/>
        <v>33.805828956973201</v>
      </c>
      <c r="AA59" s="18">
        <f t="shared" si="16"/>
        <v>60.7367219804458</v>
      </c>
      <c r="AB59">
        <v>123.7</v>
      </c>
      <c r="AC59">
        <v>31.5</v>
      </c>
      <c r="AD59">
        <v>124</v>
      </c>
      <c r="AE59">
        <v>1.042</v>
      </c>
      <c r="AF59">
        <v>279</v>
      </c>
      <c r="AG59" t="s">
        <v>50</v>
      </c>
      <c r="AH59">
        <v>3.8</v>
      </c>
      <c r="AI59" t="str">
        <f t="shared" si="17"/>
        <v>Mesotrophic</v>
      </c>
      <c r="AJ59">
        <v>24.8</v>
      </c>
    </row>
    <row r="60" spans="1:36" x14ac:dyDescent="0.55000000000000004">
      <c r="A60">
        <v>21</v>
      </c>
      <c r="B60">
        <f t="shared" si="13"/>
        <v>19</v>
      </c>
      <c r="C60">
        <v>2</v>
      </c>
      <c r="D60" s="15" t="str">
        <f t="shared" si="2"/>
        <v>21_2</v>
      </c>
      <c r="E60" s="15" t="str">
        <f t="shared" si="3"/>
        <v>19_2</v>
      </c>
      <c r="F60" t="s">
        <v>254</v>
      </c>
      <c r="G60" s="16" t="s">
        <v>323</v>
      </c>
      <c r="H60">
        <v>54730</v>
      </c>
      <c r="I60">
        <v>-38.016770000000001</v>
      </c>
      <c r="J60" s="16">
        <v>176.42099999999999</v>
      </c>
      <c r="K60">
        <f t="shared" si="4"/>
        <v>150</v>
      </c>
      <c r="L60" t="s">
        <v>143</v>
      </c>
      <c r="M60" s="20"/>
      <c r="P60">
        <v>0</v>
      </c>
      <c r="Q60">
        <v>0</v>
      </c>
      <c r="S60">
        <v>142.69564315661299</v>
      </c>
      <c r="T60">
        <v>187.90193049333001</v>
      </c>
      <c r="U60">
        <v>187.539175274033</v>
      </c>
      <c r="V60">
        <f t="shared" si="14"/>
        <v>0.10664438494397728</v>
      </c>
      <c r="X60" s="17">
        <v>33805828.956973203</v>
      </c>
      <c r="Y60" s="17">
        <v>60736.7219804458</v>
      </c>
      <c r="Z60" s="18">
        <f t="shared" si="15"/>
        <v>33.805828956973201</v>
      </c>
      <c r="AA60" s="18">
        <f t="shared" si="16"/>
        <v>60.7367219804458</v>
      </c>
      <c r="AB60">
        <v>123.7</v>
      </c>
      <c r="AC60">
        <v>31.5</v>
      </c>
      <c r="AD60">
        <v>124</v>
      </c>
      <c r="AE60">
        <v>1.042</v>
      </c>
      <c r="AF60">
        <v>279</v>
      </c>
      <c r="AG60" t="s">
        <v>50</v>
      </c>
      <c r="AH60">
        <v>3.8</v>
      </c>
      <c r="AI60" t="str">
        <f t="shared" si="17"/>
        <v>Mesotrophic</v>
      </c>
      <c r="AJ60">
        <v>24.8</v>
      </c>
    </row>
    <row r="61" spans="1:36" x14ac:dyDescent="0.55000000000000004">
      <c r="A61">
        <v>22</v>
      </c>
      <c r="B61">
        <f t="shared" si="13"/>
        <v>20</v>
      </c>
      <c r="C61">
        <v>2</v>
      </c>
      <c r="D61" s="15" t="str">
        <f t="shared" si="2"/>
        <v>22_2</v>
      </c>
      <c r="E61" s="15" t="str">
        <f t="shared" si="3"/>
        <v>20_2</v>
      </c>
      <c r="F61" t="s">
        <v>254</v>
      </c>
      <c r="G61" s="16" t="s">
        <v>323</v>
      </c>
      <c r="H61">
        <v>54730</v>
      </c>
      <c r="I61">
        <v>-38.0170202210521</v>
      </c>
      <c r="J61" s="16">
        <v>176.42048967569099</v>
      </c>
      <c r="K61">
        <f t="shared" si="4"/>
        <v>150</v>
      </c>
      <c r="L61" t="s">
        <v>143</v>
      </c>
      <c r="M61" s="20"/>
      <c r="P61">
        <v>0</v>
      </c>
      <c r="Q61">
        <v>0</v>
      </c>
      <c r="S61">
        <v>112.65205053481201</v>
      </c>
      <c r="T61">
        <v>153.52894194799001</v>
      </c>
      <c r="U61">
        <v>153.45260302180401</v>
      </c>
      <c r="V61">
        <f t="shared" si="14"/>
        <v>0.13033340331905749</v>
      </c>
      <c r="X61" s="17">
        <v>33805828.956973203</v>
      </c>
      <c r="Y61" s="17">
        <v>60736.7219804458</v>
      </c>
      <c r="Z61" s="18">
        <f t="shared" si="15"/>
        <v>33.805828956973201</v>
      </c>
      <c r="AA61" s="18">
        <f t="shared" si="16"/>
        <v>60.7367219804458</v>
      </c>
      <c r="AB61">
        <v>123.7</v>
      </c>
      <c r="AC61">
        <v>31.5</v>
      </c>
      <c r="AD61">
        <v>124</v>
      </c>
      <c r="AE61">
        <v>1.042</v>
      </c>
      <c r="AF61">
        <v>279</v>
      </c>
      <c r="AG61" t="s">
        <v>50</v>
      </c>
      <c r="AH61">
        <v>3.8</v>
      </c>
      <c r="AI61" t="str">
        <f t="shared" si="17"/>
        <v>Mesotrophic</v>
      </c>
      <c r="AJ61">
        <v>24.8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51C7-9C16-4866-BBAF-4C8DFD0D60C3}">
  <dimension ref="A1:J31"/>
  <sheetViews>
    <sheetView workbookViewId="0">
      <selection activeCell="M25" sqref="M25"/>
    </sheetView>
  </sheetViews>
  <sheetFormatPr defaultRowHeight="14.4" x14ac:dyDescent="0.55000000000000004"/>
  <cols>
    <col min="4" max="5" width="9.9453125" bestFit="1" customWidth="1"/>
    <col min="6" max="6" width="11.3671875" bestFit="1" customWidth="1"/>
    <col min="7" max="7" width="13.62890625" bestFit="1" customWidth="1"/>
  </cols>
  <sheetData>
    <row r="1" spans="1:10" x14ac:dyDescent="0.55000000000000004">
      <c r="A1" s="1" t="s">
        <v>9</v>
      </c>
      <c r="B1" s="1" t="s">
        <v>49</v>
      </c>
      <c r="C1" s="1" t="s">
        <v>259</v>
      </c>
      <c r="D1" s="1" t="s">
        <v>260</v>
      </c>
      <c r="E1" s="1" t="s">
        <v>261</v>
      </c>
      <c r="F1" s="1" t="s">
        <v>32</v>
      </c>
      <c r="G1" s="1" t="s">
        <v>266</v>
      </c>
      <c r="H1" s="1" t="s">
        <v>265</v>
      </c>
      <c r="I1" s="1" t="s">
        <v>263</v>
      </c>
      <c r="J1" s="1" t="s">
        <v>264</v>
      </c>
    </row>
    <row r="2" spans="1:10" x14ac:dyDescent="0.55000000000000004">
      <c r="A2">
        <v>3</v>
      </c>
      <c r="B2" t="s">
        <v>268</v>
      </c>
      <c r="C2">
        <v>3.1</v>
      </c>
      <c r="D2" s="39">
        <v>45716</v>
      </c>
      <c r="E2" s="39">
        <v>45776</v>
      </c>
      <c r="G2" s="39">
        <v>45779</v>
      </c>
      <c r="H2">
        <v>508</v>
      </c>
    </row>
    <row r="3" spans="1:10" x14ac:dyDescent="0.55000000000000004">
      <c r="A3">
        <v>3</v>
      </c>
      <c r="B3" t="s">
        <v>268</v>
      </c>
      <c r="C3">
        <v>3.2</v>
      </c>
      <c r="D3" s="39">
        <v>45716</v>
      </c>
      <c r="E3" s="39">
        <v>45776</v>
      </c>
      <c r="G3" s="39">
        <v>45779</v>
      </c>
      <c r="H3">
        <v>574</v>
      </c>
    </row>
    <row r="4" spans="1:10" x14ac:dyDescent="0.55000000000000004">
      <c r="A4">
        <v>3</v>
      </c>
      <c r="B4" t="s">
        <v>268</v>
      </c>
      <c r="C4">
        <v>3.3</v>
      </c>
      <c r="D4" s="39">
        <v>45716</v>
      </c>
      <c r="E4" s="39">
        <v>45776</v>
      </c>
      <c r="G4" s="39">
        <v>45779</v>
      </c>
      <c r="H4">
        <v>440</v>
      </c>
    </row>
    <row r="5" spans="1:10" x14ac:dyDescent="0.55000000000000004">
      <c r="A5">
        <v>4</v>
      </c>
      <c r="B5" t="s">
        <v>14</v>
      </c>
      <c r="C5">
        <v>4.0999999999999996</v>
      </c>
      <c r="D5" s="39">
        <v>45716</v>
      </c>
      <c r="E5" s="39">
        <v>45776</v>
      </c>
      <c r="G5" s="39">
        <v>45779</v>
      </c>
      <c r="H5">
        <v>538</v>
      </c>
    </row>
    <row r="6" spans="1:10" x14ac:dyDescent="0.55000000000000004">
      <c r="A6">
        <v>4</v>
      </c>
      <c r="B6" t="s">
        <v>14</v>
      </c>
      <c r="C6">
        <v>4.2</v>
      </c>
      <c r="D6" s="39">
        <v>45716</v>
      </c>
      <c r="E6" s="39">
        <v>45776</v>
      </c>
      <c r="G6" s="39">
        <v>45779</v>
      </c>
      <c r="H6">
        <v>800</v>
      </c>
    </row>
    <row r="7" spans="1:10" x14ac:dyDescent="0.55000000000000004">
      <c r="A7">
        <v>4</v>
      </c>
      <c r="B7" t="s">
        <v>14</v>
      </c>
      <c r="C7">
        <v>4.3</v>
      </c>
      <c r="D7" s="39"/>
      <c r="E7" s="39"/>
      <c r="F7" t="s">
        <v>262</v>
      </c>
      <c r="G7" s="39"/>
    </row>
    <row r="8" spans="1:10" x14ac:dyDescent="0.55000000000000004">
      <c r="A8">
        <v>5</v>
      </c>
      <c r="B8" t="s">
        <v>268</v>
      </c>
      <c r="C8">
        <v>5.0999999999999996</v>
      </c>
      <c r="D8" s="39">
        <v>45716</v>
      </c>
      <c r="E8" s="39"/>
      <c r="F8" t="s">
        <v>267</v>
      </c>
      <c r="G8" s="39">
        <v>45779</v>
      </c>
    </row>
    <row r="9" spans="1:10" x14ac:dyDescent="0.55000000000000004">
      <c r="A9">
        <v>5</v>
      </c>
      <c r="B9" t="s">
        <v>268</v>
      </c>
      <c r="C9">
        <v>5.2</v>
      </c>
      <c r="D9" s="39">
        <v>45716</v>
      </c>
      <c r="E9" s="39"/>
      <c r="F9" t="s">
        <v>267</v>
      </c>
      <c r="G9" s="39">
        <v>45779</v>
      </c>
    </row>
    <row r="10" spans="1:10" x14ac:dyDescent="0.55000000000000004">
      <c r="A10">
        <v>5</v>
      </c>
      <c r="B10" t="s">
        <v>268</v>
      </c>
      <c r="C10">
        <v>5.3</v>
      </c>
      <c r="D10" s="39">
        <v>45716</v>
      </c>
      <c r="E10" s="39">
        <v>45776</v>
      </c>
      <c r="G10" s="39">
        <v>45779</v>
      </c>
      <c r="H10">
        <v>718</v>
      </c>
    </row>
    <row r="11" spans="1:10" x14ac:dyDescent="0.55000000000000004">
      <c r="A11">
        <v>6</v>
      </c>
      <c r="B11" t="s">
        <v>14</v>
      </c>
      <c r="C11">
        <v>6.1</v>
      </c>
      <c r="D11" s="39">
        <v>45716</v>
      </c>
      <c r="E11" s="39">
        <v>45776</v>
      </c>
      <c r="G11" s="39">
        <v>45779</v>
      </c>
      <c r="H11">
        <v>726</v>
      </c>
    </row>
    <row r="12" spans="1:10" x14ac:dyDescent="0.55000000000000004">
      <c r="A12">
        <v>6</v>
      </c>
      <c r="B12" t="s">
        <v>14</v>
      </c>
      <c r="C12">
        <v>6.2</v>
      </c>
      <c r="D12" s="39">
        <v>45716</v>
      </c>
      <c r="E12" s="39">
        <v>45776</v>
      </c>
      <c r="G12" s="39">
        <v>45779</v>
      </c>
      <c r="H12">
        <v>802</v>
      </c>
    </row>
    <row r="13" spans="1:10" x14ac:dyDescent="0.55000000000000004">
      <c r="A13">
        <v>6</v>
      </c>
      <c r="B13" t="s">
        <v>14</v>
      </c>
      <c r="C13">
        <v>6.3</v>
      </c>
      <c r="D13" s="39">
        <v>45716</v>
      </c>
      <c r="E13" s="39"/>
      <c r="F13" t="s">
        <v>267</v>
      </c>
      <c r="G13" s="39"/>
    </row>
    <row r="14" spans="1:10" x14ac:dyDescent="0.55000000000000004">
      <c r="A14">
        <v>7</v>
      </c>
      <c r="B14" t="s">
        <v>268</v>
      </c>
      <c r="C14">
        <v>7.1</v>
      </c>
      <c r="D14" s="39">
        <v>45716</v>
      </c>
      <c r="E14" s="39">
        <v>45776</v>
      </c>
      <c r="G14" s="39">
        <v>45779</v>
      </c>
      <c r="H14">
        <v>172</v>
      </c>
    </row>
    <row r="15" spans="1:10" x14ac:dyDescent="0.55000000000000004">
      <c r="A15">
        <v>7</v>
      </c>
      <c r="B15" t="s">
        <v>268</v>
      </c>
      <c r="C15">
        <v>7.2</v>
      </c>
      <c r="D15" s="39">
        <v>45716</v>
      </c>
      <c r="E15" s="39">
        <v>45776</v>
      </c>
      <c r="G15" s="39">
        <v>45779</v>
      </c>
      <c r="H15">
        <v>152</v>
      </c>
    </row>
    <row r="16" spans="1:10" x14ac:dyDescent="0.55000000000000004">
      <c r="A16">
        <v>7</v>
      </c>
      <c r="B16" t="s">
        <v>268</v>
      </c>
      <c r="C16">
        <v>7.3</v>
      </c>
      <c r="D16" s="39">
        <v>45716</v>
      </c>
      <c r="E16" s="39">
        <v>45776</v>
      </c>
      <c r="G16" s="39">
        <v>45779</v>
      </c>
      <c r="H16">
        <v>132</v>
      </c>
    </row>
    <row r="17" spans="1:8" x14ac:dyDescent="0.55000000000000004">
      <c r="A17">
        <v>8</v>
      </c>
      <c r="B17" t="s">
        <v>14</v>
      </c>
      <c r="C17">
        <v>8.1</v>
      </c>
      <c r="D17" s="39">
        <v>45716</v>
      </c>
      <c r="E17" s="39"/>
      <c r="F17" t="s">
        <v>267</v>
      </c>
      <c r="G17" s="39"/>
    </row>
    <row r="18" spans="1:8" x14ac:dyDescent="0.55000000000000004">
      <c r="A18">
        <v>8</v>
      </c>
      <c r="B18" t="s">
        <v>14</v>
      </c>
      <c r="C18">
        <v>8.1999999999999993</v>
      </c>
      <c r="D18" s="39">
        <v>45716</v>
      </c>
      <c r="E18" s="39"/>
      <c r="F18" t="s">
        <v>267</v>
      </c>
      <c r="G18" s="39"/>
    </row>
    <row r="19" spans="1:8" x14ac:dyDescent="0.55000000000000004">
      <c r="A19">
        <v>8</v>
      </c>
      <c r="B19" t="s">
        <v>14</v>
      </c>
      <c r="C19">
        <v>8.3000000000000007</v>
      </c>
      <c r="D19" s="39">
        <v>45716</v>
      </c>
      <c r="E19" s="39">
        <v>45776</v>
      </c>
      <c r="G19" s="39">
        <v>45779</v>
      </c>
      <c r="H19">
        <v>192</v>
      </c>
    </row>
    <row r="20" spans="1:8" x14ac:dyDescent="0.55000000000000004">
      <c r="A20">
        <v>9</v>
      </c>
      <c r="B20" t="s">
        <v>268</v>
      </c>
      <c r="C20">
        <v>9.1</v>
      </c>
      <c r="D20" s="39">
        <v>45716</v>
      </c>
      <c r="E20" s="39">
        <v>45776</v>
      </c>
      <c r="G20" s="39">
        <v>45779</v>
      </c>
      <c r="H20">
        <v>510</v>
      </c>
    </row>
    <row r="21" spans="1:8" x14ac:dyDescent="0.55000000000000004">
      <c r="A21">
        <v>9</v>
      </c>
      <c r="B21" t="s">
        <v>268</v>
      </c>
      <c r="C21">
        <v>9.1999999999999993</v>
      </c>
      <c r="D21" s="39">
        <v>45716</v>
      </c>
      <c r="E21" s="39">
        <v>45776</v>
      </c>
      <c r="G21" s="39">
        <v>45779</v>
      </c>
      <c r="H21">
        <v>450</v>
      </c>
    </row>
    <row r="22" spans="1:8" x14ac:dyDescent="0.55000000000000004">
      <c r="A22">
        <v>9</v>
      </c>
      <c r="B22" t="s">
        <v>268</v>
      </c>
      <c r="C22">
        <v>9.3000000000000007</v>
      </c>
      <c r="D22" s="39">
        <v>45716</v>
      </c>
      <c r="E22" s="39">
        <v>45776</v>
      </c>
      <c r="G22" s="39">
        <v>45779</v>
      </c>
      <c r="H22">
        <v>502</v>
      </c>
    </row>
    <row r="23" spans="1:8" x14ac:dyDescent="0.55000000000000004">
      <c r="A23">
        <v>10</v>
      </c>
      <c r="B23" t="s">
        <v>14</v>
      </c>
      <c r="C23">
        <v>10.1</v>
      </c>
      <c r="D23" s="39">
        <v>45716</v>
      </c>
      <c r="E23" s="39">
        <v>45776</v>
      </c>
      <c r="G23" s="39">
        <v>45779</v>
      </c>
      <c r="H23">
        <v>582</v>
      </c>
    </row>
    <row r="24" spans="1:8" x14ac:dyDescent="0.55000000000000004">
      <c r="A24">
        <v>10</v>
      </c>
      <c r="B24" t="s">
        <v>14</v>
      </c>
      <c r="C24">
        <v>10.199999999999999</v>
      </c>
      <c r="D24" s="39">
        <v>45716</v>
      </c>
      <c r="E24" s="39">
        <v>45776</v>
      </c>
      <c r="G24" s="39">
        <v>45779</v>
      </c>
      <c r="H24">
        <v>438</v>
      </c>
    </row>
    <row r="25" spans="1:8" x14ac:dyDescent="0.55000000000000004">
      <c r="A25">
        <v>10</v>
      </c>
      <c r="B25" t="s">
        <v>14</v>
      </c>
      <c r="C25">
        <v>10.3</v>
      </c>
      <c r="D25" s="39">
        <v>45716</v>
      </c>
      <c r="E25" s="39">
        <v>45776</v>
      </c>
      <c r="G25" s="39">
        <v>45779</v>
      </c>
      <c r="H25">
        <v>548</v>
      </c>
    </row>
    <row r="26" spans="1:8" x14ac:dyDescent="0.55000000000000004">
      <c r="A26">
        <v>11</v>
      </c>
      <c r="B26" t="s">
        <v>268</v>
      </c>
      <c r="C26">
        <v>11.1</v>
      </c>
      <c r="D26" s="39">
        <v>45716</v>
      </c>
      <c r="E26" s="39">
        <v>45776</v>
      </c>
      <c r="G26" s="39">
        <v>45779</v>
      </c>
      <c r="H26">
        <v>552</v>
      </c>
    </row>
    <row r="27" spans="1:8" x14ac:dyDescent="0.55000000000000004">
      <c r="A27">
        <v>11</v>
      </c>
      <c r="B27" t="s">
        <v>268</v>
      </c>
      <c r="C27">
        <v>11.2</v>
      </c>
      <c r="D27" s="39">
        <v>45716</v>
      </c>
      <c r="E27" s="39">
        <v>45776</v>
      </c>
      <c r="G27" s="39">
        <v>45779</v>
      </c>
      <c r="H27">
        <v>654</v>
      </c>
    </row>
    <row r="28" spans="1:8" x14ac:dyDescent="0.55000000000000004">
      <c r="A28">
        <v>11</v>
      </c>
      <c r="B28" t="s">
        <v>268</v>
      </c>
      <c r="C28">
        <v>11.3</v>
      </c>
      <c r="D28" s="39">
        <v>45716</v>
      </c>
      <c r="E28" s="39">
        <v>45776</v>
      </c>
      <c r="G28" s="39">
        <v>45779</v>
      </c>
      <c r="H28">
        <v>746</v>
      </c>
    </row>
    <row r="29" spans="1:8" x14ac:dyDescent="0.55000000000000004">
      <c r="A29">
        <v>12</v>
      </c>
      <c r="B29" t="s">
        <v>14</v>
      </c>
      <c r="C29">
        <v>12.1</v>
      </c>
      <c r="D29" s="39">
        <v>45716</v>
      </c>
      <c r="E29" s="39">
        <v>45776</v>
      </c>
      <c r="F29" t="s">
        <v>269</v>
      </c>
      <c r="G29" s="39">
        <v>45779</v>
      </c>
      <c r="H29">
        <v>784</v>
      </c>
    </row>
    <row r="30" spans="1:8" x14ac:dyDescent="0.55000000000000004">
      <c r="A30">
        <v>12</v>
      </c>
      <c r="B30" t="s">
        <v>14</v>
      </c>
      <c r="C30">
        <v>12.2</v>
      </c>
      <c r="D30" s="39">
        <v>45716</v>
      </c>
      <c r="E30" s="39">
        <v>45776</v>
      </c>
      <c r="F30" t="s">
        <v>270</v>
      </c>
      <c r="G30" s="39">
        <v>45779</v>
      </c>
      <c r="H30">
        <v>344</v>
      </c>
    </row>
    <row r="31" spans="1:8" x14ac:dyDescent="0.55000000000000004">
      <c r="A31">
        <v>12</v>
      </c>
      <c r="B31" t="s">
        <v>14</v>
      </c>
      <c r="C31">
        <v>12.3</v>
      </c>
      <c r="D31" s="39"/>
      <c r="E31" s="39"/>
      <c r="F31" t="s">
        <v>262</v>
      </c>
      <c r="G31" s="3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B97F-90CC-4DA4-93AF-B77CAA138BE4}">
  <dimension ref="A1:K20"/>
  <sheetViews>
    <sheetView workbookViewId="0">
      <selection activeCell="C19" sqref="C19"/>
    </sheetView>
  </sheetViews>
  <sheetFormatPr defaultRowHeight="14.4" x14ac:dyDescent="0.55000000000000004"/>
  <cols>
    <col min="1" max="1" width="4.7890625" bestFit="1" customWidth="1"/>
    <col min="2" max="2" width="14.89453125" bestFit="1" customWidth="1"/>
    <col min="3" max="3" width="12.15625" bestFit="1" customWidth="1"/>
    <col min="4" max="4" width="9.7890625" bestFit="1" customWidth="1"/>
    <col min="6" max="6" width="12.41796875" bestFit="1" customWidth="1"/>
  </cols>
  <sheetData>
    <row r="1" spans="1:11" x14ac:dyDescent="0.55000000000000004">
      <c r="A1" s="1" t="s">
        <v>154</v>
      </c>
      <c r="B1" s="1" t="s">
        <v>153</v>
      </c>
      <c r="C1" s="1" t="s">
        <v>155</v>
      </c>
      <c r="D1" s="1" t="s">
        <v>156</v>
      </c>
      <c r="E1" s="1" t="s">
        <v>157</v>
      </c>
      <c r="F1" s="1" t="s">
        <v>161</v>
      </c>
      <c r="G1" s="1" t="s">
        <v>49</v>
      </c>
      <c r="H1" s="1" t="s">
        <v>32</v>
      </c>
    </row>
    <row r="2" spans="1:11" x14ac:dyDescent="0.55000000000000004">
      <c r="A2">
        <v>1</v>
      </c>
      <c r="B2" s="20">
        <v>45699.386805555558</v>
      </c>
      <c r="C2">
        <v>680</v>
      </c>
      <c r="D2">
        <v>2140</v>
      </c>
      <c r="E2">
        <f>D2-C2</f>
        <v>1460</v>
      </c>
      <c r="F2">
        <f>E2</f>
        <v>1460</v>
      </c>
      <c r="G2">
        <v>3</v>
      </c>
    </row>
    <row r="3" spans="1:11" x14ac:dyDescent="0.55000000000000004">
      <c r="A3">
        <v>2</v>
      </c>
      <c r="B3" s="20">
        <v>45699.46875</v>
      </c>
      <c r="C3">
        <v>620</v>
      </c>
      <c r="D3">
        <v>2200</v>
      </c>
      <c r="E3">
        <f t="shared" ref="E3:E10" si="0">D3-C3</f>
        <v>1580</v>
      </c>
      <c r="F3">
        <f t="shared" ref="F3:F10" si="1">E3</f>
        <v>1580</v>
      </c>
      <c r="G3">
        <v>3</v>
      </c>
    </row>
    <row r="4" spans="1:11" x14ac:dyDescent="0.55000000000000004">
      <c r="A4">
        <v>3</v>
      </c>
      <c r="B4" s="20">
        <v>45699.558333333334</v>
      </c>
      <c r="C4">
        <v>680</v>
      </c>
      <c r="D4">
        <v>2660</v>
      </c>
      <c r="E4">
        <f t="shared" si="0"/>
        <v>1980</v>
      </c>
      <c r="F4">
        <f t="shared" si="1"/>
        <v>1980</v>
      </c>
      <c r="G4">
        <v>5</v>
      </c>
    </row>
    <row r="5" spans="1:11" x14ac:dyDescent="0.55000000000000004">
      <c r="A5">
        <v>4</v>
      </c>
      <c r="B5" s="20">
        <v>45699.701388888891</v>
      </c>
      <c r="C5">
        <v>660</v>
      </c>
      <c r="D5">
        <v>3340</v>
      </c>
      <c r="E5">
        <f t="shared" si="0"/>
        <v>2680</v>
      </c>
      <c r="F5">
        <v>1000</v>
      </c>
      <c r="G5" t="s">
        <v>159</v>
      </c>
      <c r="H5" t="s">
        <v>158</v>
      </c>
    </row>
    <row r="6" spans="1:11" x14ac:dyDescent="0.55000000000000004">
      <c r="A6">
        <v>5</v>
      </c>
      <c r="B6" s="20">
        <v>45700.366666666669</v>
      </c>
      <c r="C6">
        <v>800</v>
      </c>
      <c r="D6">
        <v>2720</v>
      </c>
      <c r="E6">
        <f t="shared" si="0"/>
        <v>1920</v>
      </c>
      <c r="F6">
        <f t="shared" si="1"/>
        <v>1920</v>
      </c>
      <c r="G6">
        <v>9</v>
      </c>
    </row>
    <row r="7" spans="1:11" x14ac:dyDescent="0.55000000000000004">
      <c r="A7">
        <v>6</v>
      </c>
      <c r="B7" s="20">
        <v>45700.525694444441</v>
      </c>
      <c r="C7">
        <v>800</v>
      </c>
      <c r="D7">
        <v>2460</v>
      </c>
      <c r="E7">
        <f t="shared" si="0"/>
        <v>1660</v>
      </c>
      <c r="F7">
        <f t="shared" si="1"/>
        <v>1660</v>
      </c>
      <c r="G7">
        <v>7</v>
      </c>
    </row>
    <row r="8" spans="1:11" x14ac:dyDescent="0.55000000000000004">
      <c r="A8">
        <v>7</v>
      </c>
      <c r="B8" s="20">
        <v>45700.665277777778</v>
      </c>
      <c r="C8">
        <v>740</v>
      </c>
      <c r="D8">
        <v>2780</v>
      </c>
      <c r="E8">
        <f t="shared" si="0"/>
        <v>2040</v>
      </c>
      <c r="F8">
        <f t="shared" si="1"/>
        <v>2040</v>
      </c>
      <c r="G8">
        <v>7</v>
      </c>
    </row>
    <row r="9" spans="1:11" x14ac:dyDescent="0.55000000000000004">
      <c r="A9">
        <v>8</v>
      </c>
      <c r="B9" s="20">
        <v>45701.361111111109</v>
      </c>
      <c r="C9">
        <v>720</v>
      </c>
      <c r="D9">
        <v>2640</v>
      </c>
      <c r="E9">
        <f t="shared" si="0"/>
        <v>1920</v>
      </c>
      <c r="F9">
        <f t="shared" si="1"/>
        <v>1920</v>
      </c>
      <c r="G9">
        <v>11</v>
      </c>
    </row>
    <row r="10" spans="1:11" x14ac:dyDescent="0.55000000000000004">
      <c r="A10">
        <v>9</v>
      </c>
      <c r="B10" s="20">
        <v>45701.506249999999</v>
      </c>
      <c r="C10">
        <v>640</v>
      </c>
      <c r="D10">
        <v>2820</v>
      </c>
      <c r="E10">
        <f t="shared" si="0"/>
        <v>2180</v>
      </c>
      <c r="F10">
        <f t="shared" si="1"/>
        <v>2180</v>
      </c>
      <c r="G10">
        <v>11</v>
      </c>
      <c r="H10" t="s">
        <v>160</v>
      </c>
    </row>
    <row r="11" spans="1:11" x14ac:dyDescent="0.55000000000000004">
      <c r="H11" t="s">
        <v>162</v>
      </c>
      <c r="I11" t="s">
        <v>163</v>
      </c>
    </row>
    <row r="12" spans="1:11" x14ac:dyDescent="0.55000000000000004">
      <c r="E12">
        <f>SUM(E2:E10)</f>
        <v>17420</v>
      </c>
      <c r="F12">
        <f>SUM(F2:F10)</f>
        <v>15740</v>
      </c>
      <c r="H12">
        <v>65</v>
      </c>
      <c r="I12">
        <f>H12/1000*F12</f>
        <v>1023.1</v>
      </c>
      <c r="J12">
        <f>I12*15%</f>
        <v>153.465</v>
      </c>
      <c r="K12">
        <f>I12+J12</f>
        <v>1176.5650000000001</v>
      </c>
    </row>
    <row r="15" spans="1:11" x14ac:dyDescent="0.55000000000000004">
      <c r="A15" t="s">
        <v>49</v>
      </c>
      <c r="B15" t="s">
        <v>271</v>
      </c>
    </row>
    <row r="16" spans="1:11" x14ac:dyDescent="0.55000000000000004">
      <c r="A16">
        <v>3</v>
      </c>
      <c r="B16">
        <f>SUM(F2:F3)</f>
        <v>3040</v>
      </c>
    </row>
    <row r="17" spans="1:2" x14ac:dyDescent="0.55000000000000004">
      <c r="A17">
        <v>5</v>
      </c>
      <c r="B17">
        <f>F4</f>
        <v>1980</v>
      </c>
    </row>
    <row r="18" spans="1:2" x14ac:dyDescent="0.55000000000000004">
      <c r="A18">
        <v>7</v>
      </c>
      <c r="B18">
        <f>F7+F8</f>
        <v>3700</v>
      </c>
    </row>
    <row r="19" spans="1:2" x14ac:dyDescent="0.55000000000000004">
      <c r="A19">
        <v>9</v>
      </c>
      <c r="B19">
        <f>F6</f>
        <v>1920</v>
      </c>
    </row>
    <row r="20" spans="1:2" x14ac:dyDescent="0.55000000000000004">
      <c r="A20">
        <v>11</v>
      </c>
      <c r="B20">
        <f>F9+(F10/2)</f>
        <v>3010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1A78-0DCA-41F0-A0C7-FEDE2235E6EF}">
  <dimension ref="A1:G822"/>
  <sheetViews>
    <sheetView workbookViewId="0">
      <pane xSplit="2" ySplit="1" topLeftCell="C743" activePane="bottomRight" state="frozen"/>
      <selection pane="topRight" activeCell="C1" sqref="C1"/>
      <selection pane="bottomLeft" activeCell="A2" sqref="A2"/>
      <selection pane="bottomRight" activeCell="D825" sqref="D825"/>
    </sheetView>
  </sheetViews>
  <sheetFormatPr defaultRowHeight="14.4" x14ac:dyDescent="0.55000000000000004"/>
  <cols>
    <col min="2" max="2" width="12.578125" bestFit="1" customWidth="1"/>
    <col min="4" max="4" width="20.83984375" bestFit="1" customWidth="1"/>
    <col min="6" max="6" width="10.68359375" bestFit="1" customWidth="1"/>
  </cols>
  <sheetData>
    <row r="1" spans="1:7" x14ac:dyDescent="0.55000000000000004">
      <c r="A1" s="1" t="s">
        <v>9</v>
      </c>
      <c r="B1" s="1" t="s">
        <v>10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32</v>
      </c>
    </row>
    <row r="2" spans="1:7" x14ac:dyDescent="0.55000000000000004">
      <c r="A2">
        <v>3</v>
      </c>
      <c r="B2" s="15" t="str">
        <f t="shared" ref="B2:B23" si="0">A2 &amp; "_0"</f>
        <v>3_0</v>
      </c>
      <c r="C2" t="s">
        <v>55</v>
      </c>
      <c r="D2" t="s">
        <v>56</v>
      </c>
      <c r="E2" t="s">
        <v>57</v>
      </c>
      <c r="F2" s="1"/>
      <c r="G2" t="s">
        <v>58</v>
      </c>
    </row>
    <row r="3" spans="1:7" x14ac:dyDescent="0.55000000000000004">
      <c r="A3">
        <v>3</v>
      </c>
      <c r="B3" s="15" t="str">
        <f t="shared" si="0"/>
        <v>3_0</v>
      </c>
      <c r="C3" t="s">
        <v>55</v>
      </c>
      <c r="D3" s="19" t="s">
        <v>59</v>
      </c>
      <c r="E3" t="s">
        <v>60</v>
      </c>
      <c r="F3">
        <v>1</v>
      </c>
    </row>
    <row r="4" spans="1:7" x14ac:dyDescent="0.55000000000000004">
      <c r="A4">
        <v>3</v>
      </c>
      <c r="B4" s="15" t="str">
        <f t="shared" si="0"/>
        <v>3_0</v>
      </c>
      <c r="C4" t="s">
        <v>55</v>
      </c>
      <c r="D4" t="s">
        <v>61</v>
      </c>
      <c r="E4" t="s">
        <v>62</v>
      </c>
    </row>
    <row r="5" spans="1:7" x14ac:dyDescent="0.55000000000000004">
      <c r="A5">
        <v>3</v>
      </c>
      <c r="B5" s="15" t="str">
        <f t="shared" si="0"/>
        <v>3_0</v>
      </c>
      <c r="C5" t="s">
        <v>55</v>
      </c>
      <c r="D5" t="s">
        <v>63</v>
      </c>
      <c r="E5" t="s">
        <v>62</v>
      </c>
      <c r="F5">
        <v>0.9</v>
      </c>
    </row>
    <row r="6" spans="1:7" x14ac:dyDescent="0.55000000000000004">
      <c r="A6">
        <v>3</v>
      </c>
      <c r="B6" s="15" t="str">
        <f t="shared" si="0"/>
        <v>3_0</v>
      </c>
      <c r="C6" t="s">
        <v>55</v>
      </c>
      <c r="D6" t="s">
        <v>64</v>
      </c>
      <c r="E6" t="s">
        <v>65</v>
      </c>
      <c r="F6">
        <f>F5/10</f>
        <v>0.09</v>
      </c>
      <c r="G6" t="s">
        <v>66</v>
      </c>
    </row>
    <row r="7" spans="1:7" x14ac:dyDescent="0.55000000000000004">
      <c r="A7">
        <v>3</v>
      </c>
      <c r="B7" s="15" t="str">
        <f t="shared" si="0"/>
        <v>3_0</v>
      </c>
      <c r="C7" t="s">
        <v>55</v>
      </c>
      <c r="D7" s="20" t="s">
        <v>67</v>
      </c>
      <c r="E7" t="s">
        <v>68</v>
      </c>
      <c r="F7">
        <v>0</v>
      </c>
    </row>
    <row r="8" spans="1:7" x14ac:dyDescent="0.55000000000000004">
      <c r="A8">
        <v>3</v>
      </c>
      <c r="B8" s="15" t="str">
        <f t="shared" si="0"/>
        <v>3_0</v>
      </c>
      <c r="C8" t="s">
        <v>55</v>
      </c>
      <c r="D8" s="20" t="s">
        <v>69</v>
      </c>
    </row>
    <row r="9" spans="1:7" x14ac:dyDescent="0.55000000000000004">
      <c r="A9">
        <v>3</v>
      </c>
      <c r="B9" s="15" t="str">
        <f t="shared" si="0"/>
        <v>3_0</v>
      </c>
      <c r="C9" t="s">
        <v>55</v>
      </c>
      <c r="D9" s="20" t="s">
        <v>70</v>
      </c>
      <c r="E9" t="s">
        <v>68</v>
      </c>
      <c r="F9">
        <v>10</v>
      </c>
    </row>
    <row r="10" spans="1:7" x14ac:dyDescent="0.55000000000000004">
      <c r="A10">
        <v>3</v>
      </c>
      <c r="B10" s="15" t="str">
        <f t="shared" si="0"/>
        <v>3_0</v>
      </c>
      <c r="C10" t="s">
        <v>55</v>
      </c>
      <c r="D10" t="s">
        <v>71</v>
      </c>
      <c r="E10" t="s">
        <v>68</v>
      </c>
      <c r="F10">
        <v>100</v>
      </c>
    </row>
    <row r="11" spans="1:7" x14ac:dyDescent="0.55000000000000004">
      <c r="A11">
        <v>3</v>
      </c>
      <c r="B11" s="15" t="str">
        <f t="shared" si="0"/>
        <v>3_0</v>
      </c>
      <c r="C11" t="s">
        <v>55</v>
      </c>
      <c r="D11" t="s">
        <v>72</v>
      </c>
      <c r="E11" t="s">
        <v>60</v>
      </c>
      <c r="F11">
        <v>0</v>
      </c>
    </row>
    <row r="12" spans="1:7" x14ac:dyDescent="0.55000000000000004">
      <c r="A12">
        <v>3</v>
      </c>
      <c r="B12" s="15" t="str">
        <f t="shared" si="0"/>
        <v>3_0</v>
      </c>
      <c r="C12" t="s">
        <v>55</v>
      </c>
      <c r="D12" t="s">
        <v>73</v>
      </c>
      <c r="E12" t="s">
        <v>68</v>
      </c>
      <c r="F12">
        <v>0</v>
      </c>
    </row>
    <row r="13" spans="1:7" x14ac:dyDescent="0.55000000000000004">
      <c r="A13">
        <v>3</v>
      </c>
      <c r="B13" s="15" t="str">
        <f t="shared" si="0"/>
        <v>3_0</v>
      </c>
      <c r="C13" t="s">
        <v>55</v>
      </c>
      <c r="D13" t="s">
        <v>74</v>
      </c>
      <c r="E13" t="s">
        <v>68</v>
      </c>
      <c r="F13">
        <v>30</v>
      </c>
    </row>
    <row r="14" spans="1:7" x14ac:dyDescent="0.55000000000000004">
      <c r="A14">
        <v>3</v>
      </c>
      <c r="B14" s="15" t="str">
        <f t="shared" si="0"/>
        <v>3_0</v>
      </c>
      <c r="C14" t="s">
        <v>55</v>
      </c>
      <c r="D14" t="s">
        <v>75</v>
      </c>
      <c r="E14" t="s">
        <v>68</v>
      </c>
      <c r="F14">
        <v>30</v>
      </c>
    </row>
    <row r="15" spans="1:7" x14ac:dyDescent="0.55000000000000004">
      <c r="A15">
        <v>3</v>
      </c>
      <c r="B15" s="15" t="str">
        <f t="shared" si="0"/>
        <v>3_0</v>
      </c>
      <c r="C15" t="s">
        <v>55</v>
      </c>
      <c r="D15" t="s">
        <v>76</v>
      </c>
      <c r="E15" t="s">
        <v>68</v>
      </c>
      <c r="F15">
        <v>10</v>
      </c>
    </row>
    <row r="16" spans="1:7" x14ac:dyDescent="0.55000000000000004">
      <c r="A16">
        <v>3</v>
      </c>
      <c r="B16" s="15" t="str">
        <f t="shared" si="0"/>
        <v>3_0</v>
      </c>
      <c r="C16" t="s">
        <v>55</v>
      </c>
      <c r="D16" t="s">
        <v>77</v>
      </c>
      <c r="E16" t="s">
        <v>68</v>
      </c>
      <c r="F16">
        <v>30</v>
      </c>
    </row>
    <row r="17" spans="1:7" x14ac:dyDescent="0.55000000000000004">
      <c r="A17">
        <v>3</v>
      </c>
      <c r="B17" s="15" t="str">
        <f t="shared" si="0"/>
        <v>3_0</v>
      </c>
      <c r="C17" t="s">
        <v>55</v>
      </c>
      <c r="D17" t="s">
        <v>78</v>
      </c>
      <c r="E17" t="s">
        <v>68</v>
      </c>
      <c r="F17">
        <v>0</v>
      </c>
    </row>
    <row r="18" spans="1:7" x14ac:dyDescent="0.55000000000000004">
      <c r="A18">
        <v>3</v>
      </c>
      <c r="B18" s="15" t="str">
        <f t="shared" si="0"/>
        <v>3_0</v>
      </c>
      <c r="C18" t="s">
        <v>55</v>
      </c>
      <c r="D18" t="s">
        <v>79</v>
      </c>
      <c r="E18" t="s">
        <v>68</v>
      </c>
      <c r="F18">
        <v>0</v>
      </c>
    </row>
    <row r="19" spans="1:7" x14ac:dyDescent="0.55000000000000004">
      <c r="A19">
        <v>3</v>
      </c>
      <c r="B19" s="15" t="str">
        <f t="shared" si="0"/>
        <v>3_0</v>
      </c>
      <c r="C19" t="s">
        <v>55</v>
      </c>
      <c r="D19" t="s">
        <v>80</v>
      </c>
      <c r="E19" t="s">
        <v>68</v>
      </c>
      <c r="F19">
        <v>0</v>
      </c>
    </row>
    <row r="20" spans="1:7" x14ac:dyDescent="0.55000000000000004">
      <c r="A20">
        <v>3</v>
      </c>
      <c r="B20" s="15" t="str">
        <f t="shared" si="0"/>
        <v>3_0</v>
      </c>
      <c r="C20" t="s">
        <v>55</v>
      </c>
      <c r="D20" t="s">
        <v>81</v>
      </c>
      <c r="E20" t="s">
        <v>82</v>
      </c>
    </row>
    <row r="21" spans="1:7" x14ac:dyDescent="0.55000000000000004">
      <c r="A21">
        <v>3</v>
      </c>
      <c r="B21" s="15" t="str">
        <f t="shared" si="0"/>
        <v>3_0</v>
      </c>
      <c r="C21" t="s">
        <v>83</v>
      </c>
      <c r="D21" t="s">
        <v>84</v>
      </c>
      <c r="E21" t="s">
        <v>85</v>
      </c>
      <c r="F21">
        <v>26</v>
      </c>
    </row>
    <row r="22" spans="1:7" x14ac:dyDescent="0.55000000000000004">
      <c r="A22">
        <v>3</v>
      </c>
      <c r="B22" s="15" t="str">
        <f t="shared" si="0"/>
        <v>3_0</v>
      </c>
      <c r="C22" t="s">
        <v>83</v>
      </c>
      <c r="D22" t="s">
        <v>86</v>
      </c>
      <c r="E22" t="s">
        <v>87</v>
      </c>
      <c r="F22">
        <v>11.89</v>
      </c>
    </row>
    <row r="23" spans="1:7" x14ac:dyDescent="0.55000000000000004">
      <c r="A23">
        <v>3</v>
      </c>
      <c r="B23" s="15" t="str">
        <f t="shared" si="0"/>
        <v>3_0</v>
      </c>
      <c r="C23" t="s">
        <v>83</v>
      </c>
      <c r="D23" t="s">
        <v>88</v>
      </c>
      <c r="E23" t="s">
        <v>68</v>
      </c>
      <c r="F23">
        <v>146.5</v>
      </c>
    </row>
    <row r="24" spans="1:7" x14ac:dyDescent="0.55000000000000004">
      <c r="A24">
        <f t="shared" ref="A24:B25" si="1">A23</f>
        <v>3</v>
      </c>
      <c r="B24" s="15" t="str">
        <f t="shared" si="1"/>
        <v>3_0</v>
      </c>
      <c r="C24" t="s">
        <v>83</v>
      </c>
      <c r="D24" t="s">
        <v>312</v>
      </c>
      <c r="E24" t="s">
        <v>89</v>
      </c>
      <c r="F24">
        <v>159.5</v>
      </c>
    </row>
    <row r="25" spans="1:7" x14ac:dyDescent="0.55000000000000004">
      <c r="A25">
        <f t="shared" si="1"/>
        <v>3</v>
      </c>
      <c r="B25" s="15" t="str">
        <f t="shared" si="1"/>
        <v>3_0</v>
      </c>
      <c r="C25" t="str">
        <f>C24</f>
        <v>Chemical</v>
      </c>
      <c r="D25" t="s">
        <v>313</v>
      </c>
      <c r="E25" t="s">
        <v>89</v>
      </c>
      <c r="F25">
        <f xml:space="preserve"> F24 / (1 + 0.021 * (F21 - 25))</f>
        <v>156.21939275220373</v>
      </c>
    </row>
    <row r="26" spans="1:7" x14ac:dyDescent="0.55000000000000004">
      <c r="A26">
        <v>3</v>
      </c>
      <c r="B26" s="15" t="str">
        <f t="shared" ref="B26:B53" si="2">A26 &amp; "_0"</f>
        <v>3_0</v>
      </c>
      <c r="C26" t="s">
        <v>83</v>
      </c>
      <c r="D26" t="s">
        <v>90</v>
      </c>
      <c r="F26">
        <v>8.1199999999999992</v>
      </c>
    </row>
    <row r="27" spans="1:7" x14ac:dyDescent="0.55000000000000004">
      <c r="A27">
        <v>3</v>
      </c>
      <c r="B27" s="15" t="str">
        <f t="shared" si="2"/>
        <v>3_0</v>
      </c>
      <c r="C27" t="s">
        <v>91</v>
      </c>
      <c r="D27" t="s">
        <v>92</v>
      </c>
      <c r="E27" t="s">
        <v>60</v>
      </c>
      <c r="F27">
        <v>0</v>
      </c>
    </row>
    <row r="28" spans="1:7" x14ac:dyDescent="0.55000000000000004">
      <c r="A28">
        <v>3</v>
      </c>
      <c r="B28" s="15" t="str">
        <f t="shared" si="2"/>
        <v>3_0</v>
      </c>
      <c r="C28" t="s">
        <v>91</v>
      </c>
      <c r="D28" t="s">
        <v>93</v>
      </c>
    </row>
    <row r="29" spans="1:7" x14ac:dyDescent="0.55000000000000004">
      <c r="A29">
        <v>3</v>
      </c>
      <c r="B29" s="15" t="str">
        <f t="shared" si="2"/>
        <v>3_0</v>
      </c>
      <c r="C29" t="s">
        <v>91</v>
      </c>
      <c r="D29" t="s">
        <v>94</v>
      </c>
      <c r="E29" t="s">
        <v>68</v>
      </c>
      <c r="F29">
        <v>0</v>
      </c>
    </row>
    <row r="30" spans="1:7" x14ac:dyDescent="0.55000000000000004">
      <c r="A30">
        <v>3</v>
      </c>
      <c r="B30" s="15" t="str">
        <f t="shared" si="2"/>
        <v>3_0</v>
      </c>
      <c r="C30" t="s">
        <v>91</v>
      </c>
      <c r="D30" t="s">
        <v>95</v>
      </c>
    </row>
    <row r="31" spans="1:7" x14ac:dyDescent="0.55000000000000004">
      <c r="A31">
        <v>4</v>
      </c>
      <c r="B31" s="15" t="str">
        <f t="shared" si="2"/>
        <v>4_0</v>
      </c>
      <c r="C31" t="s">
        <v>55</v>
      </c>
      <c r="D31" t="s">
        <v>56</v>
      </c>
      <c r="E31" t="s">
        <v>57</v>
      </c>
      <c r="F31" s="1"/>
      <c r="G31" t="s">
        <v>58</v>
      </c>
    </row>
    <row r="32" spans="1:7" x14ac:dyDescent="0.55000000000000004">
      <c r="A32">
        <v>4</v>
      </c>
      <c r="B32" s="15" t="str">
        <f t="shared" si="2"/>
        <v>4_0</v>
      </c>
      <c r="C32" t="s">
        <v>55</v>
      </c>
      <c r="D32" s="19" t="s">
        <v>59</v>
      </c>
      <c r="E32" t="s">
        <v>60</v>
      </c>
      <c r="F32">
        <v>1</v>
      </c>
    </row>
    <row r="33" spans="1:7" x14ac:dyDescent="0.55000000000000004">
      <c r="A33">
        <v>4</v>
      </c>
      <c r="B33" s="15" t="str">
        <f t="shared" si="2"/>
        <v>4_0</v>
      </c>
      <c r="C33" t="s">
        <v>55</v>
      </c>
      <c r="D33" t="s">
        <v>61</v>
      </c>
      <c r="E33" t="s">
        <v>62</v>
      </c>
    </row>
    <row r="34" spans="1:7" x14ac:dyDescent="0.55000000000000004">
      <c r="A34">
        <v>4</v>
      </c>
      <c r="B34" s="15" t="str">
        <f t="shared" si="2"/>
        <v>4_0</v>
      </c>
      <c r="C34" t="s">
        <v>55</v>
      </c>
      <c r="D34" t="s">
        <v>63</v>
      </c>
      <c r="E34" t="s">
        <v>62</v>
      </c>
      <c r="F34">
        <v>0.2</v>
      </c>
    </row>
    <row r="35" spans="1:7" x14ac:dyDescent="0.55000000000000004">
      <c r="A35">
        <v>4</v>
      </c>
      <c r="B35" s="15" t="str">
        <f t="shared" si="2"/>
        <v>4_0</v>
      </c>
      <c r="C35" t="s">
        <v>55</v>
      </c>
      <c r="D35" t="s">
        <v>64</v>
      </c>
      <c r="E35" t="s">
        <v>65</v>
      </c>
      <c r="F35">
        <f>F34/10</f>
        <v>0.02</v>
      </c>
      <c r="G35" t="s">
        <v>66</v>
      </c>
    </row>
    <row r="36" spans="1:7" x14ac:dyDescent="0.55000000000000004">
      <c r="A36">
        <v>4</v>
      </c>
      <c r="B36" s="15" t="str">
        <f t="shared" si="2"/>
        <v>4_0</v>
      </c>
      <c r="C36" t="s">
        <v>55</v>
      </c>
      <c r="D36" s="20" t="s">
        <v>67</v>
      </c>
      <c r="E36" t="s">
        <v>68</v>
      </c>
      <c r="F36">
        <v>70</v>
      </c>
    </row>
    <row r="37" spans="1:7" x14ac:dyDescent="0.55000000000000004">
      <c r="A37">
        <v>4</v>
      </c>
      <c r="B37" s="15" t="str">
        <f t="shared" si="2"/>
        <v>4_0</v>
      </c>
      <c r="C37" t="s">
        <v>55</v>
      </c>
      <c r="D37" s="20" t="s">
        <v>69</v>
      </c>
      <c r="F37" t="s">
        <v>164</v>
      </c>
    </row>
    <row r="38" spans="1:7" x14ac:dyDescent="0.55000000000000004">
      <c r="A38">
        <v>4</v>
      </c>
      <c r="B38" s="15" t="str">
        <f t="shared" si="2"/>
        <v>4_0</v>
      </c>
      <c r="C38" t="s">
        <v>55</v>
      </c>
      <c r="D38" s="20" t="s">
        <v>70</v>
      </c>
      <c r="E38" t="s">
        <v>68</v>
      </c>
      <c r="F38">
        <v>0</v>
      </c>
    </row>
    <row r="39" spans="1:7" x14ac:dyDescent="0.55000000000000004">
      <c r="A39">
        <v>4</v>
      </c>
      <c r="B39" s="15" t="str">
        <f t="shared" si="2"/>
        <v>4_0</v>
      </c>
      <c r="C39" t="s">
        <v>55</v>
      </c>
      <c r="D39" t="s">
        <v>71</v>
      </c>
      <c r="E39" t="s">
        <v>68</v>
      </c>
      <c r="F39">
        <v>0</v>
      </c>
    </row>
    <row r="40" spans="1:7" x14ac:dyDescent="0.55000000000000004">
      <c r="A40">
        <v>4</v>
      </c>
      <c r="B40" s="15" t="str">
        <f t="shared" si="2"/>
        <v>4_0</v>
      </c>
      <c r="C40" t="s">
        <v>55</v>
      </c>
      <c r="D40" t="s">
        <v>72</v>
      </c>
      <c r="E40" t="s">
        <v>60</v>
      </c>
      <c r="F40">
        <v>0</v>
      </c>
    </row>
    <row r="41" spans="1:7" x14ac:dyDescent="0.55000000000000004">
      <c r="A41">
        <v>4</v>
      </c>
      <c r="B41" s="15" t="str">
        <f t="shared" si="2"/>
        <v>4_0</v>
      </c>
      <c r="C41" t="s">
        <v>55</v>
      </c>
      <c r="D41" t="s">
        <v>73</v>
      </c>
      <c r="E41" t="s">
        <v>68</v>
      </c>
      <c r="F41">
        <v>0</v>
      </c>
    </row>
    <row r="42" spans="1:7" x14ac:dyDescent="0.55000000000000004">
      <c r="A42">
        <v>4</v>
      </c>
      <c r="B42" s="15" t="str">
        <f t="shared" si="2"/>
        <v>4_0</v>
      </c>
      <c r="C42" t="s">
        <v>55</v>
      </c>
      <c r="D42" t="s">
        <v>74</v>
      </c>
      <c r="E42" t="s">
        <v>68</v>
      </c>
      <c r="F42">
        <v>20</v>
      </c>
    </row>
    <row r="43" spans="1:7" x14ac:dyDescent="0.55000000000000004">
      <c r="A43">
        <v>4</v>
      </c>
      <c r="B43" s="15" t="str">
        <f t="shared" si="2"/>
        <v>4_0</v>
      </c>
      <c r="C43" t="s">
        <v>55</v>
      </c>
      <c r="D43" t="s">
        <v>75</v>
      </c>
      <c r="E43" t="s">
        <v>68</v>
      </c>
      <c r="F43">
        <v>20</v>
      </c>
    </row>
    <row r="44" spans="1:7" x14ac:dyDescent="0.55000000000000004">
      <c r="A44">
        <v>4</v>
      </c>
      <c r="B44" s="15" t="str">
        <f t="shared" si="2"/>
        <v>4_0</v>
      </c>
      <c r="C44" t="s">
        <v>55</v>
      </c>
      <c r="D44" t="s">
        <v>76</v>
      </c>
      <c r="E44" t="s">
        <v>68</v>
      </c>
      <c r="F44">
        <v>0</v>
      </c>
    </row>
    <row r="45" spans="1:7" x14ac:dyDescent="0.55000000000000004">
      <c r="A45">
        <v>4</v>
      </c>
      <c r="B45" s="15" t="str">
        <f t="shared" si="2"/>
        <v>4_0</v>
      </c>
      <c r="C45" t="s">
        <v>55</v>
      </c>
      <c r="D45" t="s">
        <v>77</v>
      </c>
      <c r="E45" t="s">
        <v>68</v>
      </c>
      <c r="F45">
        <v>60</v>
      </c>
    </row>
    <row r="46" spans="1:7" x14ac:dyDescent="0.55000000000000004">
      <c r="A46">
        <v>4</v>
      </c>
      <c r="B46" s="15" t="str">
        <f t="shared" si="2"/>
        <v>4_0</v>
      </c>
      <c r="C46" t="s">
        <v>55</v>
      </c>
      <c r="D46" t="s">
        <v>78</v>
      </c>
      <c r="E46" t="s">
        <v>68</v>
      </c>
      <c r="F46">
        <v>0</v>
      </c>
    </row>
    <row r="47" spans="1:7" x14ac:dyDescent="0.55000000000000004">
      <c r="A47">
        <v>4</v>
      </c>
      <c r="B47" s="15" t="str">
        <f t="shared" si="2"/>
        <v>4_0</v>
      </c>
      <c r="C47" t="s">
        <v>55</v>
      </c>
      <c r="D47" t="s">
        <v>79</v>
      </c>
      <c r="E47" t="s">
        <v>68</v>
      </c>
      <c r="F47">
        <v>0</v>
      </c>
    </row>
    <row r="48" spans="1:7" x14ac:dyDescent="0.55000000000000004">
      <c r="A48">
        <v>4</v>
      </c>
      <c r="B48" s="15" t="str">
        <f t="shared" si="2"/>
        <v>4_0</v>
      </c>
      <c r="C48" t="s">
        <v>55</v>
      </c>
      <c r="D48" t="s">
        <v>80</v>
      </c>
      <c r="E48" t="s">
        <v>68</v>
      </c>
      <c r="F48">
        <v>0</v>
      </c>
    </row>
    <row r="49" spans="1:7" x14ac:dyDescent="0.55000000000000004">
      <c r="A49">
        <v>4</v>
      </c>
      <c r="B49" s="15" t="str">
        <f t="shared" si="2"/>
        <v>4_0</v>
      </c>
      <c r="C49" t="s">
        <v>55</v>
      </c>
      <c r="D49" t="s">
        <v>81</v>
      </c>
      <c r="E49" t="s">
        <v>82</v>
      </c>
    </row>
    <row r="50" spans="1:7" x14ac:dyDescent="0.55000000000000004">
      <c r="A50">
        <v>4</v>
      </c>
      <c r="B50" s="15" t="str">
        <f t="shared" si="2"/>
        <v>4_0</v>
      </c>
      <c r="C50" t="s">
        <v>83</v>
      </c>
      <c r="D50" t="s">
        <v>84</v>
      </c>
      <c r="E50" t="s">
        <v>85</v>
      </c>
      <c r="F50">
        <v>25.8</v>
      </c>
    </row>
    <row r="51" spans="1:7" x14ac:dyDescent="0.55000000000000004">
      <c r="A51">
        <v>4</v>
      </c>
      <c r="B51" s="15" t="str">
        <f t="shared" si="2"/>
        <v>4_0</v>
      </c>
      <c r="C51" t="s">
        <v>83</v>
      </c>
      <c r="D51" t="s">
        <v>86</v>
      </c>
      <c r="E51" t="s">
        <v>87</v>
      </c>
      <c r="F51">
        <v>11.54</v>
      </c>
    </row>
    <row r="52" spans="1:7" x14ac:dyDescent="0.55000000000000004">
      <c r="A52">
        <v>4</v>
      </c>
      <c r="B52" s="15" t="str">
        <f t="shared" si="2"/>
        <v>4_0</v>
      </c>
      <c r="C52" t="s">
        <v>83</v>
      </c>
      <c r="D52" t="s">
        <v>88</v>
      </c>
      <c r="E52" t="s">
        <v>68</v>
      </c>
      <c r="F52">
        <v>141.69999999999999</v>
      </c>
    </row>
    <row r="53" spans="1:7" x14ac:dyDescent="0.55000000000000004">
      <c r="A53">
        <v>4</v>
      </c>
      <c r="B53" s="15" t="str">
        <f t="shared" si="2"/>
        <v>4_0</v>
      </c>
      <c r="C53" t="s">
        <v>83</v>
      </c>
      <c r="D53" t="s">
        <v>312</v>
      </c>
      <c r="E53" t="s">
        <v>89</v>
      </c>
      <c r="F53">
        <v>159.1</v>
      </c>
    </row>
    <row r="54" spans="1:7" x14ac:dyDescent="0.55000000000000004">
      <c r="A54">
        <f>A53</f>
        <v>4</v>
      </c>
      <c r="B54" s="15" t="str">
        <f>B53</f>
        <v>4_0</v>
      </c>
      <c r="C54" t="str">
        <f>C53</f>
        <v>Chemical</v>
      </c>
      <c r="D54" t="s">
        <v>313</v>
      </c>
      <c r="E54" t="s">
        <v>89</v>
      </c>
      <c r="F54">
        <f xml:space="preserve"> F53 / (1 + 0.021 * (F50 - 25))</f>
        <v>156.47128245476003</v>
      </c>
    </row>
    <row r="55" spans="1:7" x14ac:dyDescent="0.55000000000000004">
      <c r="A55">
        <v>4</v>
      </c>
      <c r="B55" s="15" t="str">
        <f t="shared" ref="B55:B60" si="3">A55 &amp; "_0"</f>
        <v>4_0</v>
      </c>
      <c r="C55" t="s">
        <v>83</v>
      </c>
      <c r="D55" t="s">
        <v>90</v>
      </c>
      <c r="F55">
        <v>9.08</v>
      </c>
    </row>
    <row r="56" spans="1:7" x14ac:dyDescent="0.55000000000000004">
      <c r="A56">
        <v>4</v>
      </c>
      <c r="B56" s="15" t="str">
        <f t="shared" si="3"/>
        <v>4_0</v>
      </c>
      <c r="C56" t="s">
        <v>91</v>
      </c>
      <c r="D56" t="s">
        <v>92</v>
      </c>
      <c r="E56" t="s">
        <v>60</v>
      </c>
      <c r="F56">
        <v>0</v>
      </c>
    </row>
    <row r="57" spans="1:7" x14ac:dyDescent="0.55000000000000004">
      <c r="A57">
        <v>4</v>
      </c>
      <c r="B57" s="15" t="str">
        <f t="shared" si="3"/>
        <v>4_0</v>
      </c>
      <c r="C57" t="s">
        <v>91</v>
      </c>
      <c r="D57" t="s">
        <v>93</v>
      </c>
    </row>
    <row r="58" spans="1:7" x14ac:dyDescent="0.55000000000000004">
      <c r="A58">
        <v>4</v>
      </c>
      <c r="B58" s="15" t="str">
        <f t="shared" si="3"/>
        <v>4_0</v>
      </c>
      <c r="C58" t="s">
        <v>91</v>
      </c>
      <c r="D58" t="s">
        <v>94</v>
      </c>
      <c r="E58" t="s">
        <v>68</v>
      </c>
      <c r="F58">
        <v>0</v>
      </c>
    </row>
    <row r="59" spans="1:7" x14ac:dyDescent="0.55000000000000004">
      <c r="A59">
        <v>4</v>
      </c>
      <c r="B59" s="15" t="str">
        <f t="shared" si="3"/>
        <v>4_0</v>
      </c>
      <c r="C59" t="s">
        <v>91</v>
      </c>
      <c r="D59" t="s">
        <v>95</v>
      </c>
    </row>
    <row r="60" spans="1:7" x14ac:dyDescent="0.55000000000000004">
      <c r="A60">
        <v>5</v>
      </c>
      <c r="B60" s="15" t="str">
        <f t="shared" si="3"/>
        <v>5_0</v>
      </c>
      <c r="C60" t="s">
        <v>55</v>
      </c>
      <c r="D60" t="s">
        <v>56</v>
      </c>
      <c r="E60" t="s">
        <v>57</v>
      </c>
      <c r="F60" s="1"/>
      <c r="G60" t="s">
        <v>58</v>
      </c>
    </row>
    <row r="61" spans="1:7" x14ac:dyDescent="0.55000000000000004">
      <c r="A61">
        <v>5</v>
      </c>
      <c r="B61" s="15" t="str">
        <f t="shared" ref="B61:B118" si="4">A61 &amp; "_0"</f>
        <v>5_0</v>
      </c>
      <c r="C61" t="s">
        <v>55</v>
      </c>
      <c r="D61" s="19" t="s">
        <v>59</v>
      </c>
      <c r="E61" t="s">
        <v>60</v>
      </c>
      <c r="F61">
        <v>1</v>
      </c>
    </row>
    <row r="62" spans="1:7" x14ac:dyDescent="0.55000000000000004">
      <c r="A62">
        <v>5</v>
      </c>
      <c r="B62" s="15" t="str">
        <f t="shared" si="4"/>
        <v>5_0</v>
      </c>
      <c r="C62" t="s">
        <v>55</v>
      </c>
      <c r="D62" t="s">
        <v>61</v>
      </c>
      <c r="E62" t="s">
        <v>62</v>
      </c>
    </row>
    <row r="63" spans="1:7" x14ac:dyDescent="0.55000000000000004">
      <c r="A63">
        <v>5</v>
      </c>
      <c r="B63" s="15" t="str">
        <f t="shared" si="4"/>
        <v>5_0</v>
      </c>
      <c r="C63" t="s">
        <v>55</v>
      </c>
      <c r="D63" t="s">
        <v>63</v>
      </c>
      <c r="E63" t="s">
        <v>62</v>
      </c>
      <c r="F63">
        <v>0.4</v>
      </c>
    </row>
    <row r="64" spans="1:7" x14ac:dyDescent="0.55000000000000004">
      <c r="A64">
        <v>5</v>
      </c>
      <c r="B64" s="15" t="str">
        <f t="shared" si="4"/>
        <v>5_0</v>
      </c>
      <c r="C64" t="s">
        <v>55</v>
      </c>
      <c r="D64" t="s">
        <v>64</v>
      </c>
      <c r="E64" t="s">
        <v>65</v>
      </c>
      <c r="F64">
        <f>F63/10</f>
        <v>0.04</v>
      </c>
      <c r="G64" t="s">
        <v>66</v>
      </c>
    </row>
    <row r="65" spans="1:6" x14ac:dyDescent="0.55000000000000004">
      <c r="A65">
        <v>5</v>
      </c>
      <c r="B65" s="15" t="str">
        <f t="shared" si="4"/>
        <v>5_0</v>
      </c>
      <c r="C65" t="s">
        <v>55</v>
      </c>
      <c r="D65" s="20" t="s">
        <v>67</v>
      </c>
      <c r="E65" t="s">
        <v>68</v>
      </c>
      <c r="F65">
        <v>100</v>
      </c>
    </row>
    <row r="66" spans="1:6" x14ac:dyDescent="0.55000000000000004">
      <c r="A66">
        <v>5</v>
      </c>
      <c r="B66" s="15" t="str">
        <f t="shared" si="4"/>
        <v>5_0</v>
      </c>
      <c r="C66" t="s">
        <v>55</v>
      </c>
      <c r="D66" s="20" t="s">
        <v>69</v>
      </c>
      <c r="F66" t="s">
        <v>165</v>
      </c>
    </row>
    <row r="67" spans="1:6" x14ac:dyDescent="0.55000000000000004">
      <c r="A67">
        <v>5</v>
      </c>
      <c r="B67" s="15" t="str">
        <f t="shared" si="4"/>
        <v>5_0</v>
      </c>
      <c r="C67" t="s">
        <v>55</v>
      </c>
      <c r="D67" s="20" t="s">
        <v>70</v>
      </c>
      <c r="E67" t="s">
        <v>68</v>
      </c>
      <c r="F67">
        <v>0</v>
      </c>
    </row>
    <row r="68" spans="1:6" x14ac:dyDescent="0.55000000000000004">
      <c r="A68">
        <v>5</v>
      </c>
      <c r="B68" s="15" t="str">
        <f t="shared" si="4"/>
        <v>5_0</v>
      </c>
      <c r="C68" t="s">
        <v>55</v>
      </c>
      <c r="D68" t="s">
        <v>71</v>
      </c>
      <c r="E68" t="s">
        <v>68</v>
      </c>
      <c r="F68">
        <v>0</v>
      </c>
    </row>
    <row r="69" spans="1:6" x14ac:dyDescent="0.55000000000000004">
      <c r="A69">
        <v>5</v>
      </c>
      <c r="B69" s="15" t="str">
        <f t="shared" si="4"/>
        <v>5_0</v>
      </c>
      <c r="C69" t="s">
        <v>55</v>
      </c>
      <c r="D69" t="s">
        <v>72</v>
      </c>
      <c r="E69" t="s">
        <v>60</v>
      </c>
      <c r="F69">
        <v>0</v>
      </c>
    </row>
    <row r="70" spans="1:6" x14ac:dyDescent="0.55000000000000004">
      <c r="A70">
        <v>5</v>
      </c>
      <c r="B70" s="15" t="str">
        <f t="shared" si="4"/>
        <v>5_0</v>
      </c>
      <c r="C70" t="s">
        <v>55</v>
      </c>
      <c r="D70" t="s">
        <v>73</v>
      </c>
      <c r="E70" t="s">
        <v>68</v>
      </c>
      <c r="F70">
        <v>0</v>
      </c>
    </row>
    <row r="71" spans="1:6" x14ac:dyDescent="0.55000000000000004">
      <c r="A71">
        <v>5</v>
      </c>
      <c r="B71" s="15" t="str">
        <f t="shared" si="4"/>
        <v>5_0</v>
      </c>
      <c r="C71" t="s">
        <v>55</v>
      </c>
      <c r="D71" t="s">
        <v>74</v>
      </c>
      <c r="E71" t="s">
        <v>68</v>
      </c>
      <c r="F71">
        <v>0</v>
      </c>
    </row>
    <row r="72" spans="1:6" x14ac:dyDescent="0.55000000000000004">
      <c r="A72">
        <v>5</v>
      </c>
      <c r="B72" s="15" t="str">
        <f t="shared" si="4"/>
        <v>5_0</v>
      </c>
      <c r="C72" t="s">
        <v>55</v>
      </c>
      <c r="D72" t="s">
        <v>75</v>
      </c>
      <c r="E72" t="s">
        <v>68</v>
      </c>
      <c r="F72">
        <v>0</v>
      </c>
    </row>
    <row r="73" spans="1:6" x14ac:dyDescent="0.55000000000000004">
      <c r="A73">
        <v>5</v>
      </c>
      <c r="B73" s="15" t="str">
        <f t="shared" si="4"/>
        <v>5_0</v>
      </c>
      <c r="C73" t="s">
        <v>55</v>
      </c>
      <c r="D73" t="s">
        <v>76</v>
      </c>
      <c r="E73" t="s">
        <v>68</v>
      </c>
      <c r="F73">
        <v>0</v>
      </c>
    </row>
    <row r="74" spans="1:6" x14ac:dyDescent="0.55000000000000004">
      <c r="A74">
        <v>5</v>
      </c>
      <c r="B74" s="15" t="str">
        <f t="shared" si="4"/>
        <v>5_0</v>
      </c>
      <c r="C74" t="s">
        <v>55</v>
      </c>
      <c r="D74" t="s">
        <v>77</v>
      </c>
      <c r="E74" t="s">
        <v>68</v>
      </c>
      <c r="F74">
        <v>100</v>
      </c>
    </row>
    <row r="75" spans="1:6" x14ac:dyDescent="0.55000000000000004">
      <c r="A75">
        <v>5</v>
      </c>
      <c r="B75" s="15" t="str">
        <f t="shared" si="4"/>
        <v>5_0</v>
      </c>
      <c r="C75" t="s">
        <v>55</v>
      </c>
      <c r="D75" t="s">
        <v>78</v>
      </c>
      <c r="E75" t="s">
        <v>68</v>
      </c>
      <c r="F75">
        <v>0</v>
      </c>
    </row>
    <row r="76" spans="1:6" x14ac:dyDescent="0.55000000000000004">
      <c r="A76">
        <v>5</v>
      </c>
      <c r="B76" s="15" t="str">
        <f t="shared" si="4"/>
        <v>5_0</v>
      </c>
      <c r="C76" t="s">
        <v>55</v>
      </c>
      <c r="D76" t="s">
        <v>79</v>
      </c>
      <c r="E76" t="s">
        <v>68</v>
      </c>
      <c r="F76">
        <v>0</v>
      </c>
    </row>
    <row r="77" spans="1:6" x14ac:dyDescent="0.55000000000000004">
      <c r="A77">
        <v>5</v>
      </c>
      <c r="B77" s="15" t="str">
        <f t="shared" si="4"/>
        <v>5_0</v>
      </c>
      <c r="C77" t="s">
        <v>55</v>
      </c>
      <c r="D77" t="s">
        <v>80</v>
      </c>
      <c r="E77" t="s">
        <v>68</v>
      </c>
      <c r="F77">
        <v>0</v>
      </c>
    </row>
    <row r="78" spans="1:6" x14ac:dyDescent="0.55000000000000004">
      <c r="A78">
        <v>5</v>
      </c>
      <c r="B78" s="15" t="str">
        <f t="shared" si="4"/>
        <v>5_0</v>
      </c>
      <c r="C78" t="s">
        <v>55</v>
      </c>
      <c r="D78" t="s">
        <v>81</v>
      </c>
      <c r="E78" t="s">
        <v>82</v>
      </c>
    </row>
    <row r="79" spans="1:6" x14ac:dyDescent="0.55000000000000004">
      <c r="A79">
        <v>5</v>
      </c>
      <c r="B79" s="15" t="str">
        <f t="shared" si="4"/>
        <v>5_0</v>
      </c>
      <c r="C79" t="s">
        <v>83</v>
      </c>
      <c r="D79" t="s">
        <v>84</v>
      </c>
      <c r="E79" t="s">
        <v>85</v>
      </c>
      <c r="F79">
        <v>25.2</v>
      </c>
    </row>
    <row r="80" spans="1:6" x14ac:dyDescent="0.55000000000000004">
      <c r="A80">
        <v>5</v>
      </c>
      <c r="B80" s="15" t="str">
        <f t="shared" si="4"/>
        <v>5_0</v>
      </c>
      <c r="C80" t="s">
        <v>83</v>
      </c>
      <c r="D80" t="s">
        <v>86</v>
      </c>
      <c r="E80" t="s">
        <v>87</v>
      </c>
      <c r="F80">
        <v>10.87</v>
      </c>
    </row>
    <row r="81" spans="1:7" x14ac:dyDescent="0.55000000000000004">
      <c r="A81">
        <v>5</v>
      </c>
      <c r="B81" s="15" t="str">
        <f t="shared" si="4"/>
        <v>5_0</v>
      </c>
      <c r="C81" t="s">
        <v>83</v>
      </c>
      <c r="D81" t="s">
        <v>88</v>
      </c>
      <c r="E81" t="s">
        <v>68</v>
      </c>
      <c r="F81">
        <v>132.19999999999999</v>
      </c>
    </row>
    <row r="82" spans="1:7" x14ac:dyDescent="0.55000000000000004">
      <c r="A82">
        <v>5</v>
      </c>
      <c r="B82" s="15" t="str">
        <f t="shared" si="4"/>
        <v>5_0</v>
      </c>
      <c r="C82" t="s">
        <v>83</v>
      </c>
      <c r="D82" t="s">
        <v>312</v>
      </c>
      <c r="E82" t="s">
        <v>89</v>
      </c>
      <c r="F82">
        <v>170.8</v>
      </c>
    </row>
    <row r="83" spans="1:7" x14ac:dyDescent="0.55000000000000004">
      <c r="A83">
        <f>A82</f>
        <v>5</v>
      </c>
      <c r="B83" s="15" t="str">
        <f>B82</f>
        <v>5_0</v>
      </c>
      <c r="C83" t="str">
        <f>C82</f>
        <v>Chemical</v>
      </c>
      <c r="D83" t="s">
        <v>313</v>
      </c>
      <c r="E83" t="s">
        <v>89</v>
      </c>
      <c r="F83">
        <f xml:space="preserve"> F82 / (1 + 0.021 * (F79 - 25))</f>
        <v>170.08564031069508</v>
      </c>
    </row>
    <row r="84" spans="1:7" x14ac:dyDescent="0.55000000000000004">
      <c r="A84">
        <v>5</v>
      </c>
      <c r="B84" s="15" t="str">
        <f t="shared" si="4"/>
        <v>5_0</v>
      </c>
      <c r="C84" t="s">
        <v>83</v>
      </c>
      <c r="D84" t="s">
        <v>90</v>
      </c>
      <c r="F84">
        <v>8.82</v>
      </c>
    </row>
    <row r="85" spans="1:7" x14ac:dyDescent="0.55000000000000004">
      <c r="A85">
        <v>5</v>
      </c>
      <c r="B85" s="15" t="str">
        <f t="shared" si="4"/>
        <v>5_0</v>
      </c>
      <c r="C85" t="s">
        <v>91</v>
      </c>
      <c r="D85" t="s">
        <v>92</v>
      </c>
      <c r="E85" t="s">
        <v>60</v>
      </c>
      <c r="F85">
        <v>1</v>
      </c>
    </row>
    <row r="86" spans="1:7" x14ac:dyDescent="0.55000000000000004">
      <c r="A86">
        <v>5</v>
      </c>
      <c r="B86" s="15" t="str">
        <f t="shared" si="4"/>
        <v>5_0</v>
      </c>
      <c r="C86" t="s">
        <v>91</v>
      </c>
      <c r="D86" t="s">
        <v>93</v>
      </c>
      <c r="F86" t="s">
        <v>168</v>
      </c>
    </row>
    <row r="87" spans="1:7" x14ac:dyDescent="0.55000000000000004">
      <c r="A87">
        <v>5</v>
      </c>
      <c r="B87" s="15" t="str">
        <f t="shared" si="4"/>
        <v>5_0</v>
      </c>
      <c r="C87" t="s">
        <v>91</v>
      </c>
      <c r="D87" t="s">
        <v>94</v>
      </c>
      <c r="E87" t="s">
        <v>68</v>
      </c>
      <c r="F87">
        <v>0</v>
      </c>
    </row>
    <row r="88" spans="1:7" x14ac:dyDescent="0.55000000000000004">
      <c r="A88">
        <v>5</v>
      </c>
      <c r="B88" s="15" t="str">
        <f t="shared" si="4"/>
        <v>5_0</v>
      </c>
      <c r="C88" t="s">
        <v>91</v>
      </c>
      <c r="D88" t="s">
        <v>95</v>
      </c>
    </row>
    <row r="89" spans="1:7" x14ac:dyDescent="0.55000000000000004">
      <c r="A89">
        <v>6</v>
      </c>
      <c r="B89" s="15" t="str">
        <f t="shared" si="4"/>
        <v>6_0</v>
      </c>
      <c r="C89" t="s">
        <v>55</v>
      </c>
      <c r="D89" t="s">
        <v>56</v>
      </c>
      <c r="E89" t="s">
        <v>57</v>
      </c>
      <c r="F89" s="1"/>
      <c r="G89" t="s">
        <v>58</v>
      </c>
    </row>
    <row r="90" spans="1:7" x14ac:dyDescent="0.55000000000000004">
      <c r="A90">
        <v>6</v>
      </c>
      <c r="B90" s="15" t="str">
        <f t="shared" si="4"/>
        <v>6_0</v>
      </c>
      <c r="C90" t="s">
        <v>55</v>
      </c>
      <c r="D90" s="19" t="s">
        <v>59</v>
      </c>
      <c r="E90" t="s">
        <v>60</v>
      </c>
      <c r="F90">
        <v>1</v>
      </c>
    </row>
    <row r="91" spans="1:7" x14ac:dyDescent="0.55000000000000004">
      <c r="A91">
        <v>6</v>
      </c>
      <c r="B91" s="15" t="str">
        <f t="shared" si="4"/>
        <v>6_0</v>
      </c>
      <c r="C91" t="s">
        <v>55</v>
      </c>
      <c r="D91" t="s">
        <v>61</v>
      </c>
      <c r="E91" t="s">
        <v>62</v>
      </c>
    </row>
    <row r="92" spans="1:7" x14ac:dyDescent="0.55000000000000004">
      <c r="A92">
        <v>6</v>
      </c>
      <c r="B92" s="15" t="str">
        <f t="shared" si="4"/>
        <v>6_0</v>
      </c>
      <c r="C92" t="s">
        <v>55</v>
      </c>
      <c r="D92" t="s">
        <v>63</v>
      </c>
      <c r="E92" t="s">
        <v>62</v>
      </c>
      <c r="F92">
        <v>0.5</v>
      </c>
    </row>
    <row r="93" spans="1:7" x14ac:dyDescent="0.55000000000000004">
      <c r="A93">
        <v>6</v>
      </c>
      <c r="B93" s="15" t="str">
        <f t="shared" si="4"/>
        <v>6_0</v>
      </c>
      <c r="C93" t="s">
        <v>55</v>
      </c>
      <c r="D93" t="s">
        <v>64</v>
      </c>
      <c r="E93" t="s">
        <v>65</v>
      </c>
      <c r="F93">
        <f>F92/10</f>
        <v>0.05</v>
      </c>
      <c r="G93" t="s">
        <v>66</v>
      </c>
    </row>
    <row r="94" spans="1:7" x14ac:dyDescent="0.55000000000000004">
      <c r="A94">
        <v>6</v>
      </c>
      <c r="B94" s="15" t="str">
        <f t="shared" si="4"/>
        <v>6_0</v>
      </c>
      <c r="C94" t="s">
        <v>55</v>
      </c>
      <c r="D94" s="20" t="s">
        <v>67</v>
      </c>
      <c r="E94" t="s">
        <v>68</v>
      </c>
      <c r="F94">
        <v>80</v>
      </c>
    </row>
    <row r="95" spans="1:7" x14ac:dyDescent="0.55000000000000004">
      <c r="A95">
        <v>6</v>
      </c>
      <c r="B95" s="15" t="str">
        <f t="shared" si="4"/>
        <v>6_0</v>
      </c>
      <c r="C95" t="s">
        <v>55</v>
      </c>
      <c r="D95" s="20" t="s">
        <v>69</v>
      </c>
      <c r="F95" t="s">
        <v>166</v>
      </c>
    </row>
    <row r="96" spans="1:7" x14ac:dyDescent="0.55000000000000004">
      <c r="A96">
        <v>6</v>
      </c>
      <c r="B96" s="15" t="str">
        <f t="shared" si="4"/>
        <v>6_0</v>
      </c>
      <c r="C96" t="s">
        <v>55</v>
      </c>
      <c r="D96" s="20" t="s">
        <v>70</v>
      </c>
      <c r="E96" t="s">
        <v>68</v>
      </c>
      <c r="F96">
        <v>5</v>
      </c>
    </row>
    <row r="97" spans="1:6" x14ac:dyDescent="0.55000000000000004">
      <c r="A97">
        <v>6</v>
      </c>
      <c r="B97" s="15" t="str">
        <f t="shared" si="4"/>
        <v>6_0</v>
      </c>
      <c r="C97" t="s">
        <v>55</v>
      </c>
      <c r="D97" t="s">
        <v>71</v>
      </c>
      <c r="E97" t="s">
        <v>68</v>
      </c>
      <c r="F97">
        <v>0</v>
      </c>
    </row>
    <row r="98" spans="1:6" x14ac:dyDescent="0.55000000000000004">
      <c r="A98">
        <v>6</v>
      </c>
      <c r="B98" s="15" t="str">
        <f t="shared" si="4"/>
        <v>6_0</v>
      </c>
      <c r="C98" t="s">
        <v>55</v>
      </c>
      <c r="D98" t="s">
        <v>72</v>
      </c>
      <c r="E98" t="s">
        <v>60</v>
      </c>
      <c r="F98">
        <v>0</v>
      </c>
    </row>
    <row r="99" spans="1:6" x14ac:dyDescent="0.55000000000000004">
      <c r="A99">
        <v>6</v>
      </c>
      <c r="B99" s="15" t="str">
        <f t="shared" si="4"/>
        <v>6_0</v>
      </c>
      <c r="C99" t="s">
        <v>55</v>
      </c>
      <c r="D99" t="s">
        <v>73</v>
      </c>
      <c r="E99" t="s">
        <v>68</v>
      </c>
      <c r="F99">
        <v>0</v>
      </c>
    </row>
    <row r="100" spans="1:6" x14ac:dyDescent="0.55000000000000004">
      <c r="A100">
        <v>6</v>
      </c>
      <c r="B100" s="15" t="str">
        <f t="shared" si="4"/>
        <v>6_0</v>
      </c>
      <c r="C100" t="s">
        <v>55</v>
      </c>
      <c r="D100" t="s">
        <v>74</v>
      </c>
      <c r="E100" t="s">
        <v>68</v>
      </c>
      <c r="F100">
        <v>0</v>
      </c>
    </row>
    <row r="101" spans="1:6" x14ac:dyDescent="0.55000000000000004">
      <c r="A101">
        <v>6</v>
      </c>
      <c r="B101" s="15" t="str">
        <f t="shared" si="4"/>
        <v>6_0</v>
      </c>
      <c r="C101" t="s">
        <v>55</v>
      </c>
      <c r="D101" t="s">
        <v>75</v>
      </c>
      <c r="E101" t="s">
        <v>68</v>
      </c>
      <c r="F101">
        <v>0</v>
      </c>
    </row>
    <row r="102" spans="1:6" x14ac:dyDescent="0.55000000000000004">
      <c r="A102">
        <v>6</v>
      </c>
      <c r="B102" s="15" t="str">
        <f t="shared" si="4"/>
        <v>6_0</v>
      </c>
      <c r="C102" t="s">
        <v>55</v>
      </c>
      <c r="D102" t="s">
        <v>76</v>
      </c>
      <c r="E102" t="s">
        <v>68</v>
      </c>
      <c r="F102">
        <v>0</v>
      </c>
    </row>
    <row r="103" spans="1:6" x14ac:dyDescent="0.55000000000000004">
      <c r="A103">
        <v>6</v>
      </c>
      <c r="B103" s="15" t="str">
        <f t="shared" si="4"/>
        <v>6_0</v>
      </c>
      <c r="C103" t="s">
        <v>55</v>
      </c>
      <c r="D103" t="s">
        <v>77</v>
      </c>
      <c r="E103" t="s">
        <v>68</v>
      </c>
      <c r="F103">
        <v>100</v>
      </c>
    </row>
    <row r="104" spans="1:6" x14ac:dyDescent="0.55000000000000004">
      <c r="A104">
        <v>6</v>
      </c>
      <c r="B104" s="15" t="str">
        <f t="shared" si="4"/>
        <v>6_0</v>
      </c>
      <c r="C104" t="s">
        <v>55</v>
      </c>
      <c r="D104" t="s">
        <v>78</v>
      </c>
      <c r="E104" t="s">
        <v>68</v>
      </c>
      <c r="F104">
        <v>0</v>
      </c>
    </row>
    <row r="105" spans="1:6" x14ac:dyDescent="0.55000000000000004">
      <c r="A105">
        <v>6</v>
      </c>
      <c r="B105" s="15" t="str">
        <f t="shared" si="4"/>
        <v>6_0</v>
      </c>
      <c r="C105" t="s">
        <v>55</v>
      </c>
      <c r="D105" t="s">
        <v>79</v>
      </c>
      <c r="E105" t="s">
        <v>68</v>
      </c>
      <c r="F105">
        <v>0</v>
      </c>
    </row>
    <row r="106" spans="1:6" x14ac:dyDescent="0.55000000000000004">
      <c r="A106">
        <v>6</v>
      </c>
      <c r="B106" s="15" t="str">
        <f t="shared" si="4"/>
        <v>6_0</v>
      </c>
      <c r="C106" t="s">
        <v>55</v>
      </c>
      <c r="D106" t="s">
        <v>80</v>
      </c>
      <c r="E106" t="s">
        <v>68</v>
      </c>
      <c r="F106">
        <v>0</v>
      </c>
    </row>
    <row r="107" spans="1:6" x14ac:dyDescent="0.55000000000000004">
      <c r="A107">
        <v>6</v>
      </c>
      <c r="B107" s="15" t="str">
        <f t="shared" si="4"/>
        <v>6_0</v>
      </c>
      <c r="C107" t="s">
        <v>55</v>
      </c>
      <c r="D107" t="s">
        <v>81</v>
      </c>
      <c r="E107" t="s">
        <v>82</v>
      </c>
    </row>
    <row r="108" spans="1:6" x14ac:dyDescent="0.55000000000000004">
      <c r="A108">
        <v>6</v>
      </c>
      <c r="B108" s="15" t="str">
        <f t="shared" si="4"/>
        <v>6_0</v>
      </c>
      <c r="C108" t="s">
        <v>83</v>
      </c>
      <c r="D108" t="s">
        <v>84</v>
      </c>
      <c r="E108" t="s">
        <v>85</v>
      </c>
      <c r="F108">
        <v>25.6</v>
      </c>
    </row>
    <row r="109" spans="1:6" x14ac:dyDescent="0.55000000000000004">
      <c r="A109">
        <v>6</v>
      </c>
      <c r="B109" s="15" t="str">
        <f t="shared" si="4"/>
        <v>6_0</v>
      </c>
      <c r="C109" t="s">
        <v>83</v>
      </c>
      <c r="D109" t="s">
        <v>86</v>
      </c>
      <c r="E109" t="s">
        <v>87</v>
      </c>
      <c r="F109">
        <v>10.24</v>
      </c>
    </row>
    <row r="110" spans="1:6" x14ac:dyDescent="0.55000000000000004">
      <c r="A110">
        <v>6</v>
      </c>
      <c r="B110" s="15" t="str">
        <f t="shared" si="4"/>
        <v>6_0</v>
      </c>
      <c r="C110" t="s">
        <v>83</v>
      </c>
      <c r="D110" t="s">
        <v>88</v>
      </c>
      <c r="E110" t="s">
        <v>68</v>
      </c>
      <c r="F110">
        <v>125.4</v>
      </c>
    </row>
    <row r="111" spans="1:6" x14ac:dyDescent="0.55000000000000004">
      <c r="A111">
        <v>6</v>
      </c>
      <c r="B111" s="15" t="str">
        <f t="shared" si="4"/>
        <v>6_0</v>
      </c>
      <c r="C111" t="s">
        <v>83</v>
      </c>
      <c r="D111" t="s">
        <v>312</v>
      </c>
      <c r="E111" t="s">
        <v>89</v>
      </c>
      <c r="F111">
        <v>170.9</v>
      </c>
    </row>
    <row r="112" spans="1:6" x14ac:dyDescent="0.55000000000000004">
      <c r="A112">
        <f>A111</f>
        <v>6</v>
      </c>
      <c r="B112" s="15" t="str">
        <f>B111</f>
        <v>6_0</v>
      </c>
      <c r="C112" t="str">
        <f>C111</f>
        <v>Chemical</v>
      </c>
      <c r="D112" t="s">
        <v>313</v>
      </c>
      <c r="E112" t="s">
        <v>89</v>
      </c>
      <c r="F112">
        <f xml:space="preserve"> F111 / (1 + 0.021 * (F108 - 25))</f>
        <v>168.77345447363226</v>
      </c>
    </row>
    <row r="113" spans="1:7" x14ac:dyDescent="0.55000000000000004">
      <c r="A113">
        <v>6</v>
      </c>
      <c r="B113" s="15" t="str">
        <f t="shared" si="4"/>
        <v>6_0</v>
      </c>
      <c r="C113" t="s">
        <v>83</v>
      </c>
      <c r="D113" t="s">
        <v>90</v>
      </c>
      <c r="F113">
        <v>8.51</v>
      </c>
    </row>
    <row r="114" spans="1:7" x14ac:dyDescent="0.55000000000000004">
      <c r="A114">
        <v>6</v>
      </c>
      <c r="B114" s="15" t="str">
        <f t="shared" si="4"/>
        <v>6_0</v>
      </c>
      <c r="C114" t="s">
        <v>91</v>
      </c>
      <c r="D114" t="s">
        <v>92</v>
      </c>
      <c r="E114" t="s">
        <v>60</v>
      </c>
      <c r="F114">
        <v>1</v>
      </c>
    </row>
    <row r="115" spans="1:7" x14ac:dyDescent="0.55000000000000004">
      <c r="A115">
        <v>6</v>
      </c>
      <c r="B115" s="15" t="str">
        <f t="shared" si="4"/>
        <v>6_0</v>
      </c>
      <c r="C115" t="s">
        <v>91</v>
      </c>
      <c r="D115" t="s">
        <v>93</v>
      </c>
      <c r="F115" t="s">
        <v>168</v>
      </c>
    </row>
    <row r="116" spans="1:7" x14ac:dyDescent="0.55000000000000004">
      <c r="A116">
        <v>6</v>
      </c>
      <c r="B116" s="15" t="str">
        <f t="shared" si="4"/>
        <v>6_0</v>
      </c>
      <c r="C116" t="s">
        <v>91</v>
      </c>
      <c r="D116" t="s">
        <v>94</v>
      </c>
      <c r="E116" t="s">
        <v>68</v>
      </c>
      <c r="F116">
        <v>0</v>
      </c>
    </row>
    <row r="117" spans="1:7" x14ac:dyDescent="0.55000000000000004">
      <c r="A117">
        <v>6</v>
      </c>
      <c r="B117" s="15" t="str">
        <f t="shared" si="4"/>
        <v>6_0</v>
      </c>
      <c r="C117" t="s">
        <v>91</v>
      </c>
      <c r="D117" t="s">
        <v>95</v>
      </c>
    </row>
    <row r="118" spans="1:7" x14ac:dyDescent="0.55000000000000004">
      <c r="A118">
        <v>7</v>
      </c>
      <c r="B118" s="15" t="str">
        <f t="shared" si="4"/>
        <v>7_0</v>
      </c>
      <c r="C118" t="s">
        <v>55</v>
      </c>
      <c r="D118" t="s">
        <v>56</v>
      </c>
      <c r="E118" t="s">
        <v>57</v>
      </c>
      <c r="F118" s="1"/>
      <c r="G118" t="s">
        <v>58</v>
      </c>
    </row>
    <row r="119" spans="1:7" x14ac:dyDescent="0.55000000000000004">
      <c r="A119">
        <v>7</v>
      </c>
      <c r="B119" s="15" t="str">
        <f t="shared" ref="B119:B175" si="5">A119 &amp; "_0"</f>
        <v>7_0</v>
      </c>
      <c r="C119" t="s">
        <v>55</v>
      </c>
      <c r="D119" s="19" t="s">
        <v>59</v>
      </c>
      <c r="E119" t="s">
        <v>60</v>
      </c>
      <c r="F119">
        <v>1</v>
      </c>
    </row>
    <row r="120" spans="1:7" x14ac:dyDescent="0.55000000000000004">
      <c r="A120">
        <v>7</v>
      </c>
      <c r="B120" s="15" t="str">
        <f t="shared" si="5"/>
        <v>7_0</v>
      </c>
      <c r="C120" t="s">
        <v>55</v>
      </c>
      <c r="D120" t="s">
        <v>61</v>
      </c>
      <c r="E120" t="s">
        <v>62</v>
      </c>
    </row>
    <row r="121" spans="1:7" x14ac:dyDescent="0.55000000000000004">
      <c r="A121">
        <v>7</v>
      </c>
      <c r="B121" s="15" t="str">
        <f t="shared" si="5"/>
        <v>7_0</v>
      </c>
      <c r="C121" t="s">
        <v>55</v>
      </c>
      <c r="D121" t="s">
        <v>63</v>
      </c>
      <c r="E121" t="s">
        <v>62</v>
      </c>
      <c r="F121">
        <v>0.6</v>
      </c>
    </row>
    <row r="122" spans="1:7" x14ac:dyDescent="0.55000000000000004">
      <c r="A122">
        <v>7</v>
      </c>
      <c r="B122" s="15" t="str">
        <f t="shared" si="5"/>
        <v>7_0</v>
      </c>
      <c r="C122" t="s">
        <v>55</v>
      </c>
      <c r="D122" t="s">
        <v>64</v>
      </c>
      <c r="E122" t="s">
        <v>65</v>
      </c>
      <c r="F122">
        <f>F121/10</f>
        <v>0.06</v>
      </c>
      <c r="G122" t="s">
        <v>66</v>
      </c>
    </row>
    <row r="123" spans="1:7" x14ac:dyDescent="0.55000000000000004">
      <c r="A123">
        <v>7</v>
      </c>
      <c r="B123" s="15" t="str">
        <f t="shared" si="5"/>
        <v>7_0</v>
      </c>
      <c r="C123" t="s">
        <v>55</v>
      </c>
      <c r="D123" s="20" t="s">
        <v>67</v>
      </c>
      <c r="E123" t="s">
        <v>68</v>
      </c>
      <c r="F123">
        <v>10</v>
      </c>
    </row>
    <row r="124" spans="1:7" x14ac:dyDescent="0.55000000000000004">
      <c r="A124">
        <v>7</v>
      </c>
      <c r="B124" s="15" t="str">
        <f t="shared" si="5"/>
        <v>7_0</v>
      </c>
      <c r="C124" t="s">
        <v>55</v>
      </c>
      <c r="D124" s="20" t="s">
        <v>69</v>
      </c>
      <c r="F124" t="s">
        <v>169</v>
      </c>
    </row>
    <row r="125" spans="1:7" x14ac:dyDescent="0.55000000000000004">
      <c r="A125">
        <v>7</v>
      </c>
      <c r="B125" s="15" t="str">
        <f t="shared" si="5"/>
        <v>7_0</v>
      </c>
      <c r="C125" t="s">
        <v>55</v>
      </c>
      <c r="D125" s="20" t="s">
        <v>70</v>
      </c>
      <c r="E125" t="s">
        <v>68</v>
      </c>
      <c r="F125">
        <v>0</v>
      </c>
    </row>
    <row r="126" spans="1:7" x14ac:dyDescent="0.55000000000000004">
      <c r="A126">
        <v>7</v>
      </c>
      <c r="B126" s="15" t="str">
        <f t="shared" si="5"/>
        <v>7_0</v>
      </c>
      <c r="C126" t="s">
        <v>55</v>
      </c>
      <c r="D126" t="s">
        <v>71</v>
      </c>
      <c r="E126" t="s">
        <v>68</v>
      </c>
      <c r="F126">
        <v>0</v>
      </c>
    </row>
    <row r="127" spans="1:7" x14ac:dyDescent="0.55000000000000004">
      <c r="A127">
        <v>7</v>
      </c>
      <c r="B127" s="15" t="str">
        <f t="shared" si="5"/>
        <v>7_0</v>
      </c>
      <c r="C127" t="s">
        <v>55</v>
      </c>
      <c r="D127" t="s">
        <v>72</v>
      </c>
      <c r="E127" t="s">
        <v>60</v>
      </c>
      <c r="F127">
        <v>1</v>
      </c>
      <c r="G127" t="s">
        <v>167</v>
      </c>
    </row>
    <row r="128" spans="1:7" x14ac:dyDescent="0.55000000000000004">
      <c r="A128">
        <v>7</v>
      </c>
      <c r="B128" s="15" t="str">
        <f t="shared" si="5"/>
        <v>7_0</v>
      </c>
      <c r="C128" t="s">
        <v>55</v>
      </c>
      <c r="D128" t="s">
        <v>73</v>
      </c>
      <c r="E128" t="s">
        <v>68</v>
      </c>
      <c r="F128">
        <v>0</v>
      </c>
    </row>
    <row r="129" spans="1:6" x14ac:dyDescent="0.55000000000000004">
      <c r="A129">
        <v>7</v>
      </c>
      <c r="B129" s="15" t="str">
        <f t="shared" si="5"/>
        <v>7_0</v>
      </c>
      <c r="C129" t="s">
        <v>55</v>
      </c>
      <c r="D129" t="s">
        <v>74</v>
      </c>
      <c r="E129" t="s">
        <v>68</v>
      </c>
      <c r="F129">
        <v>0</v>
      </c>
    </row>
    <row r="130" spans="1:6" x14ac:dyDescent="0.55000000000000004">
      <c r="A130">
        <v>7</v>
      </c>
      <c r="B130" s="15" t="str">
        <f t="shared" si="5"/>
        <v>7_0</v>
      </c>
      <c r="C130" t="s">
        <v>55</v>
      </c>
      <c r="D130" t="s">
        <v>75</v>
      </c>
      <c r="E130" t="s">
        <v>68</v>
      </c>
      <c r="F130">
        <v>0</v>
      </c>
    </row>
    <row r="131" spans="1:6" x14ac:dyDescent="0.55000000000000004">
      <c r="A131">
        <v>7</v>
      </c>
      <c r="B131" s="15" t="str">
        <f t="shared" si="5"/>
        <v>7_0</v>
      </c>
      <c r="C131" t="s">
        <v>55</v>
      </c>
      <c r="D131" t="s">
        <v>76</v>
      </c>
      <c r="E131" t="s">
        <v>68</v>
      </c>
      <c r="F131">
        <v>0</v>
      </c>
    </row>
    <row r="132" spans="1:6" x14ac:dyDescent="0.55000000000000004">
      <c r="A132">
        <v>7</v>
      </c>
      <c r="B132" s="15" t="str">
        <f t="shared" si="5"/>
        <v>7_0</v>
      </c>
      <c r="C132" t="s">
        <v>55</v>
      </c>
      <c r="D132" t="s">
        <v>77</v>
      </c>
      <c r="E132" t="s">
        <v>68</v>
      </c>
      <c r="F132">
        <v>70</v>
      </c>
    </row>
    <row r="133" spans="1:6" x14ac:dyDescent="0.55000000000000004">
      <c r="A133">
        <v>7</v>
      </c>
      <c r="B133" s="15" t="str">
        <f t="shared" si="5"/>
        <v>7_0</v>
      </c>
      <c r="C133" t="s">
        <v>55</v>
      </c>
      <c r="D133" t="s">
        <v>78</v>
      </c>
      <c r="E133" t="s">
        <v>68</v>
      </c>
      <c r="F133">
        <v>30</v>
      </c>
    </row>
    <row r="134" spans="1:6" x14ac:dyDescent="0.55000000000000004">
      <c r="A134">
        <v>7</v>
      </c>
      <c r="B134" s="15" t="str">
        <f t="shared" si="5"/>
        <v>7_0</v>
      </c>
      <c r="C134" t="s">
        <v>55</v>
      </c>
      <c r="D134" t="s">
        <v>79</v>
      </c>
      <c r="E134" t="s">
        <v>68</v>
      </c>
      <c r="F134">
        <v>0</v>
      </c>
    </row>
    <row r="135" spans="1:6" x14ac:dyDescent="0.55000000000000004">
      <c r="A135">
        <v>7</v>
      </c>
      <c r="B135" s="15" t="str">
        <f t="shared" si="5"/>
        <v>7_0</v>
      </c>
      <c r="C135" t="s">
        <v>55</v>
      </c>
      <c r="D135" t="s">
        <v>80</v>
      </c>
      <c r="E135" t="s">
        <v>68</v>
      </c>
      <c r="F135">
        <v>0</v>
      </c>
    </row>
    <row r="136" spans="1:6" x14ac:dyDescent="0.55000000000000004">
      <c r="A136">
        <v>7</v>
      </c>
      <c r="B136" s="15" t="str">
        <f t="shared" si="5"/>
        <v>7_0</v>
      </c>
      <c r="C136" t="s">
        <v>55</v>
      </c>
      <c r="D136" t="s">
        <v>81</v>
      </c>
      <c r="E136" t="s">
        <v>82</v>
      </c>
    </row>
    <row r="137" spans="1:6" x14ac:dyDescent="0.55000000000000004">
      <c r="A137">
        <v>7</v>
      </c>
      <c r="B137" s="15" t="str">
        <f t="shared" si="5"/>
        <v>7_0</v>
      </c>
      <c r="C137" t="s">
        <v>83</v>
      </c>
      <c r="D137" t="s">
        <v>84</v>
      </c>
      <c r="E137" t="s">
        <v>85</v>
      </c>
      <c r="F137">
        <v>24.2</v>
      </c>
    </row>
    <row r="138" spans="1:6" x14ac:dyDescent="0.55000000000000004">
      <c r="A138">
        <v>7</v>
      </c>
      <c r="B138" s="15" t="str">
        <f t="shared" si="5"/>
        <v>7_0</v>
      </c>
      <c r="C138" t="s">
        <v>83</v>
      </c>
      <c r="D138" t="s">
        <v>86</v>
      </c>
      <c r="E138" t="s">
        <v>87</v>
      </c>
      <c r="F138">
        <v>9.25</v>
      </c>
    </row>
    <row r="139" spans="1:6" x14ac:dyDescent="0.55000000000000004">
      <c r="A139">
        <v>7</v>
      </c>
      <c r="B139" s="15" t="str">
        <f t="shared" si="5"/>
        <v>7_0</v>
      </c>
      <c r="C139" t="s">
        <v>83</v>
      </c>
      <c r="D139" t="s">
        <v>88</v>
      </c>
      <c r="E139" t="s">
        <v>68</v>
      </c>
      <c r="F139">
        <v>110.4</v>
      </c>
    </row>
    <row r="140" spans="1:6" x14ac:dyDescent="0.55000000000000004">
      <c r="A140">
        <v>7</v>
      </c>
      <c r="B140" s="15" t="str">
        <f t="shared" si="5"/>
        <v>7_0</v>
      </c>
      <c r="C140" t="s">
        <v>83</v>
      </c>
      <c r="D140" t="s">
        <v>312</v>
      </c>
      <c r="E140" t="s">
        <v>89</v>
      </c>
      <c r="F140">
        <v>172</v>
      </c>
    </row>
    <row r="141" spans="1:6" x14ac:dyDescent="0.55000000000000004">
      <c r="A141">
        <f>A140</f>
        <v>7</v>
      </c>
      <c r="B141" s="15" t="str">
        <f>B140</f>
        <v>7_0</v>
      </c>
      <c r="C141" t="str">
        <f>C140</f>
        <v>Chemical</v>
      </c>
      <c r="D141" t="s">
        <v>313</v>
      </c>
      <c r="E141" t="s">
        <v>89</v>
      </c>
      <c r="F141">
        <f xml:space="preserve"> F140 / (1 + 0.021 * (F137 - 25))</f>
        <v>174.93897477624085</v>
      </c>
    </row>
    <row r="142" spans="1:6" x14ac:dyDescent="0.55000000000000004">
      <c r="A142">
        <v>7</v>
      </c>
      <c r="B142" s="15" t="str">
        <f t="shared" si="5"/>
        <v>7_0</v>
      </c>
      <c r="C142" t="s">
        <v>83</v>
      </c>
      <c r="D142" t="s">
        <v>90</v>
      </c>
      <c r="F142">
        <v>8.1199999999999992</v>
      </c>
    </row>
    <row r="143" spans="1:6" x14ac:dyDescent="0.55000000000000004">
      <c r="A143">
        <v>7</v>
      </c>
      <c r="B143" s="15" t="str">
        <f t="shared" si="5"/>
        <v>7_0</v>
      </c>
      <c r="C143" t="s">
        <v>91</v>
      </c>
      <c r="D143" t="s">
        <v>92</v>
      </c>
      <c r="E143" t="s">
        <v>60</v>
      </c>
      <c r="F143">
        <v>0</v>
      </c>
    </row>
    <row r="144" spans="1:6" x14ac:dyDescent="0.55000000000000004">
      <c r="A144">
        <v>7</v>
      </c>
      <c r="B144" s="15" t="str">
        <f t="shared" si="5"/>
        <v>7_0</v>
      </c>
      <c r="C144" t="s">
        <v>91</v>
      </c>
      <c r="D144" t="s">
        <v>93</v>
      </c>
    </row>
    <row r="145" spans="1:7" x14ac:dyDescent="0.55000000000000004">
      <c r="A145">
        <v>7</v>
      </c>
      <c r="B145" s="15" t="str">
        <f t="shared" si="5"/>
        <v>7_0</v>
      </c>
      <c r="C145" t="s">
        <v>91</v>
      </c>
      <c r="D145" t="s">
        <v>94</v>
      </c>
      <c r="E145" t="s">
        <v>68</v>
      </c>
      <c r="F145">
        <v>0</v>
      </c>
    </row>
    <row r="146" spans="1:7" x14ac:dyDescent="0.55000000000000004">
      <c r="A146">
        <v>7</v>
      </c>
      <c r="B146" s="15" t="str">
        <f t="shared" si="5"/>
        <v>7_0</v>
      </c>
      <c r="C146" t="s">
        <v>91</v>
      </c>
      <c r="D146" t="s">
        <v>95</v>
      </c>
    </row>
    <row r="147" spans="1:7" x14ac:dyDescent="0.55000000000000004">
      <c r="A147">
        <v>8</v>
      </c>
      <c r="B147" s="15" t="str">
        <f t="shared" si="5"/>
        <v>8_0</v>
      </c>
      <c r="C147" t="s">
        <v>55</v>
      </c>
      <c r="D147" t="s">
        <v>56</v>
      </c>
      <c r="E147" t="s">
        <v>57</v>
      </c>
      <c r="F147" s="1"/>
      <c r="G147" t="s">
        <v>58</v>
      </c>
    </row>
    <row r="148" spans="1:7" x14ac:dyDescent="0.55000000000000004">
      <c r="A148">
        <v>8</v>
      </c>
      <c r="B148" s="15" t="str">
        <f t="shared" si="5"/>
        <v>8_0</v>
      </c>
      <c r="C148" t="s">
        <v>55</v>
      </c>
      <c r="D148" s="19" t="s">
        <v>59</v>
      </c>
      <c r="E148" t="s">
        <v>60</v>
      </c>
      <c r="F148">
        <v>1</v>
      </c>
    </row>
    <row r="149" spans="1:7" x14ac:dyDescent="0.55000000000000004">
      <c r="A149">
        <v>8</v>
      </c>
      <c r="B149" s="15" t="str">
        <f t="shared" si="5"/>
        <v>8_0</v>
      </c>
      <c r="C149" t="s">
        <v>55</v>
      </c>
      <c r="D149" t="s">
        <v>61</v>
      </c>
      <c r="E149" t="s">
        <v>62</v>
      </c>
    </row>
    <row r="150" spans="1:7" x14ac:dyDescent="0.55000000000000004">
      <c r="A150">
        <v>8</v>
      </c>
      <c r="B150" s="15" t="str">
        <f t="shared" si="5"/>
        <v>8_0</v>
      </c>
      <c r="C150" t="s">
        <v>55</v>
      </c>
      <c r="D150" t="s">
        <v>63</v>
      </c>
      <c r="E150" t="s">
        <v>62</v>
      </c>
      <c r="F150">
        <v>0.6</v>
      </c>
    </row>
    <row r="151" spans="1:7" x14ac:dyDescent="0.55000000000000004">
      <c r="A151">
        <v>8</v>
      </c>
      <c r="B151" s="15" t="str">
        <f t="shared" si="5"/>
        <v>8_0</v>
      </c>
      <c r="C151" t="s">
        <v>55</v>
      </c>
      <c r="D151" t="s">
        <v>64</v>
      </c>
      <c r="E151" t="s">
        <v>65</v>
      </c>
      <c r="F151">
        <f>F150/10</f>
        <v>0.06</v>
      </c>
      <c r="G151" t="s">
        <v>66</v>
      </c>
    </row>
    <row r="152" spans="1:7" x14ac:dyDescent="0.55000000000000004">
      <c r="A152">
        <v>8</v>
      </c>
      <c r="B152" s="15" t="str">
        <f t="shared" si="5"/>
        <v>8_0</v>
      </c>
      <c r="C152" t="s">
        <v>55</v>
      </c>
      <c r="D152" s="20" t="s">
        <v>67</v>
      </c>
      <c r="E152" t="s">
        <v>68</v>
      </c>
      <c r="F152">
        <v>0</v>
      </c>
    </row>
    <row r="153" spans="1:7" x14ac:dyDescent="0.55000000000000004">
      <c r="A153">
        <v>8</v>
      </c>
      <c r="B153" s="15" t="str">
        <f t="shared" si="5"/>
        <v>8_0</v>
      </c>
      <c r="C153" t="s">
        <v>55</v>
      </c>
      <c r="D153" s="20" t="s">
        <v>69</v>
      </c>
    </row>
    <row r="154" spans="1:7" x14ac:dyDescent="0.55000000000000004">
      <c r="A154">
        <v>8</v>
      </c>
      <c r="B154" s="15" t="str">
        <f t="shared" si="5"/>
        <v>8_0</v>
      </c>
      <c r="C154" t="s">
        <v>55</v>
      </c>
      <c r="D154" s="20" t="s">
        <v>70</v>
      </c>
      <c r="E154" t="s">
        <v>68</v>
      </c>
      <c r="F154">
        <v>0</v>
      </c>
    </row>
    <row r="155" spans="1:7" x14ac:dyDescent="0.55000000000000004">
      <c r="A155">
        <v>8</v>
      </c>
      <c r="B155" s="15" t="str">
        <f t="shared" si="5"/>
        <v>8_0</v>
      </c>
      <c r="C155" t="s">
        <v>55</v>
      </c>
      <c r="D155" t="s">
        <v>71</v>
      </c>
      <c r="E155" t="s">
        <v>68</v>
      </c>
      <c r="F155">
        <v>0</v>
      </c>
    </row>
    <row r="156" spans="1:7" x14ac:dyDescent="0.55000000000000004">
      <c r="A156">
        <v>8</v>
      </c>
      <c r="B156" s="15" t="str">
        <f t="shared" si="5"/>
        <v>8_0</v>
      </c>
      <c r="C156" t="s">
        <v>55</v>
      </c>
      <c r="D156" t="s">
        <v>72</v>
      </c>
      <c r="E156" t="s">
        <v>60</v>
      </c>
      <c r="F156">
        <v>1</v>
      </c>
      <c r="G156" t="s">
        <v>167</v>
      </c>
    </row>
    <row r="157" spans="1:7" x14ac:dyDescent="0.55000000000000004">
      <c r="A157">
        <v>8</v>
      </c>
      <c r="B157" s="15" t="str">
        <f t="shared" si="5"/>
        <v>8_0</v>
      </c>
      <c r="C157" t="s">
        <v>55</v>
      </c>
      <c r="D157" t="s">
        <v>73</v>
      </c>
      <c r="E157" t="s">
        <v>68</v>
      </c>
      <c r="F157">
        <v>0</v>
      </c>
    </row>
    <row r="158" spans="1:7" x14ac:dyDescent="0.55000000000000004">
      <c r="A158">
        <v>8</v>
      </c>
      <c r="B158" s="15" t="str">
        <f t="shared" si="5"/>
        <v>8_0</v>
      </c>
      <c r="C158" t="s">
        <v>55</v>
      </c>
      <c r="D158" t="s">
        <v>74</v>
      </c>
      <c r="E158" t="s">
        <v>68</v>
      </c>
      <c r="F158">
        <v>0</v>
      </c>
    </row>
    <row r="159" spans="1:7" x14ac:dyDescent="0.55000000000000004">
      <c r="A159">
        <v>8</v>
      </c>
      <c r="B159" s="15" t="str">
        <f t="shared" si="5"/>
        <v>8_0</v>
      </c>
      <c r="C159" t="s">
        <v>55</v>
      </c>
      <c r="D159" t="s">
        <v>75</v>
      </c>
      <c r="E159" t="s">
        <v>68</v>
      </c>
      <c r="F159">
        <v>0</v>
      </c>
    </row>
    <row r="160" spans="1:7" x14ac:dyDescent="0.55000000000000004">
      <c r="A160">
        <v>8</v>
      </c>
      <c r="B160" s="15" t="str">
        <f t="shared" si="5"/>
        <v>8_0</v>
      </c>
      <c r="C160" t="s">
        <v>55</v>
      </c>
      <c r="D160" t="s">
        <v>76</v>
      </c>
      <c r="E160" t="s">
        <v>68</v>
      </c>
      <c r="F160">
        <v>0</v>
      </c>
    </row>
    <row r="161" spans="1:7" x14ac:dyDescent="0.55000000000000004">
      <c r="A161">
        <v>8</v>
      </c>
      <c r="B161" s="15" t="str">
        <f t="shared" si="5"/>
        <v>8_0</v>
      </c>
      <c r="C161" t="s">
        <v>55</v>
      </c>
      <c r="D161" t="s">
        <v>77</v>
      </c>
      <c r="E161" t="s">
        <v>68</v>
      </c>
      <c r="F161">
        <v>100</v>
      </c>
    </row>
    <row r="162" spans="1:7" x14ac:dyDescent="0.55000000000000004">
      <c r="A162">
        <v>8</v>
      </c>
      <c r="B162" s="15" t="str">
        <f t="shared" si="5"/>
        <v>8_0</v>
      </c>
      <c r="C162" t="s">
        <v>55</v>
      </c>
      <c r="D162" t="s">
        <v>78</v>
      </c>
      <c r="E162" t="s">
        <v>68</v>
      </c>
      <c r="F162">
        <v>0</v>
      </c>
    </row>
    <row r="163" spans="1:7" x14ac:dyDescent="0.55000000000000004">
      <c r="A163">
        <v>8</v>
      </c>
      <c r="B163" s="15" t="str">
        <f t="shared" si="5"/>
        <v>8_0</v>
      </c>
      <c r="C163" t="s">
        <v>55</v>
      </c>
      <c r="D163" t="s">
        <v>79</v>
      </c>
      <c r="E163" t="s">
        <v>68</v>
      </c>
      <c r="F163">
        <v>0</v>
      </c>
    </row>
    <row r="164" spans="1:7" x14ac:dyDescent="0.55000000000000004">
      <c r="A164">
        <v>8</v>
      </c>
      <c r="B164" s="15" t="str">
        <f t="shared" si="5"/>
        <v>8_0</v>
      </c>
      <c r="C164" t="s">
        <v>55</v>
      </c>
      <c r="D164" t="s">
        <v>80</v>
      </c>
      <c r="E164" t="s">
        <v>68</v>
      </c>
      <c r="F164">
        <v>0</v>
      </c>
    </row>
    <row r="165" spans="1:7" x14ac:dyDescent="0.55000000000000004">
      <c r="A165">
        <v>8</v>
      </c>
      <c r="B165" s="15" t="str">
        <f t="shared" si="5"/>
        <v>8_0</v>
      </c>
      <c r="C165" t="s">
        <v>55</v>
      </c>
      <c r="D165" t="s">
        <v>81</v>
      </c>
      <c r="E165" t="s">
        <v>82</v>
      </c>
    </row>
    <row r="166" spans="1:7" x14ac:dyDescent="0.55000000000000004">
      <c r="A166">
        <v>8</v>
      </c>
      <c r="B166" s="15" t="str">
        <f t="shared" si="5"/>
        <v>8_0</v>
      </c>
      <c r="C166" t="s">
        <v>83</v>
      </c>
      <c r="D166" t="s">
        <v>84</v>
      </c>
      <c r="E166" t="s">
        <v>85</v>
      </c>
      <c r="F166">
        <v>24.1</v>
      </c>
    </row>
    <row r="167" spans="1:7" x14ac:dyDescent="0.55000000000000004">
      <c r="A167">
        <v>8</v>
      </c>
      <c r="B167" s="15" t="str">
        <f t="shared" si="5"/>
        <v>8_0</v>
      </c>
      <c r="C167" t="s">
        <v>83</v>
      </c>
      <c r="D167" t="s">
        <v>86</v>
      </c>
      <c r="E167" t="s">
        <v>87</v>
      </c>
      <c r="F167">
        <v>8.65</v>
      </c>
    </row>
    <row r="168" spans="1:7" x14ac:dyDescent="0.55000000000000004">
      <c r="A168">
        <v>8</v>
      </c>
      <c r="B168" s="15" t="str">
        <f t="shared" si="5"/>
        <v>8_0</v>
      </c>
      <c r="C168" t="s">
        <v>83</v>
      </c>
      <c r="D168" t="s">
        <v>88</v>
      </c>
      <c r="E168" t="s">
        <v>68</v>
      </c>
      <c r="F168">
        <v>103</v>
      </c>
    </row>
    <row r="169" spans="1:7" x14ac:dyDescent="0.55000000000000004">
      <c r="A169">
        <v>8</v>
      </c>
      <c r="B169" s="15" t="str">
        <f t="shared" si="5"/>
        <v>8_0</v>
      </c>
      <c r="C169" t="s">
        <v>83</v>
      </c>
      <c r="D169" t="s">
        <v>312</v>
      </c>
      <c r="E169" t="s">
        <v>89</v>
      </c>
      <c r="F169">
        <v>172.1</v>
      </c>
    </row>
    <row r="170" spans="1:7" x14ac:dyDescent="0.55000000000000004">
      <c r="A170">
        <f>A169</f>
        <v>8</v>
      </c>
      <c r="B170" s="15" t="str">
        <f>B169</f>
        <v>8_0</v>
      </c>
      <c r="C170" t="str">
        <f>C169</f>
        <v>Chemical</v>
      </c>
      <c r="D170" t="s">
        <v>313</v>
      </c>
      <c r="E170" t="s">
        <v>89</v>
      </c>
      <c r="F170">
        <f xml:space="preserve"> F169 / (1 + 0.021 * (F166 - 25))</f>
        <v>175.41535011721535</v>
      </c>
    </row>
    <row r="171" spans="1:7" x14ac:dyDescent="0.55000000000000004">
      <c r="A171">
        <v>8</v>
      </c>
      <c r="B171" s="15" t="str">
        <f t="shared" si="5"/>
        <v>8_0</v>
      </c>
      <c r="C171" t="s">
        <v>83</v>
      </c>
      <c r="D171" t="s">
        <v>90</v>
      </c>
      <c r="F171">
        <v>8.11</v>
      </c>
    </row>
    <row r="172" spans="1:7" x14ac:dyDescent="0.55000000000000004">
      <c r="A172">
        <v>8</v>
      </c>
      <c r="B172" s="15" t="str">
        <f t="shared" si="5"/>
        <v>8_0</v>
      </c>
      <c r="C172" t="s">
        <v>91</v>
      </c>
      <c r="D172" t="s">
        <v>92</v>
      </c>
      <c r="E172" t="s">
        <v>60</v>
      </c>
      <c r="F172">
        <v>1</v>
      </c>
    </row>
    <row r="173" spans="1:7" x14ac:dyDescent="0.55000000000000004">
      <c r="A173">
        <v>8</v>
      </c>
      <c r="B173" s="15" t="str">
        <f t="shared" si="5"/>
        <v>8_0</v>
      </c>
      <c r="C173" t="s">
        <v>91</v>
      </c>
      <c r="D173" t="s">
        <v>93</v>
      </c>
      <c r="F173" t="s">
        <v>170</v>
      </c>
    </row>
    <row r="174" spans="1:7" x14ac:dyDescent="0.55000000000000004">
      <c r="A174">
        <v>8</v>
      </c>
      <c r="B174" s="15" t="str">
        <f t="shared" si="5"/>
        <v>8_0</v>
      </c>
      <c r="C174" t="s">
        <v>91</v>
      </c>
      <c r="D174" t="s">
        <v>94</v>
      </c>
      <c r="E174" t="s">
        <v>68</v>
      </c>
      <c r="F174">
        <v>0</v>
      </c>
    </row>
    <row r="175" spans="1:7" x14ac:dyDescent="0.55000000000000004">
      <c r="A175">
        <v>8</v>
      </c>
      <c r="B175" s="15" t="str">
        <f t="shared" si="5"/>
        <v>8_0</v>
      </c>
      <c r="C175" t="s">
        <v>91</v>
      </c>
      <c r="D175" t="s">
        <v>95</v>
      </c>
    </row>
    <row r="176" spans="1:7" x14ac:dyDescent="0.55000000000000004">
      <c r="A176">
        <v>9</v>
      </c>
      <c r="B176" s="15" t="str">
        <f>A176 &amp; "_0"</f>
        <v>9_0</v>
      </c>
      <c r="C176" t="s">
        <v>55</v>
      </c>
      <c r="D176" t="s">
        <v>56</v>
      </c>
      <c r="E176" t="s">
        <v>57</v>
      </c>
      <c r="F176" s="1"/>
      <c r="G176" t="s">
        <v>58</v>
      </c>
    </row>
    <row r="177" spans="1:7" x14ac:dyDescent="0.55000000000000004">
      <c r="A177">
        <v>9</v>
      </c>
      <c r="B177" s="15" t="str">
        <f t="shared" ref="B177:B234" si="6">A177 &amp; "_0"</f>
        <v>9_0</v>
      </c>
      <c r="C177" t="s">
        <v>55</v>
      </c>
      <c r="D177" s="19" t="s">
        <v>59</v>
      </c>
      <c r="E177" t="s">
        <v>60</v>
      </c>
      <c r="F177">
        <v>1</v>
      </c>
    </row>
    <row r="178" spans="1:7" x14ac:dyDescent="0.55000000000000004">
      <c r="A178">
        <v>9</v>
      </c>
      <c r="B178" s="15" t="str">
        <f t="shared" si="6"/>
        <v>9_0</v>
      </c>
      <c r="C178" t="s">
        <v>55</v>
      </c>
      <c r="D178" t="s">
        <v>61</v>
      </c>
      <c r="E178" t="s">
        <v>62</v>
      </c>
    </row>
    <row r="179" spans="1:7" x14ac:dyDescent="0.55000000000000004">
      <c r="A179">
        <v>9</v>
      </c>
      <c r="B179" s="15" t="str">
        <f t="shared" si="6"/>
        <v>9_0</v>
      </c>
      <c r="C179" t="s">
        <v>55</v>
      </c>
      <c r="D179" t="s">
        <v>63</v>
      </c>
      <c r="E179" t="s">
        <v>62</v>
      </c>
      <c r="F179">
        <v>0.5</v>
      </c>
    </row>
    <row r="180" spans="1:7" x14ac:dyDescent="0.55000000000000004">
      <c r="A180">
        <v>9</v>
      </c>
      <c r="B180" s="15" t="str">
        <f t="shared" si="6"/>
        <v>9_0</v>
      </c>
      <c r="C180" t="s">
        <v>55</v>
      </c>
      <c r="D180" t="s">
        <v>64</v>
      </c>
      <c r="E180" t="s">
        <v>65</v>
      </c>
      <c r="F180">
        <f>F179/10</f>
        <v>0.05</v>
      </c>
      <c r="G180" t="s">
        <v>66</v>
      </c>
    </row>
    <row r="181" spans="1:7" x14ac:dyDescent="0.55000000000000004">
      <c r="A181">
        <v>9</v>
      </c>
      <c r="B181" s="15" t="str">
        <f t="shared" si="6"/>
        <v>9_0</v>
      </c>
      <c r="C181" t="s">
        <v>55</v>
      </c>
      <c r="D181" s="20" t="s">
        <v>67</v>
      </c>
      <c r="E181" t="s">
        <v>68</v>
      </c>
      <c r="F181">
        <v>100</v>
      </c>
    </row>
    <row r="182" spans="1:7" x14ac:dyDescent="0.55000000000000004">
      <c r="A182">
        <v>9</v>
      </c>
      <c r="B182" s="15" t="str">
        <f t="shared" si="6"/>
        <v>9_0</v>
      </c>
      <c r="C182" t="s">
        <v>55</v>
      </c>
      <c r="D182" s="20" t="s">
        <v>69</v>
      </c>
      <c r="F182" t="s">
        <v>171</v>
      </c>
    </row>
    <row r="183" spans="1:7" x14ac:dyDescent="0.55000000000000004">
      <c r="A183">
        <v>9</v>
      </c>
      <c r="B183" s="15" t="str">
        <f t="shared" si="6"/>
        <v>9_0</v>
      </c>
      <c r="C183" t="s">
        <v>55</v>
      </c>
      <c r="D183" s="20" t="s">
        <v>70</v>
      </c>
      <c r="E183" t="s">
        <v>68</v>
      </c>
      <c r="F183">
        <v>0</v>
      </c>
    </row>
    <row r="184" spans="1:7" x14ac:dyDescent="0.55000000000000004">
      <c r="A184">
        <v>9</v>
      </c>
      <c r="B184" s="15" t="str">
        <f t="shared" si="6"/>
        <v>9_0</v>
      </c>
      <c r="C184" t="s">
        <v>55</v>
      </c>
      <c r="D184" t="s">
        <v>71</v>
      </c>
      <c r="E184" t="s">
        <v>68</v>
      </c>
      <c r="F184">
        <v>0</v>
      </c>
    </row>
    <row r="185" spans="1:7" x14ac:dyDescent="0.55000000000000004">
      <c r="A185">
        <v>9</v>
      </c>
      <c r="B185" s="15" t="str">
        <f t="shared" si="6"/>
        <v>9_0</v>
      </c>
      <c r="C185" t="s">
        <v>55</v>
      </c>
      <c r="D185" t="s">
        <v>72</v>
      </c>
      <c r="E185" t="s">
        <v>60</v>
      </c>
      <c r="F185">
        <v>0</v>
      </c>
    </row>
    <row r="186" spans="1:7" x14ac:dyDescent="0.55000000000000004">
      <c r="A186">
        <v>9</v>
      </c>
      <c r="B186" s="15" t="str">
        <f t="shared" si="6"/>
        <v>9_0</v>
      </c>
      <c r="C186" t="s">
        <v>55</v>
      </c>
      <c r="D186" t="s">
        <v>73</v>
      </c>
      <c r="E186" t="s">
        <v>68</v>
      </c>
      <c r="F186">
        <v>0</v>
      </c>
    </row>
    <row r="187" spans="1:7" x14ac:dyDescent="0.55000000000000004">
      <c r="A187">
        <v>9</v>
      </c>
      <c r="B187" s="15" t="str">
        <f t="shared" si="6"/>
        <v>9_0</v>
      </c>
      <c r="C187" t="s">
        <v>55</v>
      </c>
      <c r="D187" t="s">
        <v>74</v>
      </c>
      <c r="E187" t="s">
        <v>68</v>
      </c>
      <c r="F187">
        <v>0</v>
      </c>
    </row>
    <row r="188" spans="1:7" x14ac:dyDescent="0.55000000000000004">
      <c r="A188">
        <v>9</v>
      </c>
      <c r="B188" s="15" t="str">
        <f t="shared" si="6"/>
        <v>9_0</v>
      </c>
      <c r="C188" t="s">
        <v>55</v>
      </c>
      <c r="D188" t="s">
        <v>75</v>
      </c>
      <c r="E188" t="s">
        <v>68</v>
      </c>
      <c r="F188">
        <v>0</v>
      </c>
    </row>
    <row r="189" spans="1:7" x14ac:dyDescent="0.55000000000000004">
      <c r="A189">
        <v>9</v>
      </c>
      <c r="B189" s="15" t="str">
        <f t="shared" si="6"/>
        <v>9_0</v>
      </c>
      <c r="C189" t="s">
        <v>55</v>
      </c>
      <c r="D189" t="s">
        <v>76</v>
      </c>
      <c r="E189" t="s">
        <v>68</v>
      </c>
      <c r="F189">
        <v>0</v>
      </c>
    </row>
    <row r="190" spans="1:7" x14ac:dyDescent="0.55000000000000004">
      <c r="A190">
        <v>9</v>
      </c>
      <c r="B190" s="15" t="str">
        <f t="shared" si="6"/>
        <v>9_0</v>
      </c>
      <c r="C190" t="s">
        <v>55</v>
      </c>
      <c r="D190" t="s">
        <v>77</v>
      </c>
      <c r="E190" t="s">
        <v>68</v>
      </c>
      <c r="F190">
        <v>60</v>
      </c>
    </row>
    <row r="191" spans="1:7" x14ac:dyDescent="0.55000000000000004">
      <c r="A191">
        <v>9</v>
      </c>
      <c r="B191" s="15" t="str">
        <f t="shared" si="6"/>
        <v>9_0</v>
      </c>
      <c r="C191" t="s">
        <v>55</v>
      </c>
      <c r="D191" t="s">
        <v>78</v>
      </c>
      <c r="E191" t="s">
        <v>68</v>
      </c>
      <c r="F191">
        <v>0</v>
      </c>
    </row>
    <row r="192" spans="1:7" x14ac:dyDescent="0.55000000000000004">
      <c r="A192">
        <v>9</v>
      </c>
      <c r="B192" s="15" t="str">
        <f t="shared" si="6"/>
        <v>9_0</v>
      </c>
      <c r="C192" t="s">
        <v>55</v>
      </c>
      <c r="D192" t="s">
        <v>79</v>
      </c>
      <c r="E192" t="s">
        <v>68</v>
      </c>
      <c r="F192">
        <v>0</v>
      </c>
    </row>
    <row r="193" spans="1:7" x14ac:dyDescent="0.55000000000000004">
      <c r="A193">
        <v>9</v>
      </c>
      <c r="B193" s="15" t="str">
        <f t="shared" si="6"/>
        <v>9_0</v>
      </c>
      <c r="C193" t="s">
        <v>55</v>
      </c>
      <c r="D193" t="s">
        <v>80</v>
      </c>
      <c r="E193" t="s">
        <v>68</v>
      </c>
      <c r="F193">
        <v>40</v>
      </c>
    </row>
    <row r="194" spans="1:7" x14ac:dyDescent="0.55000000000000004">
      <c r="A194">
        <v>9</v>
      </c>
      <c r="B194" s="15" t="str">
        <f t="shared" si="6"/>
        <v>9_0</v>
      </c>
      <c r="C194" t="s">
        <v>55</v>
      </c>
      <c r="D194" t="s">
        <v>81</v>
      </c>
      <c r="E194" t="s">
        <v>82</v>
      </c>
    </row>
    <row r="195" spans="1:7" x14ac:dyDescent="0.55000000000000004">
      <c r="A195">
        <v>9</v>
      </c>
      <c r="B195" s="15" t="str">
        <f t="shared" si="6"/>
        <v>9_0</v>
      </c>
      <c r="C195" t="s">
        <v>83</v>
      </c>
      <c r="D195" t="s">
        <v>84</v>
      </c>
      <c r="E195" t="s">
        <v>85</v>
      </c>
      <c r="F195">
        <v>26.6</v>
      </c>
    </row>
    <row r="196" spans="1:7" x14ac:dyDescent="0.55000000000000004">
      <c r="A196">
        <v>9</v>
      </c>
      <c r="B196" s="15" t="str">
        <f t="shared" si="6"/>
        <v>9_0</v>
      </c>
      <c r="C196" t="s">
        <v>83</v>
      </c>
      <c r="D196" t="s">
        <v>86</v>
      </c>
      <c r="E196" t="s">
        <v>87</v>
      </c>
      <c r="F196">
        <v>8.3699999999999992</v>
      </c>
    </row>
    <row r="197" spans="1:7" x14ac:dyDescent="0.55000000000000004">
      <c r="A197">
        <v>9</v>
      </c>
      <c r="B197" s="15" t="str">
        <f t="shared" si="6"/>
        <v>9_0</v>
      </c>
      <c r="C197" t="s">
        <v>83</v>
      </c>
      <c r="D197" t="s">
        <v>88</v>
      </c>
      <c r="E197" t="s">
        <v>68</v>
      </c>
      <c r="F197">
        <v>103.9</v>
      </c>
    </row>
    <row r="198" spans="1:7" x14ac:dyDescent="0.55000000000000004">
      <c r="A198">
        <v>9</v>
      </c>
      <c r="B198" s="15" t="str">
        <f t="shared" si="6"/>
        <v>9_0</v>
      </c>
      <c r="C198" t="s">
        <v>83</v>
      </c>
      <c r="D198" t="s">
        <v>312</v>
      </c>
      <c r="E198" t="s">
        <v>89</v>
      </c>
      <c r="F198">
        <v>330.6</v>
      </c>
    </row>
    <row r="199" spans="1:7" x14ac:dyDescent="0.55000000000000004">
      <c r="A199">
        <f>A198</f>
        <v>9</v>
      </c>
      <c r="B199" s="15" t="str">
        <f>B198</f>
        <v>9_0</v>
      </c>
      <c r="C199" t="str">
        <f>C198</f>
        <v>Chemical</v>
      </c>
      <c r="D199" t="s">
        <v>313</v>
      </c>
      <c r="E199" t="s">
        <v>89</v>
      </c>
      <c r="F199">
        <f xml:space="preserve"> F198 / (1 + 0.021 * (F195 - 25))</f>
        <v>319.85294117647061</v>
      </c>
    </row>
    <row r="200" spans="1:7" x14ac:dyDescent="0.55000000000000004">
      <c r="A200">
        <v>9</v>
      </c>
      <c r="B200" s="15" t="str">
        <f t="shared" si="6"/>
        <v>9_0</v>
      </c>
      <c r="C200" t="s">
        <v>83</v>
      </c>
      <c r="D200" t="s">
        <v>90</v>
      </c>
      <c r="F200">
        <v>3.69</v>
      </c>
    </row>
    <row r="201" spans="1:7" x14ac:dyDescent="0.55000000000000004">
      <c r="A201">
        <v>9</v>
      </c>
      <c r="B201" s="15" t="str">
        <f t="shared" si="6"/>
        <v>9_0</v>
      </c>
      <c r="C201" t="s">
        <v>91</v>
      </c>
      <c r="D201" t="s">
        <v>92</v>
      </c>
      <c r="E201" t="s">
        <v>60</v>
      </c>
      <c r="F201">
        <v>0</v>
      </c>
    </row>
    <row r="202" spans="1:7" x14ac:dyDescent="0.55000000000000004">
      <c r="A202">
        <v>9</v>
      </c>
      <c r="B202" s="15" t="str">
        <f t="shared" si="6"/>
        <v>9_0</v>
      </c>
      <c r="C202" t="s">
        <v>91</v>
      </c>
      <c r="D202" t="s">
        <v>93</v>
      </c>
    </row>
    <row r="203" spans="1:7" x14ac:dyDescent="0.55000000000000004">
      <c r="A203">
        <v>9</v>
      </c>
      <c r="B203" s="15" t="str">
        <f t="shared" si="6"/>
        <v>9_0</v>
      </c>
      <c r="C203" t="s">
        <v>91</v>
      </c>
      <c r="D203" t="s">
        <v>94</v>
      </c>
      <c r="E203" t="s">
        <v>68</v>
      </c>
      <c r="F203">
        <v>0</v>
      </c>
    </row>
    <row r="204" spans="1:7" x14ac:dyDescent="0.55000000000000004">
      <c r="A204">
        <v>9</v>
      </c>
      <c r="B204" s="15" t="str">
        <f t="shared" si="6"/>
        <v>9_0</v>
      </c>
      <c r="C204" t="s">
        <v>91</v>
      </c>
      <c r="D204" t="s">
        <v>95</v>
      </c>
    </row>
    <row r="205" spans="1:7" x14ac:dyDescent="0.55000000000000004">
      <c r="A205">
        <v>10</v>
      </c>
      <c r="B205" s="15" t="str">
        <f t="shared" si="6"/>
        <v>10_0</v>
      </c>
      <c r="C205" t="s">
        <v>55</v>
      </c>
      <c r="D205" t="s">
        <v>56</v>
      </c>
      <c r="E205" t="s">
        <v>57</v>
      </c>
      <c r="F205" s="1"/>
      <c r="G205" t="s">
        <v>58</v>
      </c>
    </row>
    <row r="206" spans="1:7" x14ac:dyDescent="0.55000000000000004">
      <c r="A206">
        <v>10</v>
      </c>
      <c r="B206" s="15" t="str">
        <f t="shared" si="6"/>
        <v>10_0</v>
      </c>
      <c r="C206" t="s">
        <v>55</v>
      </c>
      <c r="D206" s="19" t="s">
        <v>59</v>
      </c>
      <c r="E206" t="s">
        <v>60</v>
      </c>
      <c r="F206">
        <v>1</v>
      </c>
    </row>
    <row r="207" spans="1:7" x14ac:dyDescent="0.55000000000000004">
      <c r="A207">
        <v>10</v>
      </c>
      <c r="B207" s="15" t="str">
        <f t="shared" si="6"/>
        <v>10_0</v>
      </c>
      <c r="C207" t="s">
        <v>55</v>
      </c>
      <c r="D207" t="s">
        <v>61</v>
      </c>
      <c r="E207" t="s">
        <v>62</v>
      </c>
    </row>
    <row r="208" spans="1:7" x14ac:dyDescent="0.55000000000000004">
      <c r="A208">
        <v>10</v>
      </c>
      <c r="B208" s="15" t="str">
        <f t="shared" si="6"/>
        <v>10_0</v>
      </c>
      <c r="C208" t="s">
        <v>55</v>
      </c>
      <c r="D208" t="s">
        <v>63</v>
      </c>
      <c r="E208" t="s">
        <v>62</v>
      </c>
      <c r="F208">
        <v>0.5</v>
      </c>
    </row>
    <row r="209" spans="1:7" x14ac:dyDescent="0.55000000000000004">
      <c r="A209">
        <v>10</v>
      </c>
      <c r="B209" s="15" t="str">
        <f t="shared" si="6"/>
        <v>10_0</v>
      </c>
      <c r="C209" t="s">
        <v>55</v>
      </c>
      <c r="D209" t="s">
        <v>64</v>
      </c>
      <c r="E209" t="s">
        <v>65</v>
      </c>
      <c r="F209">
        <f>F208/10</f>
        <v>0.05</v>
      </c>
      <c r="G209" t="s">
        <v>66</v>
      </c>
    </row>
    <row r="210" spans="1:7" x14ac:dyDescent="0.55000000000000004">
      <c r="A210">
        <v>10</v>
      </c>
      <c r="B210" s="15" t="str">
        <f t="shared" si="6"/>
        <v>10_0</v>
      </c>
      <c r="C210" t="s">
        <v>55</v>
      </c>
      <c r="D210" s="20" t="s">
        <v>67</v>
      </c>
      <c r="E210" t="s">
        <v>68</v>
      </c>
      <c r="F210">
        <v>30</v>
      </c>
    </row>
    <row r="211" spans="1:7" x14ac:dyDescent="0.55000000000000004">
      <c r="A211">
        <v>10</v>
      </c>
      <c r="B211" s="15" t="str">
        <f t="shared" si="6"/>
        <v>10_0</v>
      </c>
      <c r="C211" t="s">
        <v>55</v>
      </c>
      <c r="D211" s="20" t="s">
        <v>69</v>
      </c>
      <c r="F211" t="s">
        <v>171</v>
      </c>
    </row>
    <row r="212" spans="1:7" x14ac:dyDescent="0.55000000000000004">
      <c r="A212">
        <v>10</v>
      </c>
      <c r="B212" s="15" t="str">
        <f t="shared" si="6"/>
        <v>10_0</v>
      </c>
      <c r="C212" t="s">
        <v>55</v>
      </c>
      <c r="D212" s="20" t="s">
        <v>70</v>
      </c>
      <c r="E212" t="s">
        <v>68</v>
      </c>
      <c r="F212">
        <v>0</v>
      </c>
    </row>
    <row r="213" spans="1:7" x14ac:dyDescent="0.55000000000000004">
      <c r="A213">
        <v>10</v>
      </c>
      <c r="B213" s="15" t="str">
        <f t="shared" si="6"/>
        <v>10_0</v>
      </c>
      <c r="C213" t="s">
        <v>55</v>
      </c>
      <c r="D213" t="s">
        <v>71</v>
      </c>
      <c r="E213" t="s">
        <v>68</v>
      </c>
      <c r="F213">
        <v>0</v>
      </c>
    </row>
    <row r="214" spans="1:7" x14ac:dyDescent="0.55000000000000004">
      <c r="A214">
        <v>10</v>
      </c>
      <c r="B214" s="15" t="str">
        <f t="shared" si="6"/>
        <v>10_0</v>
      </c>
      <c r="C214" t="s">
        <v>55</v>
      </c>
      <c r="D214" t="s">
        <v>72</v>
      </c>
      <c r="E214" t="s">
        <v>60</v>
      </c>
      <c r="F214">
        <v>0</v>
      </c>
    </row>
    <row r="215" spans="1:7" x14ac:dyDescent="0.55000000000000004">
      <c r="A215">
        <v>10</v>
      </c>
      <c r="B215" s="15" t="str">
        <f t="shared" si="6"/>
        <v>10_0</v>
      </c>
      <c r="C215" t="s">
        <v>55</v>
      </c>
      <c r="D215" t="s">
        <v>73</v>
      </c>
      <c r="E215" t="s">
        <v>68</v>
      </c>
      <c r="F215">
        <v>0</v>
      </c>
    </row>
    <row r="216" spans="1:7" x14ac:dyDescent="0.55000000000000004">
      <c r="A216">
        <v>10</v>
      </c>
      <c r="B216" s="15" t="str">
        <f t="shared" si="6"/>
        <v>10_0</v>
      </c>
      <c r="C216" t="s">
        <v>55</v>
      </c>
      <c r="D216" t="s">
        <v>74</v>
      </c>
      <c r="E216" t="s">
        <v>68</v>
      </c>
      <c r="F216">
        <v>0</v>
      </c>
    </row>
    <row r="217" spans="1:7" x14ac:dyDescent="0.55000000000000004">
      <c r="A217">
        <v>10</v>
      </c>
      <c r="B217" s="15" t="str">
        <f t="shared" si="6"/>
        <v>10_0</v>
      </c>
      <c r="C217" t="s">
        <v>55</v>
      </c>
      <c r="D217" t="s">
        <v>75</v>
      </c>
      <c r="E217" t="s">
        <v>68</v>
      </c>
      <c r="F217">
        <v>0</v>
      </c>
    </row>
    <row r="218" spans="1:7" x14ac:dyDescent="0.55000000000000004">
      <c r="A218">
        <v>10</v>
      </c>
      <c r="B218" s="15" t="str">
        <f t="shared" si="6"/>
        <v>10_0</v>
      </c>
      <c r="C218" t="s">
        <v>55</v>
      </c>
      <c r="D218" t="s">
        <v>76</v>
      </c>
      <c r="E218" t="s">
        <v>68</v>
      </c>
      <c r="F218">
        <v>0</v>
      </c>
    </row>
    <row r="219" spans="1:7" x14ac:dyDescent="0.55000000000000004">
      <c r="A219">
        <v>10</v>
      </c>
      <c r="B219" s="15" t="str">
        <f t="shared" si="6"/>
        <v>10_0</v>
      </c>
      <c r="C219" t="s">
        <v>55</v>
      </c>
      <c r="D219" t="s">
        <v>77</v>
      </c>
      <c r="E219" t="s">
        <v>68</v>
      </c>
      <c r="F219">
        <v>90</v>
      </c>
    </row>
    <row r="220" spans="1:7" x14ac:dyDescent="0.55000000000000004">
      <c r="A220">
        <v>10</v>
      </c>
      <c r="B220" s="15" t="str">
        <f t="shared" si="6"/>
        <v>10_0</v>
      </c>
      <c r="C220" t="s">
        <v>55</v>
      </c>
      <c r="D220" t="s">
        <v>78</v>
      </c>
      <c r="E220" t="s">
        <v>68</v>
      </c>
      <c r="F220">
        <v>0</v>
      </c>
    </row>
    <row r="221" spans="1:7" x14ac:dyDescent="0.55000000000000004">
      <c r="A221">
        <v>10</v>
      </c>
      <c r="B221" s="15" t="str">
        <f t="shared" si="6"/>
        <v>10_0</v>
      </c>
      <c r="C221" t="s">
        <v>55</v>
      </c>
      <c r="D221" t="s">
        <v>79</v>
      </c>
      <c r="E221" t="s">
        <v>68</v>
      </c>
      <c r="F221">
        <v>0</v>
      </c>
    </row>
    <row r="222" spans="1:7" x14ac:dyDescent="0.55000000000000004">
      <c r="A222">
        <v>10</v>
      </c>
      <c r="B222" s="15" t="str">
        <f t="shared" si="6"/>
        <v>10_0</v>
      </c>
      <c r="C222" t="s">
        <v>55</v>
      </c>
      <c r="D222" t="s">
        <v>80</v>
      </c>
      <c r="E222" t="s">
        <v>68</v>
      </c>
      <c r="F222">
        <v>10</v>
      </c>
    </row>
    <row r="223" spans="1:7" x14ac:dyDescent="0.55000000000000004">
      <c r="A223">
        <v>10</v>
      </c>
      <c r="B223" s="15" t="str">
        <f t="shared" si="6"/>
        <v>10_0</v>
      </c>
      <c r="C223" t="s">
        <v>55</v>
      </c>
      <c r="D223" t="s">
        <v>81</v>
      </c>
      <c r="E223" t="s">
        <v>82</v>
      </c>
    </row>
    <row r="224" spans="1:7" x14ac:dyDescent="0.55000000000000004">
      <c r="A224">
        <v>10</v>
      </c>
      <c r="B224" s="15" t="str">
        <f t="shared" si="6"/>
        <v>10_0</v>
      </c>
      <c r="C224" t="s">
        <v>83</v>
      </c>
      <c r="D224" t="s">
        <v>84</v>
      </c>
      <c r="E224" t="s">
        <v>85</v>
      </c>
      <c r="F224">
        <v>25.9</v>
      </c>
    </row>
    <row r="225" spans="1:7" x14ac:dyDescent="0.55000000000000004">
      <c r="A225">
        <v>10</v>
      </c>
      <c r="B225" s="15" t="str">
        <f t="shared" si="6"/>
        <v>10_0</v>
      </c>
      <c r="C225" t="s">
        <v>83</v>
      </c>
      <c r="D225" t="s">
        <v>86</v>
      </c>
      <c r="E225" t="s">
        <v>87</v>
      </c>
      <c r="F225">
        <v>8.3800000000000008</v>
      </c>
    </row>
    <row r="226" spans="1:7" x14ac:dyDescent="0.55000000000000004">
      <c r="A226">
        <v>10</v>
      </c>
      <c r="B226" s="15" t="str">
        <f t="shared" si="6"/>
        <v>10_0</v>
      </c>
      <c r="C226" t="s">
        <v>83</v>
      </c>
      <c r="D226" t="s">
        <v>88</v>
      </c>
      <c r="E226" t="s">
        <v>68</v>
      </c>
      <c r="F226">
        <v>103.3</v>
      </c>
    </row>
    <row r="227" spans="1:7" x14ac:dyDescent="0.55000000000000004">
      <c r="A227">
        <v>10</v>
      </c>
      <c r="B227" s="15" t="str">
        <f t="shared" si="6"/>
        <v>10_0</v>
      </c>
      <c r="C227" t="s">
        <v>83</v>
      </c>
      <c r="D227" t="s">
        <v>312</v>
      </c>
      <c r="E227" t="s">
        <v>89</v>
      </c>
      <c r="F227">
        <v>346</v>
      </c>
    </row>
    <row r="228" spans="1:7" x14ac:dyDescent="0.55000000000000004">
      <c r="A228">
        <f>A227</f>
        <v>10</v>
      </c>
      <c r="B228" s="15" t="str">
        <f>B227</f>
        <v>10_0</v>
      </c>
      <c r="C228" t="str">
        <f>C227</f>
        <v>Chemical</v>
      </c>
      <c r="D228" t="s">
        <v>313</v>
      </c>
      <c r="E228" t="s">
        <v>89</v>
      </c>
      <c r="F228">
        <f xml:space="preserve"> F227 / (1 + 0.021 * (F224 - 25))</f>
        <v>339.58190205123174</v>
      </c>
    </row>
    <row r="229" spans="1:7" x14ac:dyDescent="0.55000000000000004">
      <c r="A229">
        <v>10</v>
      </c>
      <c r="B229" s="15" t="str">
        <f t="shared" si="6"/>
        <v>10_0</v>
      </c>
      <c r="C229" t="s">
        <v>83</v>
      </c>
      <c r="D229" t="s">
        <v>90</v>
      </c>
      <c r="F229">
        <v>3.72</v>
      </c>
    </row>
    <row r="230" spans="1:7" x14ac:dyDescent="0.55000000000000004">
      <c r="A230">
        <v>10</v>
      </c>
      <c r="B230" s="15" t="str">
        <f t="shared" si="6"/>
        <v>10_0</v>
      </c>
      <c r="C230" t="s">
        <v>83</v>
      </c>
      <c r="D230" t="s">
        <v>247</v>
      </c>
      <c r="F230">
        <v>7.42</v>
      </c>
    </row>
    <row r="231" spans="1:7" x14ac:dyDescent="0.55000000000000004">
      <c r="A231">
        <v>10</v>
      </c>
      <c r="B231" s="15" t="str">
        <f t="shared" si="6"/>
        <v>10_0</v>
      </c>
      <c r="C231" t="s">
        <v>91</v>
      </c>
      <c r="D231" t="s">
        <v>92</v>
      </c>
      <c r="E231" t="s">
        <v>60</v>
      </c>
      <c r="F231">
        <v>0</v>
      </c>
    </row>
    <row r="232" spans="1:7" x14ac:dyDescent="0.55000000000000004">
      <c r="A232">
        <v>10</v>
      </c>
      <c r="B232" s="15" t="str">
        <f t="shared" si="6"/>
        <v>10_0</v>
      </c>
      <c r="C232" t="s">
        <v>91</v>
      </c>
      <c r="D232" t="s">
        <v>93</v>
      </c>
    </row>
    <row r="233" spans="1:7" x14ac:dyDescent="0.55000000000000004">
      <c r="A233">
        <v>10</v>
      </c>
      <c r="B233" s="15" t="str">
        <f t="shared" si="6"/>
        <v>10_0</v>
      </c>
      <c r="C233" t="s">
        <v>91</v>
      </c>
      <c r="D233" t="s">
        <v>94</v>
      </c>
      <c r="E233" t="s">
        <v>68</v>
      </c>
      <c r="F233">
        <v>0</v>
      </c>
    </row>
    <row r="234" spans="1:7" x14ac:dyDescent="0.55000000000000004">
      <c r="A234">
        <v>10</v>
      </c>
      <c r="B234" s="15" t="str">
        <f t="shared" si="6"/>
        <v>10_0</v>
      </c>
      <c r="C234" t="s">
        <v>91</v>
      </c>
      <c r="D234" t="s">
        <v>95</v>
      </c>
    </row>
    <row r="235" spans="1:7" x14ac:dyDescent="0.55000000000000004">
      <c r="A235">
        <v>11</v>
      </c>
      <c r="B235" s="15" t="str">
        <f t="shared" ref="B235:B292" si="7">A235 &amp; "_0"</f>
        <v>11_0</v>
      </c>
      <c r="C235" t="s">
        <v>55</v>
      </c>
      <c r="D235" t="s">
        <v>56</v>
      </c>
      <c r="E235" t="s">
        <v>57</v>
      </c>
      <c r="F235" s="1"/>
      <c r="G235" t="s">
        <v>58</v>
      </c>
    </row>
    <row r="236" spans="1:7" x14ac:dyDescent="0.55000000000000004">
      <c r="A236">
        <v>11</v>
      </c>
      <c r="B236" s="15" t="str">
        <f t="shared" si="7"/>
        <v>11_0</v>
      </c>
      <c r="C236" t="s">
        <v>55</v>
      </c>
      <c r="D236" s="19" t="s">
        <v>59</v>
      </c>
      <c r="E236" t="s">
        <v>60</v>
      </c>
      <c r="F236">
        <v>1</v>
      </c>
    </row>
    <row r="237" spans="1:7" x14ac:dyDescent="0.55000000000000004">
      <c r="A237">
        <v>11</v>
      </c>
      <c r="B237" s="15" t="str">
        <f t="shared" si="7"/>
        <v>11_0</v>
      </c>
      <c r="C237" t="s">
        <v>55</v>
      </c>
      <c r="D237" t="s">
        <v>61</v>
      </c>
      <c r="E237" t="s">
        <v>62</v>
      </c>
    </row>
    <row r="238" spans="1:7" x14ac:dyDescent="0.55000000000000004">
      <c r="A238">
        <v>11</v>
      </c>
      <c r="B238" s="15" t="str">
        <f t="shared" si="7"/>
        <v>11_0</v>
      </c>
      <c r="C238" t="s">
        <v>55</v>
      </c>
      <c r="D238" t="s">
        <v>63</v>
      </c>
      <c r="E238" t="s">
        <v>62</v>
      </c>
      <c r="F238">
        <v>0.85</v>
      </c>
    </row>
    <row r="239" spans="1:7" x14ac:dyDescent="0.55000000000000004">
      <c r="A239">
        <v>11</v>
      </c>
      <c r="B239" s="15" t="str">
        <f t="shared" si="7"/>
        <v>11_0</v>
      </c>
      <c r="C239" t="s">
        <v>55</v>
      </c>
      <c r="D239" t="s">
        <v>64</v>
      </c>
      <c r="E239" t="s">
        <v>65</v>
      </c>
      <c r="F239">
        <f>F238/10</f>
        <v>8.4999999999999992E-2</v>
      </c>
      <c r="G239" t="s">
        <v>66</v>
      </c>
    </row>
    <row r="240" spans="1:7" x14ac:dyDescent="0.55000000000000004">
      <c r="A240">
        <v>11</v>
      </c>
      <c r="B240" s="15" t="str">
        <f t="shared" si="7"/>
        <v>11_0</v>
      </c>
      <c r="C240" t="s">
        <v>55</v>
      </c>
      <c r="D240" s="20" t="s">
        <v>67</v>
      </c>
      <c r="E240" t="s">
        <v>68</v>
      </c>
      <c r="F240">
        <v>0</v>
      </c>
    </row>
    <row r="241" spans="1:6" x14ac:dyDescent="0.55000000000000004">
      <c r="A241">
        <v>11</v>
      </c>
      <c r="B241" s="15" t="str">
        <f t="shared" si="7"/>
        <v>11_0</v>
      </c>
      <c r="C241" t="s">
        <v>55</v>
      </c>
      <c r="D241" s="20" t="s">
        <v>69</v>
      </c>
    </row>
    <row r="242" spans="1:6" x14ac:dyDescent="0.55000000000000004">
      <c r="A242">
        <v>11</v>
      </c>
      <c r="B242" s="15" t="str">
        <f t="shared" si="7"/>
        <v>11_0</v>
      </c>
      <c r="C242" t="s">
        <v>55</v>
      </c>
      <c r="D242" s="20" t="s">
        <v>70</v>
      </c>
      <c r="E242" t="s">
        <v>68</v>
      </c>
      <c r="F242">
        <v>0</v>
      </c>
    </row>
    <row r="243" spans="1:6" x14ac:dyDescent="0.55000000000000004">
      <c r="A243">
        <v>11</v>
      </c>
      <c r="B243" s="15" t="str">
        <f t="shared" si="7"/>
        <v>11_0</v>
      </c>
      <c r="C243" t="s">
        <v>55</v>
      </c>
      <c r="D243" t="s">
        <v>71</v>
      </c>
      <c r="E243" t="s">
        <v>68</v>
      </c>
      <c r="F243">
        <v>0</v>
      </c>
    </row>
    <row r="244" spans="1:6" x14ac:dyDescent="0.55000000000000004">
      <c r="A244">
        <v>11</v>
      </c>
      <c r="B244" s="15" t="str">
        <f t="shared" si="7"/>
        <v>11_0</v>
      </c>
      <c r="C244" t="s">
        <v>55</v>
      </c>
      <c r="D244" t="s">
        <v>72</v>
      </c>
      <c r="E244" t="s">
        <v>60</v>
      </c>
      <c r="F244">
        <v>0</v>
      </c>
    </row>
    <row r="245" spans="1:6" x14ac:dyDescent="0.55000000000000004">
      <c r="A245">
        <v>11</v>
      </c>
      <c r="B245" s="15" t="str">
        <f t="shared" si="7"/>
        <v>11_0</v>
      </c>
      <c r="C245" t="s">
        <v>55</v>
      </c>
      <c r="D245" t="s">
        <v>73</v>
      </c>
      <c r="E245" t="s">
        <v>68</v>
      </c>
      <c r="F245">
        <v>0</v>
      </c>
    </row>
    <row r="246" spans="1:6" x14ac:dyDescent="0.55000000000000004">
      <c r="A246">
        <v>11</v>
      </c>
      <c r="B246" s="15" t="str">
        <f t="shared" si="7"/>
        <v>11_0</v>
      </c>
      <c r="C246" t="s">
        <v>55</v>
      </c>
      <c r="D246" t="s">
        <v>74</v>
      </c>
      <c r="E246" t="s">
        <v>68</v>
      </c>
      <c r="F246">
        <v>5</v>
      </c>
    </row>
    <row r="247" spans="1:6" x14ac:dyDescent="0.55000000000000004">
      <c r="A247">
        <v>11</v>
      </c>
      <c r="B247" s="15" t="str">
        <f t="shared" si="7"/>
        <v>11_0</v>
      </c>
      <c r="C247" t="s">
        <v>55</v>
      </c>
      <c r="D247" t="s">
        <v>75</v>
      </c>
      <c r="E247" t="s">
        <v>68</v>
      </c>
      <c r="F247">
        <v>0</v>
      </c>
    </row>
    <row r="248" spans="1:6" x14ac:dyDescent="0.55000000000000004">
      <c r="A248">
        <v>11</v>
      </c>
      <c r="B248" s="15" t="str">
        <f t="shared" si="7"/>
        <v>11_0</v>
      </c>
      <c r="C248" t="s">
        <v>55</v>
      </c>
      <c r="D248" t="s">
        <v>76</v>
      </c>
      <c r="E248" t="s">
        <v>68</v>
      </c>
      <c r="F248">
        <v>15</v>
      </c>
    </row>
    <row r="249" spans="1:6" x14ac:dyDescent="0.55000000000000004">
      <c r="A249">
        <v>11</v>
      </c>
      <c r="B249" s="15" t="str">
        <f t="shared" si="7"/>
        <v>11_0</v>
      </c>
      <c r="C249" t="s">
        <v>55</v>
      </c>
      <c r="D249" t="s">
        <v>77</v>
      </c>
      <c r="E249" t="s">
        <v>68</v>
      </c>
      <c r="F249">
        <v>70</v>
      </c>
    </row>
    <row r="250" spans="1:6" x14ac:dyDescent="0.55000000000000004">
      <c r="A250">
        <v>11</v>
      </c>
      <c r="B250" s="15" t="str">
        <f t="shared" si="7"/>
        <v>11_0</v>
      </c>
      <c r="C250" t="s">
        <v>55</v>
      </c>
      <c r="D250" t="s">
        <v>78</v>
      </c>
      <c r="E250" t="s">
        <v>68</v>
      </c>
      <c r="F250">
        <v>0</v>
      </c>
    </row>
    <row r="251" spans="1:6" x14ac:dyDescent="0.55000000000000004">
      <c r="A251">
        <v>11</v>
      </c>
      <c r="B251" s="15" t="str">
        <f t="shared" si="7"/>
        <v>11_0</v>
      </c>
      <c r="C251" t="s">
        <v>55</v>
      </c>
      <c r="D251" t="s">
        <v>79</v>
      </c>
      <c r="E251" t="s">
        <v>68</v>
      </c>
      <c r="F251">
        <v>0</v>
      </c>
    </row>
    <row r="252" spans="1:6" x14ac:dyDescent="0.55000000000000004">
      <c r="A252">
        <v>11</v>
      </c>
      <c r="B252" s="15" t="str">
        <f t="shared" si="7"/>
        <v>11_0</v>
      </c>
      <c r="C252" t="s">
        <v>55</v>
      </c>
      <c r="D252" t="s">
        <v>80</v>
      </c>
      <c r="E252" t="s">
        <v>68</v>
      </c>
      <c r="F252">
        <v>10</v>
      </c>
    </row>
    <row r="253" spans="1:6" x14ac:dyDescent="0.55000000000000004">
      <c r="A253">
        <v>11</v>
      </c>
      <c r="B253" s="15" t="str">
        <f t="shared" si="7"/>
        <v>11_0</v>
      </c>
      <c r="C253" t="s">
        <v>55</v>
      </c>
      <c r="D253" t="s">
        <v>81</v>
      </c>
      <c r="E253" t="s">
        <v>82</v>
      </c>
    </row>
    <row r="254" spans="1:6" x14ac:dyDescent="0.55000000000000004">
      <c r="A254">
        <v>11</v>
      </c>
      <c r="B254" s="15" t="str">
        <f t="shared" si="7"/>
        <v>11_0</v>
      </c>
      <c r="C254" t="s">
        <v>83</v>
      </c>
      <c r="D254" t="s">
        <v>84</v>
      </c>
      <c r="E254" t="s">
        <v>85</v>
      </c>
      <c r="F254">
        <v>21.7</v>
      </c>
    </row>
    <row r="255" spans="1:6" x14ac:dyDescent="0.55000000000000004">
      <c r="A255">
        <v>11</v>
      </c>
      <c r="B255" s="15" t="str">
        <f t="shared" si="7"/>
        <v>11_0</v>
      </c>
      <c r="C255" t="s">
        <v>83</v>
      </c>
      <c r="D255" t="s">
        <v>86</v>
      </c>
      <c r="E255" t="s">
        <v>87</v>
      </c>
      <c r="F255">
        <v>8.8699999999999992</v>
      </c>
    </row>
    <row r="256" spans="1:6" x14ac:dyDescent="0.55000000000000004">
      <c r="A256">
        <v>11</v>
      </c>
      <c r="B256" s="15" t="str">
        <f t="shared" si="7"/>
        <v>11_0</v>
      </c>
      <c r="C256" t="s">
        <v>83</v>
      </c>
      <c r="D256" t="s">
        <v>88</v>
      </c>
      <c r="E256" t="s">
        <v>68</v>
      </c>
      <c r="F256">
        <v>101</v>
      </c>
    </row>
    <row r="257" spans="1:7" x14ac:dyDescent="0.55000000000000004">
      <c r="A257">
        <v>11</v>
      </c>
      <c r="B257" s="15" t="str">
        <f t="shared" si="7"/>
        <v>11_0</v>
      </c>
      <c r="C257" t="s">
        <v>83</v>
      </c>
      <c r="D257" t="s">
        <v>312</v>
      </c>
      <c r="E257" t="s">
        <v>89</v>
      </c>
      <c r="F257">
        <v>145.30000000000001</v>
      </c>
    </row>
    <row r="258" spans="1:7" x14ac:dyDescent="0.55000000000000004">
      <c r="A258">
        <f>A257</f>
        <v>11</v>
      </c>
      <c r="B258" s="15" t="str">
        <f>B257</f>
        <v>11_0</v>
      </c>
      <c r="C258" t="str">
        <f>C257</f>
        <v>Chemical</v>
      </c>
      <c r="D258" t="s">
        <v>313</v>
      </c>
      <c r="E258" t="s">
        <v>89</v>
      </c>
      <c r="F258">
        <f xml:space="preserve"> F257 / (1 + 0.021 * (F254 - 25))</f>
        <v>156.11905017728594</v>
      </c>
    </row>
    <row r="259" spans="1:7" x14ac:dyDescent="0.55000000000000004">
      <c r="A259">
        <v>11</v>
      </c>
      <c r="B259" s="15" t="str">
        <f t="shared" si="7"/>
        <v>11_0</v>
      </c>
      <c r="C259" t="s">
        <v>83</v>
      </c>
      <c r="D259" t="s">
        <v>90</v>
      </c>
      <c r="F259">
        <v>8.74</v>
      </c>
    </row>
    <row r="260" spans="1:7" x14ac:dyDescent="0.55000000000000004">
      <c r="A260">
        <v>11</v>
      </c>
      <c r="B260" s="15" t="str">
        <f t="shared" si="7"/>
        <v>11_0</v>
      </c>
      <c r="C260" t="s">
        <v>91</v>
      </c>
      <c r="D260" t="s">
        <v>92</v>
      </c>
      <c r="E260" t="s">
        <v>60</v>
      </c>
      <c r="F260">
        <v>0</v>
      </c>
    </row>
    <row r="261" spans="1:7" x14ac:dyDescent="0.55000000000000004">
      <c r="A261">
        <v>11</v>
      </c>
      <c r="B261" s="15" t="str">
        <f t="shared" si="7"/>
        <v>11_0</v>
      </c>
      <c r="C261" t="s">
        <v>91</v>
      </c>
      <c r="D261" t="s">
        <v>93</v>
      </c>
    </row>
    <row r="262" spans="1:7" x14ac:dyDescent="0.55000000000000004">
      <c r="A262">
        <v>11</v>
      </c>
      <c r="B262" s="15" t="str">
        <f t="shared" si="7"/>
        <v>11_0</v>
      </c>
      <c r="C262" t="s">
        <v>91</v>
      </c>
      <c r="D262" t="s">
        <v>94</v>
      </c>
      <c r="E262" t="s">
        <v>68</v>
      </c>
      <c r="F262">
        <v>3</v>
      </c>
    </row>
    <row r="263" spans="1:7" x14ac:dyDescent="0.55000000000000004">
      <c r="A263">
        <v>11</v>
      </c>
      <c r="B263" s="15" t="str">
        <f t="shared" si="7"/>
        <v>11_0</v>
      </c>
      <c r="C263" t="s">
        <v>91</v>
      </c>
      <c r="D263" t="s">
        <v>95</v>
      </c>
    </row>
    <row r="264" spans="1:7" x14ac:dyDescent="0.55000000000000004">
      <c r="A264">
        <v>12</v>
      </c>
      <c r="B264" s="15" t="str">
        <f t="shared" si="7"/>
        <v>12_0</v>
      </c>
      <c r="C264" t="s">
        <v>55</v>
      </c>
      <c r="D264" t="s">
        <v>56</v>
      </c>
      <c r="E264" t="s">
        <v>57</v>
      </c>
      <c r="F264" s="1"/>
      <c r="G264" t="s">
        <v>58</v>
      </c>
    </row>
    <row r="265" spans="1:7" x14ac:dyDescent="0.55000000000000004">
      <c r="A265">
        <v>12</v>
      </c>
      <c r="B265" s="15" t="str">
        <f t="shared" si="7"/>
        <v>12_0</v>
      </c>
      <c r="C265" t="s">
        <v>55</v>
      </c>
      <c r="D265" s="19" t="s">
        <v>59</v>
      </c>
      <c r="E265" t="s">
        <v>60</v>
      </c>
      <c r="F265">
        <v>1</v>
      </c>
    </row>
    <row r="266" spans="1:7" x14ac:dyDescent="0.55000000000000004">
      <c r="A266">
        <v>12</v>
      </c>
      <c r="B266" s="15" t="str">
        <f t="shared" si="7"/>
        <v>12_0</v>
      </c>
      <c r="C266" t="s">
        <v>55</v>
      </c>
      <c r="D266" t="s">
        <v>61</v>
      </c>
      <c r="E266" t="s">
        <v>62</v>
      </c>
    </row>
    <row r="267" spans="1:7" x14ac:dyDescent="0.55000000000000004">
      <c r="A267">
        <v>12</v>
      </c>
      <c r="B267" s="15" t="str">
        <f t="shared" si="7"/>
        <v>12_0</v>
      </c>
      <c r="C267" t="s">
        <v>55</v>
      </c>
      <c r="D267" t="s">
        <v>63</v>
      </c>
      <c r="E267" t="s">
        <v>62</v>
      </c>
      <c r="F267">
        <v>0.8</v>
      </c>
    </row>
    <row r="268" spans="1:7" x14ac:dyDescent="0.55000000000000004">
      <c r="A268">
        <v>12</v>
      </c>
      <c r="B268" s="15" t="str">
        <f t="shared" si="7"/>
        <v>12_0</v>
      </c>
      <c r="C268" t="s">
        <v>55</v>
      </c>
      <c r="D268" t="s">
        <v>64</v>
      </c>
      <c r="E268" t="s">
        <v>65</v>
      </c>
      <c r="F268">
        <f>F267/10</f>
        <v>0.08</v>
      </c>
      <c r="G268" t="s">
        <v>66</v>
      </c>
    </row>
    <row r="269" spans="1:7" x14ac:dyDescent="0.55000000000000004">
      <c r="A269">
        <v>12</v>
      </c>
      <c r="B269" s="15" t="str">
        <f t="shared" si="7"/>
        <v>12_0</v>
      </c>
      <c r="C269" t="s">
        <v>55</v>
      </c>
      <c r="D269" s="20" t="s">
        <v>67</v>
      </c>
      <c r="E269" t="s">
        <v>68</v>
      </c>
      <c r="F269">
        <v>20</v>
      </c>
    </row>
    <row r="270" spans="1:7" x14ac:dyDescent="0.55000000000000004">
      <c r="A270">
        <v>12</v>
      </c>
      <c r="B270" s="15" t="str">
        <f t="shared" si="7"/>
        <v>12_0</v>
      </c>
      <c r="C270" t="s">
        <v>55</v>
      </c>
      <c r="D270" s="20" t="s">
        <v>69</v>
      </c>
      <c r="F270" t="s">
        <v>164</v>
      </c>
    </row>
    <row r="271" spans="1:7" x14ac:dyDescent="0.55000000000000004">
      <c r="A271">
        <v>12</v>
      </c>
      <c r="B271" s="15" t="str">
        <f t="shared" si="7"/>
        <v>12_0</v>
      </c>
      <c r="C271" t="s">
        <v>55</v>
      </c>
      <c r="D271" s="20" t="s">
        <v>70</v>
      </c>
      <c r="E271" t="s">
        <v>68</v>
      </c>
      <c r="F271">
        <v>0</v>
      </c>
    </row>
    <row r="272" spans="1:7" x14ac:dyDescent="0.55000000000000004">
      <c r="A272">
        <v>12</v>
      </c>
      <c r="B272" s="15" t="str">
        <f t="shared" si="7"/>
        <v>12_0</v>
      </c>
      <c r="C272" t="s">
        <v>55</v>
      </c>
      <c r="D272" t="s">
        <v>71</v>
      </c>
      <c r="E272" t="s">
        <v>68</v>
      </c>
      <c r="F272">
        <v>0</v>
      </c>
    </row>
    <row r="273" spans="1:6" x14ac:dyDescent="0.55000000000000004">
      <c r="A273">
        <v>12</v>
      </c>
      <c r="B273" s="15" t="str">
        <f t="shared" si="7"/>
        <v>12_0</v>
      </c>
      <c r="C273" t="s">
        <v>55</v>
      </c>
      <c r="D273" t="s">
        <v>72</v>
      </c>
      <c r="E273" t="s">
        <v>60</v>
      </c>
      <c r="F273">
        <v>0</v>
      </c>
    </row>
    <row r="274" spans="1:6" x14ac:dyDescent="0.55000000000000004">
      <c r="A274">
        <v>12</v>
      </c>
      <c r="B274" s="15" t="str">
        <f t="shared" si="7"/>
        <v>12_0</v>
      </c>
      <c r="C274" t="s">
        <v>55</v>
      </c>
      <c r="D274" t="s">
        <v>73</v>
      </c>
      <c r="E274" t="s">
        <v>68</v>
      </c>
      <c r="F274">
        <v>0</v>
      </c>
    </row>
    <row r="275" spans="1:6" x14ac:dyDescent="0.55000000000000004">
      <c r="A275">
        <v>12</v>
      </c>
      <c r="B275" s="15" t="str">
        <f t="shared" si="7"/>
        <v>12_0</v>
      </c>
      <c r="C275" t="s">
        <v>55</v>
      </c>
      <c r="D275" t="s">
        <v>74</v>
      </c>
      <c r="E275" t="s">
        <v>68</v>
      </c>
      <c r="F275">
        <v>0</v>
      </c>
    </row>
    <row r="276" spans="1:6" x14ac:dyDescent="0.55000000000000004">
      <c r="A276">
        <v>12</v>
      </c>
      <c r="B276" s="15" t="str">
        <f t="shared" si="7"/>
        <v>12_0</v>
      </c>
      <c r="C276" t="s">
        <v>55</v>
      </c>
      <c r="D276" t="s">
        <v>75</v>
      </c>
      <c r="E276" t="s">
        <v>68</v>
      </c>
      <c r="F276">
        <v>50</v>
      </c>
    </row>
    <row r="277" spans="1:6" x14ac:dyDescent="0.55000000000000004">
      <c r="A277">
        <v>12</v>
      </c>
      <c r="B277" s="15" t="str">
        <f t="shared" si="7"/>
        <v>12_0</v>
      </c>
      <c r="C277" t="s">
        <v>55</v>
      </c>
      <c r="D277" t="s">
        <v>76</v>
      </c>
      <c r="E277" t="s">
        <v>68</v>
      </c>
      <c r="F277">
        <v>50</v>
      </c>
    </row>
    <row r="278" spans="1:6" x14ac:dyDescent="0.55000000000000004">
      <c r="A278">
        <v>12</v>
      </c>
      <c r="B278" s="15" t="str">
        <f t="shared" si="7"/>
        <v>12_0</v>
      </c>
      <c r="C278" t="s">
        <v>55</v>
      </c>
      <c r="D278" t="s">
        <v>77</v>
      </c>
      <c r="E278" t="s">
        <v>68</v>
      </c>
      <c r="F278">
        <v>0</v>
      </c>
    </row>
    <row r="279" spans="1:6" x14ac:dyDescent="0.55000000000000004">
      <c r="A279">
        <v>12</v>
      </c>
      <c r="B279" s="15" t="str">
        <f t="shared" si="7"/>
        <v>12_0</v>
      </c>
      <c r="C279" t="s">
        <v>55</v>
      </c>
      <c r="D279" t="s">
        <v>78</v>
      </c>
      <c r="E279" t="s">
        <v>68</v>
      </c>
      <c r="F279">
        <v>0</v>
      </c>
    </row>
    <row r="280" spans="1:6" x14ac:dyDescent="0.55000000000000004">
      <c r="A280">
        <v>12</v>
      </c>
      <c r="B280" s="15" t="str">
        <f t="shared" si="7"/>
        <v>12_0</v>
      </c>
      <c r="C280" t="s">
        <v>55</v>
      </c>
      <c r="D280" t="s">
        <v>79</v>
      </c>
      <c r="E280" t="s">
        <v>68</v>
      </c>
      <c r="F280">
        <v>0</v>
      </c>
    </row>
    <row r="281" spans="1:6" x14ac:dyDescent="0.55000000000000004">
      <c r="A281">
        <v>12</v>
      </c>
      <c r="B281" s="15" t="str">
        <f t="shared" si="7"/>
        <v>12_0</v>
      </c>
      <c r="C281" t="s">
        <v>55</v>
      </c>
      <c r="D281" t="s">
        <v>80</v>
      </c>
      <c r="E281" t="s">
        <v>68</v>
      </c>
      <c r="F281">
        <v>0</v>
      </c>
    </row>
    <row r="282" spans="1:6" x14ac:dyDescent="0.55000000000000004">
      <c r="A282">
        <v>12</v>
      </c>
      <c r="B282" s="15" t="str">
        <f t="shared" si="7"/>
        <v>12_0</v>
      </c>
      <c r="C282" t="s">
        <v>55</v>
      </c>
      <c r="D282" t="s">
        <v>81</v>
      </c>
      <c r="E282" t="s">
        <v>82</v>
      </c>
    </row>
    <row r="283" spans="1:6" x14ac:dyDescent="0.55000000000000004">
      <c r="A283">
        <v>12</v>
      </c>
      <c r="B283" s="15" t="str">
        <f t="shared" si="7"/>
        <v>12_0</v>
      </c>
      <c r="C283" t="s">
        <v>83</v>
      </c>
      <c r="D283" t="s">
        <v>84</v>
      </c>
      <c r="E283" t="s">
        <v>85</v>
      </c>
      <c r="F283">
        <v>22.5</v>
      </c>
    </row>
    <row r="284" spans="1:6" x14ac:dyDescent="0.55000000000000004">
      <c r="A284">
        <v>12</v>
      </c>
      <c r="B284" s="15" t="str">
        <f t="shared" si="7"/>
        <v>12_0</v>
      </c>
      <c r="C284" t="s">
        <v>83</v>
      </c>
      <c r="D284" t="s">
        <v>86</v>
      </c>
      <c r="E284" t="s">
        <v>87</v>
      </c>
      <c r="F284">
        <v>9.34</v>
      </c>
    </row>
    <row r="285" spans="1:6" x14ac:dyDescent="0.55000000000000004">
      <c r="A285">
        <v>12</v>
      </c>
      <c r="B285" s="15" t="str">
        <f t="shared" si="7"/>
        <v>12_0</v>
      </c>
      <c r="C285" t="s">
        <v>83</v>
      </c>
      <c r="D285" t="s">
        <v>88</v>
      </c>
      <c r="E285" t="s">
        <v>68</v>
      </c>
      <c r="F285">
        <v>107.9</v>
      </c>
    </row>
    <row r="286" spans="1:6" x14ac:dyDescent="0.55000000000000004">
      <c r="A286">
        <v>12</v>
      </c>
      <c r="B286" s="15" t="str">
        <f t="shared" si="7"/>
        <v>12_0</v>
      </c>
      <c r="C286" t="s">
        <v>83</v>
      </c>
      <c r="D286" t="s">
        <v>312</v>
      </c>
      <c r="E286" t="s">
        <v>89</v>
      </c>
      <c r="F286">
        <v>150.4</v>
      </c>
    </row>
    <row r="287" spans="1:6" x14ac:dyDescent="0.55000000000000004">
      <c r="A287">
        <f>A286</f>
        <v>12</v>
      </c>
      <c r="B287" s="15" t="str">
        <f>B286</f>
        <v>12_0</v>
      </c>
      <c r="C287" t="str">
        <f>C286</f>
        <v>Chemical</v>
      </c>
      <c r="D287" t="s">
        <v>313</v>
      </c>
      <c r="E287" t="s">
        <v>89</v>
      </c>
      <c r="F287">
        <f xml:space="preserve"> F286 / (1 + 0.021 * (F283 - 25))</f>
        <v>158.73350923482849</v>
      </c>
    </row>
    <row r="288" spans="1:6" x14ac:dyDescent="0.55000000000000004">
      <c r="A288">
        <v>12</v>
      </c>
      <c r="B288" s="15" t="str">
        <f t="shared" si="7"/>
        <v>12_0</v>
      </c>
      <c r="C288" t="s">
        <v>83</v>
      </c>
      <c r="D288" t="s">
        <v>90</v>
      </c>
      <c r="F288">
        <v>8.65</v>
      </c>
    </row>
    <row r="289" spans="1:7" x14ac:dyDescent="0.55000000000000004">
      <c r="A289">
        <v>12</v>
      </c>
      <c r="B289" s="15" t="str">
        <f t="shared" si="7"/>
        <v>12_0</v>
      </c>
      <c r="C289" t="s">
        <v>91</v>
      </c>
      <c r="D289" t="s">
        <v>92</v>
      </c>
      <c r="E289" t="s">
        <v>60</v>
      </c>
      <c r="F289">
        <v>0</v>
      </c>
    </row>
    <row r="290" spans="1:7" x14ac:dyDescent="0.55000000000000004">
      <c r="A290">
        <v>12</v>
      </c>
      <c r="B290" s="15" t="str">
        <f t="shared" si="7"/>
        <v>12_0</v>
      </c>
      <c r="C290" t="s">
        <v>91</v>
      </c>
      <c r="D290" t="s">
        <v>93</v>
      </c>
    </row>
    <row r="291" spans="1:7" x14ac:dyDescent="0.55000000000000004">
      <c r="A291">
        <v>12</v>
      </c>
      <c r="B291" s="15" t="str">
        <f t="shared" si="7"/>
        <v>12_0</v>
      </c>
      <c r="C291" t="s">
        <v>91</v>
      </c>
      <c r="D291" t="s">
        <v>94</v>
      </c>
      <c r="E291" t="s">
        <v>68</v>
      </c>
      <c r="F291">
        <v>0</v>
      </c>
    </row>
    <row r="292" spans="1:7" x14ac:dyDescent="0.55000000000000004">
      <c r="A292">
        <v>12</v>
      </c>
      <c r="B292" s="15" t="str">
        <f t="shared" si="7"/>
        <v>12_0</v>
      </c>
      <c r="C292" t="s">
        <v>91</v>
      </c>
      <c r="D292" t="s">
        <v>95</v>
      </c>
    </row>
    <row r="293" spans="1:7" x14ac:dyDescent="0.55000000000000004">
      <c r="A293">
        <v>13</v>
      </c>
      <c r="B293" s="15" t="str">
        <f t="shared" ref="B293:B354" si="8">A293 &amp; "_0"</f>
        <v>13_0</v>
      </c>
      <c r="C293" t="s">
        <v>55</v>
      </c>
      <c r="D293" t="s">
        <v>56</v>
      </c>
      <c r="E293" t="s">
        <v>57</v>
      </c>
      <c r="F293" s="1"/>
      <c r="G293" t="s">
        <v>58</v>
      </c>
    </row>
    <row r="294" spans="1:7" x14ac:dyDescent="0.55000000000000004">
      <c r="A294">
        <v>13</v>
      </c>
      <c r="B294" s="15" t="str">
        <f t="shared" si="8"/>
        <v>13_0</v>
      </c>
      <c r="C294" t="s">
        <v>55</v>
      </c>
      <c r="D294" s="19" t="s">
        <v>59</v>
      </c>
      <c r="E294" t="s">
        <v>60</v>
      </c>
      <c r="F294">
        <v>1</v>
      </c>
    </row>
    <row r="295" spans="1:7" x14ac:dyDescent="0.55000000000000004">
      <c r="A295">
        <v>13</v>
      </c>
      <c r="B295" s="15" t="str">
        <f t="shared" si="8"/>
        <v>13_0</v>
      </c>
      <c r="C295" t="s">
        <v>55</v>
      </c>
      <c r="D295" t="s">
        <v>61</v>
      </c>
      <c r="E295" t="s">
        <v>62</v>
      </c>
    </row>
    <row r="296" spans="1:7" x14ac:dyDescent="0.55000000000000004">
      <c r="A296">
        <v>13</v>
      </c>
      <c r="B296" s="15" t="str">
        <f t="shared" si="8"/>
        <v>13_0</v>
      </c>
      <c r="C296" t="s">
        <v>55</v>
      </c>
      <c r="D296" t="s">
        <v>63</v>
      </c>
      <c r="E296" t="s">
        <v>62</v>
      </c>
      <c r="F296">
        <v>0.9</v>
      </c>
    </row>
    <row r="297" spans="1:7" x14ac:dyDescent="0.55000000000000004">
      <c r="A297">
        <v>13</v>
      </c>
      <c r="B297" s="15" t="str">
        <f t="shared" si="8"/>
        <v>13_0</v>
      </c>
      <c r="C297" t="s">
        <v>55</v>
      </c>
      <c r="D297" t="s">
        <v>64</v>
      </c>
      <c r="E297" t="s">
        <v>65</v>
      </c>
      <c r="F297">
        <f>F296/10</f>
        <v>0.09</v>
      </c>
      <c r="G297" t="s">
        <v>66</v>
      </c>
    </row>
    <row r="298" spans="1:7" x14ac:dyDescent="0.55000000000000004">
      <c r="A298">
        <v>13</v>
      </c>
      <c r="B298" s="15" t="str">
        <f t="shared" si="8"/>
        <v>13_0</v>
      </c>
      <c r="C298" t="s">
        <v>55</v>
      </c>
      <c r="D298" s="20" t="s">
        <v>67</v>
      </c>
      <c r="E298" t="s">
        <v>68</v>
      </c>
      <c r="F298">
        <v>0</v>
      </c>
    </row>
    <row r="299" spans="1:7" x14ac:dyDescent="0.55000000000000004">
      <c r="A299">
        <v>13</v>
      </c>
      <c r="B299" s="15" t="str">
        <f t="shared" si="8"/>
        <v>13_0</v>
      </c>
      <c r="C299" t="s">
        <v>55</v>
      </c>
      <c r="D299" s="20" t="s">
        <v>69</v>
      </c>
      <c r="F299">
        <v>0</v>
      </c>
    </row>
    <row r="300" spans="1:7" x14ac:dyDescent="0.55000000000000004">
      <c r="A300">
        <v>13</v>
      </c>
      <c r="B300" s="15" t="str">
        <f t="shared" si="8"/>
        <v>13_0</v>
      </c>
      <c r="C300" t="s">
        <v>55</v>
      </c>
      <c r="D300" s="20" t="s">
        <v>70</v>
      </c>
      <c r="E300" t="s">
        <v>68</v>
      </c>
      <c r="F300">
        <v>0</v>
      </c>
    </row>
    <row r="301" spans="1:7" x14ac:dyDescent="0.55000000000000004">
      <c r="A301">
        <v>13</v>
      </c>
      <c r="B301" s="15" t="str">
        <f t="shared" si="8"/>
        <v>13_0</v>
      </c>
      <c r="C301" t="s">
        <v>55</v>
      </c>
      <c r="D301" t="s">
        <v>71</v>
      </c>
      <c r="E301" t="s">
        <v>68</v>
      </c>
      <c r="F301">
        <v>0</v>
      </c>
    </row>
    <row r="302" spans="1:7" x14ac:dyDescent="0.55000000000000004">
      <c r="A302">
        <v>13</v>
      </c>
      <c r="B302" s="15" t="str">
        <f t="shared" si="8"/>
        <v>13_0</v>
      </c>
      <c r="C302" t="s">
        <v>55</v>
      </c>
      <c r="D302" t="s">
        <v>72</v>
      </c>
      <c r="E302" t="s">
        <v>60</v>
      </c>
      <c r="F302">
        <v>0</v>
      </c>
    </row>
    <row r="303" spans="1:7" x14ac:dyDescent="0.55000000000000004">
      <c r="A303">
        <v>13</v>
      </c>
      <c r="B303" s="15" t="str">
        <f t="shared" si="8"/>
        <v>13_0</v>
      </c>
      <c r="C303" t="s">
        <v>55</v>
      </c>
      <c r="D303" t="s">
        <v>73</v>
      </c>
      <c r="E303" t="s">
        <v>68</v>
      </c>
      <c r="F303">
        <v>0</v>
      </c>
    </row>
    <row r="304" spans="1:7" x14ac:dyDescent="0.55000000000000004">
      <c r="A304">
        <v>13</v>
      </c>
      <c r="B304" s="15" t="str">
        <f t="shared" si="8"/>
        <v>13_0</v>
      </c>
      <c r="C304" t="s">
        <v>55</v>
      </c>
      <c r="D304" t="s">
        <v>74</v>
      </c>
      <c r="E304" t="s">
        <v>68</v>
      </c>
      <c r="F304">
        <v>90</v>
      </c>
    </row>
    <row r="305" spans="1:6" x14ac:dyDescent="0.55000000000000004">
      <c r="A305">
        <v>13</v>
      </c>
      <c r="B305" s="15" t="str">
        <f t="shared" si="8"/>
        <v>13_0</v>
      </c>
      <c r="C305" t="s">
        <v>55</v>
      </c>
      <c r="D305" t="s">
        <v>75</v>
      </c>
      <c r="E305" t="s">
        <v>68</v>
      </c>
      <c r="F305">
        <v>0</v>
      </c>
    </row>
    <row r="306" spans="1:6" x14ac:dyDescent="0.55000000000000004">
      <c r="A306">
        <v>13</v>
      </c>
      <c r="B306" s="15" t="str">
        <f t="shared" si="8"/>
        <v>13_0</v>
      </c>
      <c r="C306" t="s">
        <v>55</v>
      </c>
      <c r="D306" t="s">
        <v>76</v>
      </c>
      <c r="E306" t="s">
        <v>68</v>
      </c>
      <c r="F306">
        <v>0</v>
      </c>
    </row>
    <row r="307" spans="1:6" x14ac:dyDescent="0.55000000000000004">
      <c r="A307">
        <v>13</v>
      </c>
      <c r="B307" s="15" t="str">
        <f t="shared" si="8"/>
        <v>13_0</v>
      </c>
      <c r="C307" t="s">
        <v>55</v>
      </c>
      <c r="D307" t="s">
        <v>77</v>
      </c>
      <c r="E307" t="s">
        <v>68</v>
      </c>
      <c r="F307">
        <v>10</v>
      </c>
    </row>
    <row r="308" spans="1:6" x14ac:dyDescent="0.55000000000000004">
      <c r="A308">
        <v>13</v>
      </c>
      <c r="B308" s="15" t="str">
        <f t="shared" si="8"/>
        <v>13_0</v>
      </c>
      <c r="C308" t="s">
        <v>55</v>
      </c>
      <c r="D308" t="s">
        <v>78</v>
      </c>
      <c r="E308" t="s">
        <v>68</v>
      </c>
      <c r="F308">
        <v>0</v>
      </c>
    </row>
    <row r="309" spans="1:6" x14ac:dyDescent="0.55000000000000004">
      <c r="A309">
        <v>13</v>
      </c>
      <c r="B309" s="15" t="str">
        <f t="shared" si="8"/>
        <v>13_0</v>
      </c>
      <c r="C309" t="s">
        <v>55</v>
      </c>
      <c r="D309" t="s">
        <v>79</v>
      </c>
      <c r="E309" t="s">
        <v>68</v>
      </c>
      <c r="F309">
        <v>0</v>
      </c>
    </row>
    <row r="310" spans="1:6" x14ac:dyDescent="0.55000000000000004">
      <c r="A310">
        <v>13</v>
      </c>
      <c r="B310" s="15" t="str">
        <f t="shared" si="8"/>
        <v>13_0</v>
      </c>
      <c r="C310" t="s">
        <v>55</v>
      </c>
      <c r="D310" t="s">
        <v>80</v>
      </c>
      <c r="E310" t="s">
        <v>68</v>
      </c>
      <c r="F310">
        <v>0</v>
      </c>
    </row>
    <row r="311" spans="1:6" x14ac:dyDescent="0.55000000000000004">
      <c r="A311">
        <v>13</v>
      </c>
      <c r="B311" s="15" t="str">
        <f t="shared" si="8"/>
        <v>13_0</v>
      </c>
      <c r="C311" t="s">
        <v>55</v>
      </c>
      <c r="D311" t="s">
        <v>81</v>
      </c>
      <c r="E311" t="s">
        <v>82</v>
      </c>
    </row>
    <row r="312" spans="1:6" x14ac:dyDescent="0.55000000000000004">
      <c r="A312">
        <v>13</v>
      </c>
      <c r="B312" s="15" t="str">
        <f t="shared" si="8"/>
        <v>13_0</v>
      </c>
      <c r="C312" t="s">
        <v>83</v>
      </c>
      <c r="D312" t="s">
        <v>84</v>
      </c>
      <c r="E312" t="s">
        <v>85</v>
      </c>
      <c r="F312">
        <v>24.4</v>
      </c>
    </row>
    <row r="313" spans="1:6" x14ac:dyDescent="0.55000000000000004">
      <c r="A313">
        <v>13</v>
      </c>
      <c r="B313" s="15" t="str">
        <f t="shared" si="8"/>
        <v>13_0</v>
      </c>
      <c r="C313" t="s">
        <v>83</v>
      </c>
      <c r="D313" t="s">
        <v>86</v>
      </c>
      <c r="E313" t="s">
        <v>87</v>
      </c>
      <c r="F313">
        <v>11.18</v>
      </c>
    </row>
    <row r="314" spans="1:6" x14ac:dyDescent="0.55000000000000004">
      <c r="A314">
        <v>13</v>
      </c>
      <c r="B314" s="15" t="str">
        <f t="shared" si="8"/>
        <v>13_0</v>
      </c>
      <c r="C314" t="s">
        <v>83</v>
      </c>
      <c r="D314" t="s">
        <v>88</v>
      </c>
      <c r="E314" t="s">
        <v>68</v>
      </c>
      <c r="F314">
        <v>133.9</v>
      </c>
    </row>
    <row r="315" spans="1:6" x14ac:dyDescent="0.55000000000000004">
      <c r="A315">
        <v>13</v>
      </c>
      <c r="B315" s="15" t="str">
        <f t="shared" si="8"/>
        <v>13_0</v>
      </c>
      <c r="C315" t="s">
        <v>83</v>
      </c>
      <c r="D315" t="s">
        <v>312</v>
      </c>
      <c r="E315" t="s">
        <v>89</v>
      </c>
      <c r="F315">
        <v>156.9</v>
      </c>
    </row>
    <row r="316" spans="1:6" x14ac:dyDescent="0.55000000000000004">
      <c r="A316">
        <f>A315</f>
        <v>13</v>
      </c>
      <c r="B316" s="15" t="str">
        <f>B315</f>
        <v>13_0</v>
      </c>
      <c r="C316" t="str">
        <f>C315</f>
        <v>Chemical</v>
      </c>
      <c r="D316" t="s">
        <v>313</v>
      </c>
      <c r="E316" t="s">
        <v>89</v>
      </c>
      <c r="F316">
        <f xml:space="preserve"> F315 / (1 + 0.021 * (F312 - 25))</f>
        <v>158.90216730808186</v>
      </c>
    </row>
    <row r="317" spans="1:6" x14ac:dyDescent="0.55000000000000004">
      <c r="A317">
        <v>13</v>
      </c>
      <c r="B317" s="15" t="str">
        <f t="shared" si="8"/>
        <v>13_0</v>
      </c>
      <c r="C317" t="s">
        <v>83</v>
      </c>
      <c r="D317" t="s">
        <v>90</v>
      </c>
      <c r="F317">
        <v>9.18</v>
      </c>
    </row>
    <row r="318" spans="1:6" x14ac:dyDescent="0.55000000000000004">
      <c r="A318">
        <v>13</v>
      </c>
      <c r="B318" s="15" t="str">
        <f t="shared" si="8"/>
        <v>13_0</v>
      </c>
      <c r="C318" t="s">
        <v>91</v>
      </c>
      <c r="D318" t="s">
        <v>92</v>
      </c>
      <c r="E318" t="s">
        <v>60</v>
      </c>
      <c r="F318">
        <v>0</v>
      </c>
    </row>
    <row r="319" spans="1:6" x14ac:dyDescent="0.55000000000000004">
      <c r="A319">
        <v>13</v>
      </c>
      <c r="B319" s="15" t="str">
        <f t="shared" si="8"/>
        <v>13_0</v>
      </c>
      <c r="C319" t="s">
        <v>91</v>
      </c>
      <c r="D319" t="s">
        <v>93</v>
      </c>
    </row>
    <row r="320" spans="1:6" x14ac:dyDescent="0.55000000000000004">
      <c r="A320">
        <v>13</v>
      </c>
      <c r="B320" s="15" t="str">
        <f t="shared" si="8"/>
        <v>13_0</v>
      </c>
      <c r="C320" t="s">
        <v>91</v>
      </c>
      <c r="D320" t="s">
        <v>94</v>
      </c>
      <c r="E320" t="s">
        <v>68</v>
      </c>
      <c r="F320">
        <v>0</v>
      </c>
    </row>
    <row r="321" spans="1:7" x14ac:dyDescent="0.55000000000000004">
      <c r="A321">
        <v>13</v>
      </c>
      <c r="B321" s="15" t="str">
        <f t="shared" si="8"/>
        <v>13_0</v>
      </c>
      <c r="C321" t="s">
        <v>91</v>
      </c>
      <c r="D321" t="s">
        <v>95</v>
      </c>
    </row>
    <row r="322" spans="1:7" x14ac:dyDescent="0.55000000000000004">
      <c r="A322">
        <v>14</v>
      </c>
      <c r="B322" s="15" t="str">
        <f t="shared" si="8"/>
        <v>14_0</v>
      </c>
      <c r="C322" t="s">
        <v>55</v>
      </c>
      <c r="D322" t="s">
        <v>56</v>
      </c>
      <c r="E322" t="s">
        <v>57</v>
      </c>
      <c r="F322" s="1"/>
      <c r="G322" t="s">
        <v>58</v>
      </c>
    </row>
    <row r="323" spans="1:7" x14ac:dyDescent="0.55000000000000004">
      <c r="A323">
        <v>14</v>
      </c>
      <c r="B323" s="15" t="str">
        <f t="shared" si="8"/>
        <v>14_0</v>
      </c>
      <c r="C323" t="s">
        <v>55</v>
      </c>
      <c r="D323" s="19" t="s">
        <v>59</v>
      </c>
      <c r="E323" t="s">
        <v>60</v>
      </c>
      <c r="F323">
        <v>1</v>
      </c>
    </row>
    <row r="324" spans="1:7" x14ac:dyDescent="0.55000000000000004">
      <c r="A324">
        <v>14</v>
      </c>
      <c r="B324" s="15" t="str">
        <f t="shared" si="8"/>
        <v>14_0</v>
      </c>
      <c r="C324" t="s">
        <v>55</v>
      </c>
      <c r="D324" t="s">
        <v>61</v>
      </c>
      <c r="E324" t="s">
        <v>62</v>
      </c>
    </row>
    <row r="325" spans="1:7" x14ac:dyDescent="0.55000000000000004">
      <c r="A325">
        <v>14</v>
      </c>
      <c r="B325" s="15" t="str">
        <f t="shared" si="8"/>
        <v>14_0</v>
      </c>
      <c r="C325" t="s">
        <v>55</v>
      </c>
      <c r="D325" t="s">
        <v>63</v>
      </c>
      <c r="E325" t="s">
        <v>62</v>
      </c>
      <c r="F325">
        <v>0.7</v>
      </c>
    </row>
    <row r="326" spans="1:7" x14ac:dyDescent="0.55000000000000004">
      <c r="A326">
        <v>14</v>
      </c>
      <c r="B326" s="15" t="str">
        <f t="shared" si="8"/>
        <v>14_0</v>
      </c>
      <c r="C326" t="s">
        <v>55</v>
      </c>
      <c r="D326" t="s">
        <v>64</v>
      </c>
      <c r="E326" t="s">
        <v>65</v>
      </c>
      <c r="F326">
        <f>F325/10</f>
        <v>6.9999999999999993E-2</v>
      </c>
      <c r="G326" t="s">
        <v>66</v>
      </c>
    </row>
    <row r="327" spans="1:7" x14ac:dyDescent="0.55000000000000004">
      <c r="A327">
        <v>14</v>
      </c>
      <c r="B327" s="15" t="str">
        <f t="shared" si="8"/>
        <v>14_0</v>
      </c>
      <c r="C327" t="s">
        <v>55</v>
      </c>
      <c r="D327" s="20" t="s">
        <v>67</v>
      </c>
      <c r="E327" t="s">
        <v>68</v>
      </c>
      <c r="F327">
        <v>100</v>
      </c>
    </row>
    <row r="328" spans="1:7" x14ac:dyDescent="0.55000000000000004">
      <c r="A328">
        <v>14</v>
      </c>
      <c r="B328" s="15" t="str">
        <f t="shared" si="8"/>
        <v>14_0</v>
      </c>
      <c r="C328" t="s">
        <v>55</v>
      </c>
      <c r="D328" s="20" t="s">
        <v>69</v>
      </c>
      <c r="F328" t="s">
        <v>172</v>
      </c>
    </row>
    <row r="329" spans="1:7" x14ac:dyDescent="0.55000000000000004">
      <c r="A329">
        <v>14</v>
      </c>
      <c r="B329" s="15" t="str">
        <f t="shared" si="8"/>
        <v>14_0</v>
      </c>
      <c r="C329" t="s">
        <v>55</v>
      </c>
      <c r="D329" s="20" t="s">
        <v>70</v>
      </c>
      <c r="E329" t="s">
        <v>68</v>
      </c>
      <c r="F329">
        <v>100</v>
      </c>
    </row>
    <row r="330" spans="1:7" x14ac:dyDescent="0.55000000000000004">
      <c r="A330">
        <v>14</v>
      </c>
      <c r="B330" s="15" t="str">
        <f t="shared" si="8"/>
        <v>14_0</v>
      </c>
      <c r="C330" t="s">
        <v>55</v>
      </c>
      <c r="D330" t="s">
        <v>71</v>
      </c>
      <c r="E330" t="s">
        <v>68</v>
      </c>
      <c r="F330">
        <v>0</v>
      </c>
    </row>
    <row r="331" spans="1:7" x14ac:dyDescent="0.55000000000000004">
      <c r="A331">
        <v>14</v>
      </c>
      <c r="B331" s="15" t="str">
        <f t="shared" si="8"/>
        <v>14_0</v>
      </c>
      <c r="C331" t="s">
        <v>55</v>
      </c>
      <c r="D331" t="s">
        <v>72</v>
      </c>
      <c r="E331" t="s">
        <v>60</v>
      </c>
      <c r="F331">
        <v>0</v>
      </c>
    </row>
    <row r="332" spans="1:7" x14ac:dyDescent="0.55000000000000004">
      <c r="A332">
        <v>14</v>
      </c>
      <c r="B332" s="15" t="str">
        <f t="shared" si="8"/>
        <v>14_0</v>
      </c>
      <c r="C332" t="s">
        <v>55</v>
      </c>
      <c r="D332" t="s">
        <v>73</v>
      </c>
      <c r="E332" t="s">
        <v>68</v>
      </c>
      <c r="F332">
        <v>0</v>
      </c>
    </row>
    <row r="333" spans="1:7" x14ac:dyDescent="0.55000000000000004">
      <c r="A333">
        <v>14</v>
      </c>
      <c r="B333" s="15" t="str">
        <f t="shared" si="8"/>
        <v>14_0</v>
      </c>
      <c r="C333" t="s">
        <v>55</v>
      </c>
      <c r="D333" t="s">
        <v>74</v>
      </c>
      <c r="E333" t="s">
        <v>68</v>
      </c>
      <c r="F333">
        <v>20</v>
      </c>
    </row>
    <row r="334" spans="1:7" x14ac:dyDescent="0.55000000000000004">
      <c r="A334">
        <v>14</v>
      </c>
      <c r="B334" s="15" t="str">
        <f t="shared" si="8"/>
        <v>14_0</v>
      </c>
      <c r="C334" t="s">
        <v>55</v>
      </c>
      <c r="D334" t="s">
        <v>75</v>
      </c>
      <c r="E334" t="s">
        <v>68</v>
      </c>
      <c r="F334">
        <v>80</v>
      </c>
    </row>
    <row r="335" spans="1:7" x14ac:dyDescent="0.55000000000000004">
      <c r="A335">
        <v>14</v>
      </c>
      <c r="B335" s="15" t="str">
        <f t="shared" si="8"/>
        <v>14_0</v>
      </c>
      <c r="C335" t="s">
        <v>55</v>
      </c>
      <c r="D335" t="s">
        <v>76</v>
      </c>
      <c r="E335" t="s">
        <v>68</v>
      </c>
      <c r="F335">
        <v>0</v>
      </c>
    </row>
    <row r="336" spans="1:7" x14ac:dyDescent="0.55000000000000004">
      <c r="A336">
        <v>14</v>
      </c>
      <c r="B336" s="15" t="str">
        <f t="shared" si="8"/>
        <v>14_0</v>
      </c>
      <c r="C336" t="s">
        <v>55</v>
      </c>
      <c r="D336" t="s">
        <v>77</v>
      </c>
      <c r="E336" t="s">
        <v>68</v>
      </c>
      <c r="F336">
        <v>0</v>
      </c>
    </row>
    <row r="337" spans="1:7" x14ac:dyDescent="0.55000000000000004">
      <c r="A337">
        <v>14</v>
      </c>
      <c r="B337" s="15" t="str">
        <f t="shared" si="8"/>
        <v>14_0</v>
      </c>
      <c r="C337" t="s">
        <v>55</v>
      </c>
      <c r="D337" t="s">
        <v>78</v>
      </c>
      <c r="E337" t="s">
        <v>68</v>
      </c>
      <c r="F337">
        <v>0</v>
      </c>
    </row>
    <row r="338" spans="1:7" x14ac:dyDescent="0.55000000000000004">
      <c r="A338">
        <v>14</v>
      </c>
      <c r="B338" s="15" t="str">
        <f t="shared" si="8"/>
        <v>14_0</v>
      </c>
      <c r="C338" t="s">
        <v>55</v>
      </c>
      <c r="D338" t="s">
        <v>79</v>
      </c>
      <c r="E338" t="s">
        <v>68</v>
      </c>
      <c r="F338">
        <v>0</v>
      </c>
    </row>
    <row r="339" spans="1:7" x14ac:dyDescent="0.55000000000000004">
      <c r="A339">
        <v>14</v>
      </c>
      <c r="B339" s="15" t="str">
        <f t="shared" si="8"/>
        <v>14_0</v>
      </c>
      <c r="C339" t="s">
        <v>55</v>
      </c>
      <c r="D339" t="s">
        <v>80</v>
      </c>
      <c r="E339" t="s">
        <v>68</v>
      </c>
      <c r="F339">
        <v>0</v>
      </c>
    </row>
    <row r="340" spans="1:7" x14ac:dyDescent="0.55000000000000004">
      <c r="A340">
        <v>14</v>
      </c>
      <c r="B340" s="15" t="str">
        <f t="shared" si="8"/>
        <v>14_0</v>
      </c>
      <c r="C340" t="s">
        <v>55</v>
      </c>
      <c r="D340" t="s">
        <v>81</v>
      </c>
      <c r="E340" t="s">
        <v>82</v>
      </c>
    </row>
    <row r="341" spans="1:7" x14ac:dyDescent="0.55000000000000004">
      <c r="A341">
        <v>14</v>
      </c>
      <c r="B341" s="15" t="str">
        <f t="shared" si="8"/>
        <v>14_0</v>
      </c>
      <c r="C341" t="s">
        <v>83</v>
      </c>
      <c r="D341" t="s">
        <v>84</v>
      </c>
      <c r="E341" t="s">
        <v>85</v>
      </c>
      <c r="F341">
        <v>25.4</v>
      </c>
    </row>
    <row r="342" spans="1:7" x14ac:dyDescent="0.55000000000000004">
      <c r="A342">
        <v>14</v>
      </c>
      <c r="B342" s="15" t="str">
        <f t="shared" si="8"/>
        <v>14_0</v>
      </c>
      <c r="C342" t="s">
        <v>83</v>
      </c>
      <c r="D342" t="s">
        <v>86</v>
      </c>
      <c r="E342" t="s">
        <v>87</v>
      </c>
      <c r="F342">
        <v>10.88</v>
      </c>
    </row>
    <row r="343" spans="1:7" x14ac:dyDescent="0.55000000000000004">
      <c r="A343">
        <v>14</v>
      </c>
      <c r="B343" s="15" t="str">
        <f t="shared" si="8"/>
        <v>14_0</v>
      </c>
      <c r="C343" t="s">
        <v>83</v>
      </c>
      <c r="D343" t="s">
        <v>88</v>
      </c>
      <c r="E343" t="s">
        <v>68</v>
      </c>
      <c r="F343">
        <v>136.4</v>
      </c>
    </row>
    <row r="344" spans="1:7" x14ac:dyDescent="0.55000000000000004">
      <c r="A344">
        <v>14</v>
      </c>
      <c r="B344" s="15" t="str">
        <f t="shared" si="8"/>
        <v>14_0</v>
      </c>
      <c r="C344" t="s">
        <v>83</v>
      </c>
      <c r="D344" t="s">
        <v>312</v>
      </c>
      <c r="E344" t="s">
        <v>89</v>
      </c>
      <c r="F344">
        <v>161.1</v>
      </c>
    </row>
    <row r="345" spans="1:7" x14ac:dyDescent="0.55000000000000004">
      <c r="A345">
        <f>A344</f>
        <v>14</v>
      </c>
      <c r="B345" s="15" t="str">
        <f>B344</f>
        <v>14_0</v>
      </c>
      <c r="C345" t="str">
        <f>C344</f>
        <v>Chemical</v>
      </c>
      <c r="D345" t="s">
        <v>313</v>
      </c>
      <c r="E345" t="s">
        <v>89</v>
      </c>
      <c r="F345">
        <f xml:space="preserve"> F344 / (1 + 0.021 * (F341 - 25))</f>
        <v>159.75803252677508</v>
      </c>
    </row>
    <row r="346" spans="1:7" x14ac:dyDescent="0.55000000000000004">
      <c r="A346">
        <v>14</v>
      </c>
      <c r="B346" s="15" t="str">
        <f t="shared" si="8"/>
        <v>14_0</v>
      </c>
      <c r="C346" t="s">
        <v>83</v>
      </c>
      <c r="D346" t="s">
        <v>90</v>
      </c>
      <c r="F346">
        <v>9.14</v>
      </c>
    </row>
    <row r="347" spans="1:7" x14ac:dyDescent="0.55000000000000004">
      <c r="A347">
        <v>14</v>
      </c>
      <c r="B347" s="15" t="str">
        <f t="shared" si="8"/>
        <v>14_0</v>
      </c>
      <c r="C347" t="s">
        <v>91</v>
      </c>
      <c r="D347" t="s">
        <v>92</v>
      </c>
      <c r="E347" t="s">
        <v>60</v>
      </c>
      <c r="F347">
        <v>0</v>
      </c>
    </row>
    <row r="348" spans="1:7" x14ac:dyDescent="0.55000000000000004">
      <c r="A348">
        <v>14</v>
      </c>
      <c r="B348" s="15" t="str">
        <f t="shared" si="8"/>
        <v>14_0</v>
      </c>
      <c r="C348" t="s">
        <v>91</v>
      </c>
      <c r="D348" t="s">
        <v>93</v>
      </c>
    </row>
    <row r="349" spans="1:7" x14ac:dyDescent="0.55000000000000004">
      <c r="A349">
        <v>14</v>
      </c>
      <c r="B349" s="15" t="str">
        <f t="shared" si="8"/>
        <v>14_0</v>
      </c>
      <c r="C349" t="s">
        <v>91</v>
      </c>
      <c r="D349" t="s">
        <v>94</v>
      </c>
      <c r="E349" t="s">
        <v>68</v>
      </c>
      <c r="F349">
        <v>0</v>
      </c>
    </row>
    <row r="350" spans="1:7" x14ac:dyDescent="0.55000000000000004">
      <c r="A350">
        <v>14</v>
      </c>
      <c r="B350" s="15" t="str">
        <f t="shared" si="8"/>
        <v>14_0</v>
      </c>
      <c r="C350" t="s">
        <v>91</v>
      </c>
      <c r="D350" t="s">
        <v>95</v>
      </c>
    </row>
    <row r="351" spans="1:7" x14ac:dyDescent="0.55000000000000004">
      <c r="A351">
        <v>15</v>
      </c>
      <c r="B351" s="15" t="str">
        <f t="shared" si="8"/>
        <v>15_0</v>
      </c>
      <c r="C351" t="s">
        <v>55</v>
      </c>
      <c r="D351" t="s">
        <v>56</v>
      </c>
      <c r="E351" t="s">
        <v>57</v>
      </c>
      <c r="F351" s="1"/>
      <c r="G351" t="s">
        <v>58</v>
      </c>
    </row>
    <row r="352" spans="1:7" x14ac:dyDescent="0.55000000000000004">
      <c r="A352">
        <v>15</v>
      </c>
      <c r="B352" s="15" t="str">
        <f t="shared" si="8"/>
        <v>15_0</v>
      </c>
      <c r="C352" t="s">
        <v>55</v>
      </c>
      <c r="D352" s="19" t="s">
        <v>59</v>
      </c>
      <c r="E352" t="s">
        <v>60</v>
      </c>
      <c r="F352">
        <v>1</v>
      </c>
    </row>
    <row r="353" spans="1:7" x14ac:dyDescent="0.55000000000000004">
      <c r="A353">
        <v>15</v>
      </c>
      <c r="B353" s="15" t="str">
        <f t="shared" si="8"/>
        <v>15_0</v>
      </c>
      <c r="C353" t="s">
        <v>55</v>
      </c>
      <c r="D353" t="s">
        <v>61</v>
      </c>
      <c r="E353" t="s">
        <v>62</v>
      </c>
    </row>
    <row r="354" spans="1:7" x14ac:dyDescent="0.55000000000000004">
      <c r="A354">
        <v>15</v>
      </c>
      <c r="B354" s="15" t="str">
        <f t="shared" si="8"/>
        <v>15_0</v>
      </c>
      <c r="C354" t="s">
        <v>55</v>
      </c>
      <c r="D354" t="s">
        <v>63</v>
      </c>
      <c r="E354" t="s">
        <v>62</v>
      </c>
      <c r="F354">
        <v>0.45</v>
      </c>
    </row>
    <row r="355" spans="1:7" x14ac:dyDescent="0.55000000000000004">
      <c r="A355">
        <v>15</v>
      </c>
      <c r="B355" s="15" t="str">
        <f t="shared" ref="B355:B420" si="9">A355 &amp; "_0"</f>
        <v>15_0</v>
      </c>
      <c r="C355" t="s">
        <v>55</v>
      </c>
      <c r="D355" t="s">
        <v>64</v>
      </c>
      <c r="E355" t="s">
        <v>65</v>
      </c>
      <c r="F355">
        <f>F354/10</f>
        <v>4.4999999999999998E-2</v>
      </c>
      <c r="G355" t="s">
        <v>66</v>
      </c>
    </row>
    <row r="356" spans="1:7" x14ac:dyDescent="0.55000000000000004">
      <c r="A356">
        <v>15</v>
      </c>
      <c r="B356" s="15" t="str">
        <f t="shared" si="9"/>
        <v>15_0</v>
      </c>
      <c r="C356" t="s">
        <v>55</v>
      </c>
      <c r="D356" s="20" t="s">
        <v>67</v>
      </c>
      <c r="E356" t="s">
        <v>68</v>
      </c>
      <c r="F356">
        <v>100</v>
      </c>
    </row>
    <row r="357" spans="1:7" x14ac:dyDescent="0.55000000000000004">
      <c r="A357">
        <v>15</v>
      </c>
      <c r="B357" s="15" t="str">
        <f t="shared" si="9"/>
        <v>15_0</v>
      </c>
      <c r="C357" t="s">
        <v>55</v>
      </c>
      <c r="D357" s="20" t="s">
        <v>69</v>
      </c>
      <c r="F357" t="s">
        <v>172</v>
      </c>
    </row>
    <row r="358" spans="1:7" x14ac:dyDescent="0.55000000000000004">
      <c r="A358">
        <v>15</v>
      </c>
      <c r="B358" s="15" t="str">
        <f t="shared" si="9"/>
        <v>15_0</v>
      </c>
      <c r="C358" t="s">
        <v>55</v>
      </c>
      <c r="D358" s="20" t="s">
        <v>70</v>
      </c>
      <c r="E358" t="s">
        <v>68</v>
      </c>
      <c r="F358">
        <v>100</v>
      </c>
    </row>
    <row r="359" spans="1:7" x14ac:dyDescent="0.55000000000000004">
      <c r="A359">
        <v>15</v>
      </c>
      <c r="B359" s="15" t="str">
        <f t="shared" si="9"/>
        <v>15_0</v>
      </c>
      <c r="C359" t="s">
        <v>55</v>
      </c>
      <c r="D359" t="s">
        <v>71</v>
      </c>
      <c r="E359" t="s">
        <v>68</v>
      </c>
      <c r="F359">
        <v>0</v>
      </c>
    </row>
    <row r="360" spans="1:7" x14ac:dyDescent="0.55000000000000004">
      <c r="A360">
        <v>15</v>
      </c>
      <c r="B360" s="15" t="str">
        <f t="shared" si="9"/>
        <v>15_0</v>
      </c>
      <c r="C360" t="s">
        <v>55</v>
      </c>
      <c r="D360" t="s">
        <v>72</v>
      </c>
      <c r="E360" t="s">
        <v>60</v>
      </c>
      <c r="F360">
        <v>0</v>
      </c>
    </row>
    <row r="361" spans="1:7" x14ac:dyDescent="0.55000000000000004">
      <c r="A361">
        <v>15</v>
      </c>
      <c r="B361" s="15" t="str">
        <f t="shared" si="9"/>
        <v>15_0</v>
      </c>
      <c r="C361" t="s">
        <v>55</v>
      </c>
      <c r="D361" t="s">
        <v>73</v>
      </c>
      <c r="E361" t="s">
        <v>68</v>
      </c>
      <c r="F361">
        <v>10</v>
      </c>
    </row>
    <row r="362" spans="1:7" x14ac:dyDescent="0.55000000000000004">
      <c r="A362">
        <v>15</v>
      </c>
      <c r="B362" s="15" t="str">
        <f t="shared" si="9"/>
        <v>15_0</v>
      </c>
      <c r="C362" t="s">
        <v>55</v>
      </c>
      <c r="D362" t="s">
        <v>74</v>
      </c>
      <c r="E362" t="s">
        <v>68</v>
      </c>
      <c r="F362">
        <v>0</v>
      </c>
    </row>
    <row r="363" spans="1:7" x14ac:dyDescent="0.55000000000000004">
      <c r="A363">
        <v>15</v>
      </c>
      <c r="B363" s="15" t="str">
        <f t="shared" si="9"/>
        <v>15_0</v>
      </c>
      <c r="C363" t="s">
        <v>55</v>
      </c>
      <c r="D363" t="s">
        <v>75</v>
      </c>
      <c r="E363" t="s">
        <v>68</v>
      </c>
      <c r="F363">
        <v>0</v>
      </c>
    </row>
    <row r="364" spans="1:7" x14ac:dyDescent="0.55000000000000004">
      <c r="A364">
        <v>15</v>
      </c>
      <c r="B364" s="15" t="str">
        <f t="shared" si="9"/>
        <v>15_0</v>
      </c>
      <c r="C364" t="s">
        <v>55</v>
      </c>
      <c r="D364" t="s">
        <v>76</v>
      </c>
      <c r="E364" t="s">
        <v>68</v>
      </c>
      <c r="F364">
        <v>10</v>
      </c>
    </row>
    <row r="365" spans="1:7" x14ac:dyDescent="0.55000000000000004">
      <c r="A365">
        <v>15</v>
      </c>
      <c r="B365" s="15" t="str">
        <f t="shared" si="9"/>
        <v>15_0</v>
      </c>
      <c r="C365" t="s">
        <v>55</v>
      </c>
      <c r="D365" t="s">
        <v>77</v>
      </c>
      <c r="E365" t="s">
        <v>68</v>
      </c>
      <c r="F365">
        <v>80</v>
      </c>
    </row>
    <row r="366" spans="1:7" x14ac:dyDescent="0.55000000000000004">
      <c r="A366">
        <v>15</v>
      </c>
      <c r="B366" s="15" t="str">
        <f t="shared" si="9"/>
        <v>15_0</v>
      </c>
      <c r="C366" t="s">
        <v>55</v>
      </c>
      <c r="D366" t="s">
        <v>78</v>
      </c>
      <c r="E366" t="s">
        <v>68</v>
      </c>
      <c r="F366">
        <v>0</v>
      </c>
    </row>
    <row r="367" spans="1:7" x14ac:dyDescent="0.55000000000000004">
      <c r="A367">
        <v>15</v>
      </c>
      <c r="B367" s="15" t="str">
        <f t="shared" si="9"/>
        <v>15_0</v>
      </c>
      <c r="C367" t="s">
        <v>55</v>
      </c>
      <c r="D367" t="s">
        <v>79</v>
      </c>
      <c r="E367" t="s">
        <v>68</v>
      </c>
      <c r="F367">
        <v>0</v>
      </c>
    </row>
    <row r="368" spans="1:7" x14ac:dyDescent="0.55000000000000004">
      <c r="A368">
        <v>15</v>
      </c>
      <c r="B368" s="15" t="str">
        <f t="shared" si="9"/>
        <v>15_0</v>
      </c>
      <c r="C368" t="s">
        <v>55</v>
      </c>
      <c r="D368" t="s">
        <v>80</v>
      </c>
      <c r="E368" t="s">
        <v>68</v>
      </c>
      <c r="F368">
        <v>0</v>
      </c>
    </row>
    <row r="369" spans="1:7" x14ac:dyDescent="0.55000000000000004">
      <c r="A369">
        <v>15</v>
      </c>
      <c r="B369" s="15" t="str">
        <f t="shared" si="9"/>
        <v>15_0</v>
      </c>
      <c r="C369" t="s">
        <v>55</v>
      </c>
      <c r="D369" t="s">
        <v>81</v>
      </c>
      <c r="E369" t="s">
        <v>82</v>
      </c>
    </row>
    <row r="370" spans="1:7" x14ac:dyDescent="0.55000000000000004">
      <c r="A370">
        <v>15</v>
      </c>
      <c r="B370" s="15" t="str">
        <f t="shared" si="9"/>
        <v>15_0</v>
      </c>
      <c r="C370" t="s">
        <v>83</v>
      </c>
      <c r="D370" t="s">
        <v>84</v>
      </c>
      <c r="E370" t="s">
        <v>85</v>
      </c>
      <c r="F370">
        <v>24.3</v>
      </c>
    </row>
    <row r="371" spans="1:7" x14ac:dyDescent="0.55000000000000004">
      <c r="A371">
        <v>15</v>
      </c>
      <c r="B371" s="15" t="str">
        <f t="shared" si="9"/>
        <v>15_0</v>
      </c>
      <c r="C371" t="s">
        <v>83</v>
      </c>
      <c r="D371" t="s">
        <v>86</v>
      </c>
      <c r="E371" t="s">
        <v>87</v>
      </c>
      <c r="F371">
        <v>9.39</v>
      </c>
    </row>
    <row r="372" spans="1:7" x14ac:dyDescent="0.55000000000000004">
      <c r="A372">
        <v>15</v>
      </c>
      <c r="B372" s="15" t="str">
        <f t="shared" si="9"/>
        <v>15_0</v>
      </c>
      <c r="C372" t="s">
        <v>83</v>
      </c>
      <c r="D372" t="s">
        <v>88</v>
      </c>
      <c r="E372" t="s">
        <v>68</v>
      </c>
      <c r="F372">
        <v>112.1</v>
      </c>
    </row>
    <row r="373" spans="1:7" x14ac:dyDescent="0.55000000000000004">
      <c r="A373">
        <v>15</v>
      </c>
      <c r="B373" s="15" t="str">
        <f t="shared" si="9"/>
        <v>15_0</v>
      </c>
      <c r="C373" t="s">
        <v>83</v>
      </c>
      <c r="D373" t="s">
        <v>312</v>
      </c>
      <c r="E373" t="s">
        <v>89</v>
      </c>
      <c r="F373">
        <v>177.9</v>
      </c>
    </row>
    <row r="374" spans="1:7" x14ac:dyDescent="0.55000000000000004">
      <c r="A374">
        <f>A373</f>
        <v>15</v>
      </c>
      <c r="B374" s="15" t="str">
        <f>B373</f>
        <v>15_0</v>
      </c>
      <c r="C374" t="str">
        <f>C373</f>
        <v>Chemical</v>
      </c>
      <c r="D374" t="s">
        <v>313</v>
      </c>
      <c r="E374" t="s">
        <v>89</v>
      </c>
      <c r="F374">
        <f xml:space="preserve"> F373 / (1 + 0.021 * (F370 - 25))</f>
        <v>180.55414594539732</v>
      </c>
    </row>
    <row r="375" spans="1:7" x14ac:dyDescent="0.55000000000000004">
      <c r="A375">
        <v>15</v>
      </c>
      <c r="B375" s="15" t="str">
        <f t="shared" si="9"/>
        <v>15_0</v>
      </c>
      <c r="C375" t="s">
        <v>83</v>
      </c>
      <c r="D375" t="s">
        <v>90</v>
      </c>
      <c r="F375">
        <v>7.57</v>
      </c>
    </row>
    <row r="376" spans="1:7" x14ac:dyDescent="0.55000000000000004">
      <c r="A376">
        <v>15</v>
      </c>
      <c r="B376" s="15" t="str">
        <f t="shared" si="9"/>
        <v>15_0</v>
      </c>
      <c r="C376" t="s">
        <v>91</v>
      </c>
      <c r="D376" t="s">
        <v>92</v>
      </c>
      <c r="E376" t="s">
        <v>60</v>
      </c>
      <c r="F376">
        <v>0</v>
      </c>
    </row>
    <row r="377" spans="1:7" x14ac:dyDescent="0.55000000000000004">
      <c r="A377">
        <v>15</v>
      </c>
      <c r="B377" s="15" t="str">
        <f t="shared" si="9"/>
        <v>15_0</v>
      </c>
      <c r="C377" t="s">
        <v>91</v>
      </c>
      <c r="D377" t="s">
        <v>93</v>
      </c>
    </row>
    <row r="378" spans="1:7" x14ac:dyDescent="0.55000000000000004">
      <c r="A378">
        <v>15</v>
      </c>
      <c r="B378" s="15" t="str">
        <f t="shared" si="9"/>
        <v>15_0</v>
      </c>
      <c r="C378" t="s">
        <v>91</v>
      </c>
      <c r="D378" t="s">
        <v>94</v>
      </c>
      <c r="E378" t="s">
        <v>68</v>
      </c>
      <c r="F378">
        <v>0</v>
      </c>
    </row>
    <row r="379" spans="1:7" x14ac:dyDescent="0.55000000000000004">
      <c r="A379">
        <v>15</v>
      </c>
      <c r="B379" s="15" t="str">
        <f t="shared" si="9"/>
        <v>15_0</v>
      </c>
      <c r="C379" t="s">
        <v>91</v>
      </c>
      <c r="D379" t="s">
        <v>95</v>
      </c>
    </row>
    <row r="380" spans="1:7" x14ac:dyDescent="0.55000000000000004">
      <c r="A380">
        <v>16</v>
      </c>
      <c r="B380" s="15" t="str">
        <f t="shared" si="9"/>
        <v>16_0</v>
      </c>
      <c r="C380" t="s">
        <v>55</v>
      </c>
      <c r="D380" t="s">
        <v>56</v>
      </c>
      <c r="E380" t="s">
        <v>57</v>
      </c>
      <c r="F380" s="1"/>
      <c r="G380" t="s">
        <v>58</v>
      </c>
    </row>
    <row r="381" spans="1:7" x14ac:dyDescent="0.55000000000000004">
      <c r="A381">
        <v>16</v>
      </c>
      <c r="B381" s="15" t="str">
        <f t="shared" si="9"/>
        <v>16_0</v>
      </c>
      <c r="C381" t="s">
        <v>55</v>
      </c>
      <c r="D381" s="19" t="s">
        <v>59</v>
      </c>
      <c r="E381" t="s">
        <v>60</v>
      </c>
      <c r="F381">
        <v>1</v>
      </c>
    </row>
    <row r="382" spans="1:7" x14ac:dyDescent="0.55000000000000004">
      <c r="A382">
        <v>16</v>
      </c>
      <c r="B382" s="15" t="str">
        <f t="shared" si="9"/>
        <v>16_0</v>
      </c>
      <c r="C382" t="s">
        <v>55</v>
      </c>
      <c r="D382" t="s">
        <v>61</v>
      </c>
      <c r="E382" t="s">
        <v>62</v>
      </c>
    </row>
    <row r="383" spans="1:7" x14ac:dyDescent="0.55000000000000004">
      <c r="A383">
        <v>16</v>
      </c>
      <c r="B383" s="15" t="str">
        <f t="shared" si="9"/>
        <v>16_0</v>
      </c>
      <c r="C383" t="s">
        <v>55</v>
      </c>
      <c r="D383" t="s">
        <v>63</v>
      </c>
      <c r="E383" t="s">
        <v>62</v>
      </c>
      <c r="F383">
        <v>0.4</v>
      </c>
    </row>
    <row r="384" spans="1:7" x14ac:dyDescent="0.55000000000000004">
      <c r="A384">
        <v>16</v>
      </c>
      <c r="B384" s="15" t="str">
        <f t="shared" si="9"/>
        <v>16_0</v>
      </c>
      <c r="C384" t="s">
        <v>55</v>
      </c>
      <c r="D384" t="s">
        <v>64</v>
      </c>
      <c r="E384" t="s">
        <v>65</v>
      </c>
      <c r="F384">
        <f>F383/10</f>
        <v>0.04</v>
      </c>
      <c r="G384" t="s">
        <v>66</v>
      </c>
    </row>
    <row r="385" spans="1:7" x14ac:dyDescent="0.55000000000000004">
      <c r="A385">
        <v>16</v>
      </c>
      <c r="B385" s="15" t="str">
        <f t="shared" si="9"/>
        <v>16_0</v>
      </c>
      <c r="C385" t="s">
        <v>55</v>
      </c>
      <c r="D385" s="20" t="s">
        <v>67</v>
      </c>
      <c r="E385" t="s">
        <v>68</v>
      </c>
      <c r="F385">
        <v>100</v>
      </c>
    </row>
    <row r="386" spans="1:7" x14ac:dyDescent="0.55000000000000004">
      <c r="A386">
        <v>16</v>
      </c>
      <c r="B386" s="15" t="str">
        <f t="shared" si="9"/>
        <v>16_0</v>
      </c>
      <c r="C386" t="s">
        <v>55</v>
      </c>
      <c r="D386" s="20" t="s">
        <v>69</v>
      </c>
      <c r="F386" t="s">
        <v>172</v>
      </c>
    </row>
    <row r="387" spans="1:7" x14ac:dyDescent="0.55000000000000004">
      <c r="A387">
        <v>16</v>
      </c>
      <c r="B387" s="15" t="str">
        <f t="shared" si="9"/>
        <v>16_0</v>
      </c>
      <c r="C387" t="s">
        <v>55</v>
      </c>
      <c r="D387" s="20" t="s">
        <v>70</v>
      </c>
      <c r="E387" t="s">
        <v>68</v>
      </c>
      <c r="F387">
        <v>100</v>
      </c>
    </row>
    <row r="388" spans="1:7" x14ac:dyDescent="0.55000000000000004">
      <c r="A388">
        <v>16</v>
      </c>
      <c r="B388" s="15" t="str">
        <f t="shared" si="9"/>
        <v>16_0</v>
      </c>
      <c r="C388" t="s">
        <v>55</v>
      </c>
      <c r="D388" t="s">
        <v>71</v>
      </c>
      <c r="E388" t="s">
        <v>68</v>
      </c>
      <c r="F388">
        <v>0</v>
      </c>
    </row>
    <row r="389" spans="1:7" x14ac:dyDescent="0.55000000000000004">
      <c r="A389">
        <v>16</v>
      </c>
      <c r="B389" s="15" t="str">
        <f t="shared" si="9"/>
        <v>16_0</v>
      </c>
      <c r="C389" t="s">
        <v>55</v>
      </c>
      <c r="D389" t="s">
        <v>72</v>
      </c>
      <c r="E389" t="s">
        <v>60</v>
      </c>
      <c r="F389">
        <v>0</v>
      </c>
    </row>
    <row r="390" spans="1:7" x14ac:dyDescent="0.55000000000000004">
      <c r="A390">
        <v>16</v>
      </c>
      <c r="B390" s="15" t="str">
        <f t="shared" si="9"/>
        <v>16_0</v>
      </c>
      <c r="C390" t="s">
        <v>55</v>
      </c>
      <c r="D390" t="s">
        <v>73</v>
      </c>
      <c r="E390" t="s">
        <v>68</v>
      </c>
      <c r="F390">
        <v>10</v>
      </c>
    </row>
    <row r="391" spans="1:7" x14ac:dyDescent="0.55000000000000004">
      <c r="A391">
        <v>16</v>
      </c>
      <c r="B391" s="15" t="str">
        <f t="shared" si="9"/>
        <v>16_0</v>
      </c>
      <c r="C391" t="s">
        <v>55</v>
      </c>
      <c r="D391" t="s">
        <v>74</v>
      </c>
      <c r="E391" t="s">
        <v>68</v>
      </c>
      <c r="F391">
        <v>0</v>
      </c>
    </row>
    <row r="392" spans="1:7" x14ac:dyDescent="0.55000000000000004">
      <c r="A392">
        <v>16</v>
      </c>
      <c r="B392" s="15" t="str">
        <f t="shared" si="9"/>
        <v>16_0</v>
      </c>
      <c r="C392" t="s">
        <v>55</v>
      </c>
      <c r="D392" t="s">
        <v>75</v>
      </c>
      <c r="E392" t="s">
        <v>68</v>
      </c>
      <c r="F392">
        <v>0</v>
      </c>
    </row>
    <row r="393" spans="1:7" x14ac:dyDescent="0.55000000000000004">
      <c r="A393">
        <v>16</v>
      </c>
      <c r="B393" s="15" t="str">
        <f t="shared" si="9"/>
        <v>16_0</v>
      </c>
      <c r="C393" t="s">
        <v>55</v>
      </c>
      <c r="D393" t="s">
        <v>76</v>
      </c>
      <c r="E393" t="s">
        <v>68</v>
      </c>
      <c r="F393">
        <v>0</v>
      </c>
    </row>
    <row r="394" spans="1:7" x14ac:dyDescent="0.55000000000000004">
      <c r="A394">
        <v>16</v>
      </c>
      <c r="B394" s="15" t="str">
        <f t="shared" si="9"/>
        <v>16_0</v>
      </c>
      <c r="C394" t="s">
        <v>55</v>
      </c>
      <c r="D394" t="s">
        <v>77</v>
      </c>
      <c r="E394" t="s">
        <v>68</v>
      </c>
      <c r="F394">
        <v>70</v>
      </c>
    </row>
    <row r="395" spans="1:7" x14ac:dyDescent="0.55000000000000004">
      <c r="A395">
        <v>16</v>
      </c>
      <c r="B395" s="15" t="str">
        <f t="shared" si="9"/>
        <v>16_0</v>
      </c>
      <c r="C395" t="s">
        <v>55</v>
      </c>
      <c r="D395" t="s">
        <v>78</v>
      </c>
      <c r="E395" t="s">
        <v>68</v>
      </c>
      <c r="F395">
        <v>0</v>
      </c>
    </row>
    <row r="396" spans="1:7" x14ac:dyDescent="0.55000000000000004">
      <c r="A396">
        <v>16</v>
      </c>
      <c r="B396" s="15" t="str">
        <f t="shared" si="9"/>
        <v>16_0</v>
      </c>
      <c r="C396" t="s">
        <v>55</v>
      </c>
      <c r="D396" t="s">
        <v>79</v>
      </c>
      <c r="E396" t="s">
        <v>68</v>
      </c>
      <c r="F396">
        <v>0</v>
      </c>
    </row>
    <row r="397" spans="1:7" x14ac:dyDescent="0.55000000000000004">
      <c r="A397">
        <v>16</v>
      </c>
      <c r="B397" s="15" t="str">
        <f t="shared" si="9"/>
        <v>16_0</v>
      </c>
      <c r="C397" t="s">
        <v>55</v>
      </c>
      <c r="D397" t="s">
        <v>80</v>
      </c>
      <c r="E397" t="s">
        <v>68</v>
      </c>
      <c r="F397">
        <v>20</v>
      </c>
      <c r="G397" t="s">
        <v>173</v>
      </c>
    </row>
    <row r="398" spans="1:7" x14ac:dyDescent="0.55000000000000004">
      <c r="A398">
        <v>16</v>
      </c>
      <c r="B398" s="15" t="str">
        <f t="shared" si="9"/>
        <v>16_0</v>
      </c>
      <c r="C398" t="s">
        <v>55</v>
      </c>
      <c r="D398" t="s">
        <v>81</v>
      </c>
      <c r="E398" t="s">
        <v>82</v>
      </c>
    </row>
    <row r="399" spans="1:7" x14ac:dyDescent="0.55000000000000004">
      <c r="A399">
        <v>16</v>
      </c>
      <c r="B399" s="15" t="str">
        <f t="shared" si="9"/>
        <v>16_0</v>
      </c>
      <c r="C399" t="s">
        <v>83</v>
      </c>
      <c r="D399" t="s">
        <v>84</v>
      </c>
      <c r="E399" t="s">
        <v>85</v>
      </c>
      <c r="F399">
        <v>24.3</v>
      </c>
    </row>
    <row r="400" spans="1:7" x14ac:dyDescent="0.55000000000000004">
      <c r="A400">
        <v>16</v>
      </c>
      <c r="B400" s="15" t="str">
        <f t="shared" si="9"/>
        <v>16_0</v>
      </c>
      <c r="C400" t="s">
        <v>83</v>
      </c>
      <c r="D400" t="s">
        <v>86</v>
      </c>
      <c r="E400" t="s">
        <v>87</v>
      </c>
      <c r="F400">
        <v>9.39</v>
      </c>
    </row>
    <row r="401" spans="1:7" x14ac:dyDescent="0.55000000000000004">
      <c r="A401">
        <v>16</v>
      </c>
      <c r="B401" s="15" t="str">
        <f t="shared" si="9"/>
        <v>16_0</v>
      </c>
      <c r="C401" t="s">
        <v>83</v>
      </c>
      <c r="D401" t="s">
        <v>88</v>
      </c>
      <c r="E401" t="s">
        <v>68</v>
      </c>
      <c r="F401">
        <v>112.1</v>
      </c>
    </row>
    <row r="402" spans="1:7" x14ac:dyDescent="0.55000000000000004">
      <c r="A402">
        <v>16</v>
      </c>
      <c r="B402" s="15" t="str">
        <f t="shared" si="9"/>
        <v>16_0</v>
      </c>
      <c r="C402" t="s">
        <v>83</v>
      </c>
      <c r="D402" t="s">
        <v>312</v>
      </c>
      <c r="E402" t="s">
        <v>89</v>
      </c>
      <c r="F402">
        <v>177.9</v>
      </c>
    </row>
    <row r="403" spans="1:7" x14ac:dyDescent="0.55000000000000004">
      <c r="A403">
        <f>A402</f>
        <v>16</v>
      </c>
      <c r="B403" s="15" t="str">
        <f>B402</f>
        <v>16_0</v>
      </c>
      <c r="C403" t="str">
        <f>C402</f>
        <v>Chemical</v>
      </c>
      <c r="D403" t="s">
        <v>313</v>
      </c>
      <c r="E403" t="s">
        <v>89</v>
      </c>
      <c r="F403">
        <f xml:space="preserve"> F402 / (1 + 0.021 * (F399 - 25))</f>
        <v>180.55414594539732</v>
      </c>
    </row>
    <row r="404" spans="1:7" x14ac:dyDescent="0.55000000000000004">
      <c r="A404">
        <v>16</v>
      </c>
      <c r="B404" s="15" t="str">
        <f t="shared" si="9"/>
        <v>16_0</v>
      </c>
      <c r="C404" t="s">
        <v>83</v>
      </c>
      <c r="D404" t="s">
        <v>90</v>
      </c>
      <c r="F404">
        <v>7.52</v>
      </c>
    </row>
    <row r="405" spans="1:7" x14ac:dyDescent="0.55000000000000004">
      <c r="A405">
        <v>16</v>
      </c>
      <c r="B405" s="15" t="str">
        <f t="shared" si="9"/>
        <v>16_0</v>
      </c>
      <c r="C405" t="s">
        <v>91</v>
      </c>
      <c r="D405" t="s">
        <v>92</v>
      </c>
      <c r="E405" t="s">
        <v>60</v>
      </c>
      <c r="F405">
        <v>0</v>
      </c>
    </row>
    <row r="406" spans="1:7" x14ac:dyDescent="0.55000000000000004">
      <c r="A406">
        <v>16</v>
      </c>
      <c r="B406" s="15" t="str">
        <f t="shared" si="9"/>
        <v>16_0</v>
      </c>
      <c r="C406" t="s">
        <v>91</v>
      </c>
      <c r="D406" t="s">
        <v>93</v>
      </c>
    </row>
    <row r="407" spans="1:7" x14ac:dyDescent="0.55000000000000004">
      <c r="A407">
        <v>16</v>
      </c>
      <c r="B407" s="15" t="str">
        <f t="shared" si="9"/>
        <v>16_0</v>
      </c>
      <c r="C407" t="s">
        <v>91</v>
      </c>
      <c r="D407" t="s">
        <v>94</v>
      </c>
      <c r="E407" t="s">
        <v>68</v>
      </c>
      <c r="F407">
        <v>0</v>
      </c>
    </row>
    <row r="408" spans="1:7" x14ac:dyDescent="0.55000000000000004">
      <c r="A408">
        <v>16</v>
      </c>
      <c r="B408" s="15" t="str">
        <f t="shared" si="9"/>
        <v>16_0</v>
      </c>
      <c r="C408" t="s">
        <v>91</v>
      </c>
      <c r="D408" t="s">
        <v>95</v>
      </c>
    </row>
    <row r="409" spans="1:7" x14ac:dyDescent="0.55000000000000004">
      <c r="A409">
        <v>17</v>
      </c>
      <c r="B409" s="15" t="str">
        <f t="shared" si="9"/>
        <v>17_0</v>
      </c>
      <c r="C409" t="s">
        <v>55</v>
      </c>
      <c r="D409" t="s">
        <v>56</v>
      </c>
      <c r="E409" t="s">
        <v>57</v>
      </c>
      <c r="F409" s="1"/>
      <c r="G409" t="s">
        <v>58</v>
      </c>
    </row>
    <row r="410" spans="1:7" x14ac:dyDescent="0.55000000000000004">
      <c r="A410">
        <v>17</v>
      </c>
      <c r="B410" s="15" t="str">
        <f t="shared" si="9"/>
        <v>17_0</v>
      </c>
      <c r="C410" t="s">
        <v>55</v>
      </c>
      <c r="D410" s="19" t="s">
        <v>59</v>
      </c>
      <c r="E410" t="s">
        <v>60</v>
      </c>
      <c r="F410">
        <v>1</v>
      </c>
    </row>
    <row r="411" spans="1:7" x14ac:dyDescent="0.55000000000000004">
      <c r="A411">
        <v>17</v>
      </c>
      <c r="B411" s="15" t="str">
        <f t="shared" si="9"/>
        <v>17_0</v>
      </c>
      <c r="C411" t="s">
        <v>55</v>
      </c>
      <c r="D411" t="s">
        <v>61</v>
      </c>
      <c r="E411" t="s">
        <v>62</v>
      </c>
    </row>
    <row r="412" spans="1:7" x14ac:dyDescent="0.55000000000000004">
      <c r="A412">
        <v>17</v>
      </c>
      <c r="B412" s="15" t="str">
        <f t="shared" si="9"/>
        <v>17_0</v>
      </c>
      <c r="C412" t="s">
        <v>55</v>
      </c>
      <c r="D412" t="s">
        <v>63</v>
      </c>
      <c r="E412" t="s">
        <v>62</v>
      </c>
      <c r="F412">
        <v>0.7</v>
      </c>
    </row>
    <row r="413" spans="1:7" x14ac:dyDescent="0.55000000000000004">
      <c r="A413">
        <v>17</v>
      </c>
      <c r="B413" s="15" t="str">
        <f t="shared" si="9"/>
        <v>17_0</v>
      </c>
      <c r="C413" t="s">
        <v>55</v>
      </c>
      <c r="D413" t="s">
        <v>64</v>
      </c>
      <c r="E413" t="s">
        <v>65</v>
      </c>
      <c r="F413">
        <f>F412/10</f>
        <v>6.9999999999999993E-2</v>
      </c>
      <c r="G413" t="s">
        <v>66</v>
      </c>
    </row>
    <row r="414" spans="1:7" x14ac:dyDescent="0.55000000000000004">
      <c r="A414">
        <v>17</v>
      </c>
      <c r="B414" s="15" t="str">
        <f t="shared" si="9"/>
        <v>17_0</v>
      </c>
      <c r="C414" t="s">
        <v>55</v>
      </c>
      <c r="D414" s="20" t="s">
        <v>67</v>
      </c>
      <c r="E414" t="s">
        <v>68</v>
      </c>
      <c r="F414">
        <v>100</v>
      </c>
    </row>
    <row r="415" spans="1:7" x14ac:dyDescent="0.55000000000000004">
      <c r="A415">
        <v>17</v>
      </c>
      <c r="B415" s="15" t="str">
        <f t="shared" si="9"/>
        <v>17_0</v>
      </c>
      <c r="C415" t="s">
        <v>55</v>
      </c>
      <c r="D415" s="20" t="s">
        <v>69</v>
      </c>
      <c r="F415" t="s">
        <v>172</v>
      </c>
    </row>
    <row r="416" spans="1:7" x14ac:dyDescent="0.55000000000000004">
      <c r="A416">
        <v>17</v>
      </c>
      <c r="B416" s="15" t="str">
        <f t="shared" si="9"/>
        <v>17_0</v>
      </c>
      <c r="C416" t="s">
        <v>55</v>
      </c>
      <c r="D416" s="20" t="s">
        <v>70</v>
      </c>
      <c r="E416" t="s">
        <v>68</v>
      </c>
      <c r="F416">
        <v>100</v>
      </c>
    </row>
    <row r="417" spans="1:6" x14ac:dyDescent="0.55000000000000004">
      <c r="A417">
        <v>17</v>
      </c>
      <c r="B417" s="15" t="str">
        <f t="shared" si="9"/>
        <v>17_0</v>
      </c>
      <c r="C417" t="s">
        <v>55</v>
      </c>
      <c r="D417" t="s">
        <v>71</v>
      </c>
      <c r="E417" t="s">
        <v>68</v>
      </c>
      <c r="F417">
        <v>0</v>
      </c>
    </row>
    <row r="418" spans="1:6" x14ac:dyDescent="0.55000000000000004">
      <c r="A418">
        <v>17</v>
      </c>
      <c r="B418" s="15" t="str">
        <f t="shared" si="9"/>
        <v>17_0</v>
      </c>
      <c r="C418" t="s">
        <v>55</v>
      </c>
      <c r="D418" t="s">
        <v>72</v>
      </c>
      <c r="E418" t="s">
        <v>60</v>
      </c>
      <c r="F418">
        <v>0</v>
      </c>
    </row>
    <row r="419" spans="1:6" x14ac:dyDescent="0.55000000000000004">
      <c r="A419">
        <v>17</v>
      </c>
      <c r="B419" s="15" t="str">
        <f t="shared" si="9"/>
        <v>17_0</v>
      </c>
      <c r="C419" t="s">
        <v>55</v>
      </c>
      <c r="D419" t="s">
        <v>73</v>
      </c>
      <c r="E419" t="s">
        <v>68</v>
      </c>
      <c r="F419">
        <v>50</v>
      </c>
    </row>
    <row r="420" spans="1:6" x14ac:dyDescent="0.55000000000000004">
      <c r="A420">
        <v>17</v>
      </c>
      <c r="B420" s="15" t="str">
        <f t="shared" si="9"/>
        <v>17_0</v>
      </c>
      <c r="C420" t="s">
        <v>55</v>
      </c>
      <c r="D420" t="s">
        <v>74</v>
      </c>
      <c r="E420" t="s">
        <v>68</v>
      </c>
      <c r="F420">
        <v>0</v>
      </c>
    </row>
    <row r="421" spans="1:6" x14ac:dyDescent="0.55000000000000004">
      <c r="A421">
        <v>17</v>
      </c>
      <c r="B421" s="15" t="str">
        <f t="shared" ref="B421:B486" si="10">A421 &amp; "_0"</f>
        <v>17_0</v>
      </c>
      <c r="C421" t="s">
        <v>55</v>
      </c>
      <c r="D421" t="s">
        <v>75</v>
      </c>
      <c r="E421" t="s">
        <v>68</v>
      </c>
      <c r="F421">
        <v>0</v>
      </c>
    </row>
    <row r="422" spans="1:6" x14ac:dyDescent="0.55000000000000004">
      <c r="A422">
        <v>17</v>
      </c>
      <c r="B422" s="15" t="str">
        <f t="shared" si="10"/>
        <v>17_0</v>
      </c>
      <c r="C422" t="s">
        <v>55</v>
      </c>
      <c r="D422" t="s">
        <v>76</v>
      </c>
      <c r="E422" t="s">
        <v>68</v>
      </c>
      <c r="F422">
        <v>0</v>
      </c>
    </row>
    <row r="423" spans="1:6" x14ac:dyDescent="0.55000000000000004">
      <c r="A423">
        <v>17</v>
      </c>
      <c r="B423" s="15" t="str">
        <f t="shared" si="10"/>
        <v>17_0</v>
      </c>
      <c r="C423" t="s">
        <v>55</v>
      </c>
      <c r="D423" t="s">
        <v>77</v>
      </c>
      <c r="E423" t="s">
        <v>68</v>
      </c>
      <c r="F423">
        <v>20</v>
      </c>
    </row>
    <row r="424" spans="1:6" x14ac:dyDescent="0.55000000000000004">
      <c r="A424">
        <v>17</v>
      </c>
      <c r="B424" s="15" t="str">
        <f t="shared" si="10"/>
        <v>17_0</v>
      </c>
      <c r="C424" t="s">
        <v>55</v>
      </c>
      <c r="D424" t="s">
        <v>78</v>
      </c>
      <c r="E424" t="s">
        <v>68</v>
      </c>
      <c r="F424">
        <v>0</v>
      </c>
    </row>
    <row r="425" spans="1:6" x14ac:dyDescent="0.55000000000000004">
      <c r="A425">
        <v>17</v>
      </c>
      <c r="B425" s="15" t="str">
        <f t="shared" si="10"/>
        <v>17_0</v>
      </c>
      <c r="C425" t="s">
        <v>55</v>
      </c>
      <c r="D425" t="s">
        <v>79</v>
      </c>
      <c r="E425" t="s">
        <v>68</v>
      </c>
      <c r="F425">
        <v>30</v>
      </c>
    </row>
    <row r="426" spans="1:6" x14ac:dyDescent="0.55000000000000004">
      <c r="A426">
        <v>17</v>
      </c>
      <c r="B426" s="15" t="str">
        <f t="shared" si="10"/>
        <v>17_0</v>
      </c>
      <c r="C426" t="s">
        <v>55</v>
      </c>
      <c r="D426" t="s">
        <v>80</v>
      </c>
      <c r="E426" t="s">
        <v>68</v>
      </c>
      <c r="F426">
        <v>0</v>
      </c>
    </row>
    <row r="427" spans="1:6" x14ac:dyDescent="0.55000000000000004">
      <c r="A427">
        <v>17</v>
      </c>
      <c r="B427" s="15" t="str">
        <f t="shared" si="10"/>
        <v>17_0</v>
      </c>
      <c r="C427" t="s">
        <v>55</v>
      </c>
      <c r="D427" t="s">
        <v>81</v>
      </c>
      <c r="E427" t="s">
        <v>82</v>
      </c>
    </row>
    <row r="428" spans="1:6" x14ac:dyDescent="0.55000000000000004">
      <c r="A428">
        <v>17</v>
      </c>
      <c r="B428" s="15" t="str">
        <f t="shared" si="10"/>
        <v>17_0</v>
      </c>
      <c r="C428" t="s">
        <v>83</v>
      </c>
      <c r="D428" t="s">
        <v>84</v>
      </c>
      <c r="E428" t="s">
        <v>85</v>
      </c>
      <c r="F428">
        <v>23.2</v>
      </c>
    </row>
    <row r="429" spans="1:6" x14ac:dyDescent="0.55000000000000004">
      <c r="A429">
        <v>17</v>
      </c>
      <c r="B429" s="15" t="str">
        <f t="shared" si="10"/>
        <v>17_0</v>
      </c>
      <c r="C429" t="s">
        <v>83</v>
      </c>
      <c r="D429" t="s">
        <v>86</v>
      </c>
      <c r="E429" t="s">
        <v>87</v>
      </c>
      <c r="F429">
        <v>8.99</v>
      </c>
    </row>
    <row r="430" spans="1:6" x14ac:dyDescent="0.55000000000000004">
      <c r="A430">
        <v>17</v>
      </c>
      <c r="B430" s="15" t="str">
        <f t="shared" si="10"/>
        <v>17_0</v>
      </c>
      <c r="C430" t="s">
        <v>83</v>
      </c>
      <c r="D430" t="s">
        <v>88</v>
      </c>
      <c r="E430" t="s">
        <v>68</v>
      </c>
      <c r="F430">
        <v>105.3</v>
      </c>
    </row>
    <row r="431" spans="1:6" x14ac:dyDescent="0.55000000000000004">
      <c r="A431">
        <v>17</v>
      </c>
      <c r="B431" s="15" t="str">
        <f t="shared" si="10"/>
        <v>17_0</v>
      </c>
      <c r="C431" t="s">
        <v>83</v>
      </c>
      <c r="D431" t="s">
        <v>312</v>
      </c>
      <c r="E431" t="s">
        <v>89</v>
      </c>
      <c r="F431">
        <v>160.9</v>
      </c>
    </row>
    <row r="432" spans="1:6" x14ac:dyDescent="0.55000000000000004">
      <c r="A432">
        <f>A431</f>
        <v>17</v>
      </c>
      <c r="B432" s="15" t="str">
        <f>B431</f>
        <v>17_0</v>
      </c>
      <c r="C432" t="str">
        <f>C431</f>
        <v>Chemical</v>
      </c>
      <c r="D432" t="s">
        <v>313</v>
      </c>
      <c r="E432" t="s">
        <v>89</v>
      </c>
      <c r="F432">
        <f xml:space="preserve"> F431 / (1 + 0.021 * (F428 - 25))</f>
        <v>167.2209519850343</v>
      </c>
    </row>
    <row r="433" spans="1:7" x14ac:dyDescent="0.55000000000000004">
      <c r="A433">
        <v>17</v>
      </c>
      <c r="B433" s="15" t="str">
        <f t="shared" si="10"/>
        <v>17_0</v>
      </c>
      <c r="C433" t="s">
        <v>83</v>
      </c>
      <c r="D433" t="s">
        <v>90</v>
      </c>
      <c r="F433">
        <v>8.23</v>
      </c>
    </row>
    <row r="434" spans="1:7" x14ac:dyDescent="0.55000000000000004">
      <c r="A434">
        <v>17</v>
      </c>
      <c r="B434" s="15" t="str">
        <f t="shared" si="10"/>
        <v>17_0</v>
      </c>
      <c r="C434" t="s">
        <v>91</v>
      </c>
      <c r="D434" t="s">
        <v>92</v>
      </c>
      <c r="E434" t="s">
        <v>60</v>
      </c>
      <c r="F434">
        <v>1</v>
      </c>
    </row>
    <row r="435" spans="1:7" x14ac:dyDescent="0.55000000000000004">
      <c r="A435">
        <v>17</v>
      </c>
      <c r="B435" s="15" t="str">
        <f t="shared" si="10"/>
        <v>17_0</v>
      </c>
      <c r="C435" t="s">
        <v>91</v>
      </c>
      <c r="D435" t="s">
        <v>93</v>
      </c>
      <c r="F435" t="s">
        <v>170</v>
      </c>
    </row>
    <row r="436" spans="1:7" x14ac:dyDescent="0.55000000000000004">
      <c r="A436">
        <v>17</v>
      </c>
      <c r="B436" s="15" t="str">
        <f t="shared" si="10"/>
        <v>17_0</v>
      </c>
      <c r="C436" t="s">
        <v>91</v>
      </c>
      <c r="D436" t="s">
        <v>94</v>
      </c>
      <c r="E436" t="s">
        <v>68</v>
      </c>
      <c r="F436">
        <v>6</v>
      </c>
    </row>
    <row r="437" spans="1:7" x14ac:dyDescent="0.55000000000000004">
      <c r="A437">
        <v>17</v>
      </c>
      <c r="B437" s="15" t="str">
        <f t="shared" si="10"/>
        <v>17_0</v>
      </c>
      <c r="C437" t="s">
        <v>91</v>
      </c>
      <c r="D437" t="s">
        <v>95</v>
      </c>
    </row>
    <row r="438" spans="1:7" x14ac:dyDescent="0.55000000000000004">
      <c r="A438">
        <v>18</v>
      </c>
      <c r="B438" s="15" t="str">
        <f t="shared" si="10"/>
        <v>18_0</v>
      </c>
      <c r="C438" t="s">
        <v>55</v>
      </c>
      <c r="D438" t="s">
        <v>56</v>
      </c>
      <c r="E438" t="s">
        <v>57</v>
      </c>
      <c r="F438" s="1"/>
      <c r="G438" t="s">
        <v>58</v>
      </c>
    </row>
    <row r="439" spans="1:7" x14ac:dyDescent="0.55000000000000004">
      <c r="A439">
        <v>18</v>
      </c>
      <c r="B439" s="15" t="str">
        <f t="shared" si="10"/>
        <v>18_0</v>
      </c>
      <c r="C439" t="s">
        <v>55</v>
      </c>
      <c r="D439" s="19" t="s">
        <v>59</v>
      </c>
      <c r="E439" t="s">
        <v>60</v>
      </c>
      <c r="F439">
        <v>1</v>
      </c>
    </row>
    <row r="440" spans="1:7" x14ac:dyDescent="0.55000000000000004">
      <c r="A440">
        <v>18</v>
      </c>
      <c r="B440" s="15" t="str">
        <f t="shared" si="10"/>
        <v>18_0</v>
      </c>
      <c r="C440" t="s">
        <v>55</v>
      </c>
      <c r="D440" t="s">
        <v>61</v>
      </c>
      <c r="E440" t="s">
        <v>62</v>
      </c>
    </row>
    <row r="441" spans="1:7" x14ac:dyDescent="0.55000000000000004">
      <c r="A441">
        <v>18</v>
      </c>
      <c r="B441" s="15" t="str">
        <f t="shared" si="10"/>
        <v>18_0</v>
      </c>
      <c r="C441" t="s">
        <v>55</v>
      </c>
      <c r="D441" t="s">
        <v>63</v>
      </c>
      <c r="E441" t="s">
        <v>62</v>
      </c>
      <c r="F441">
        <v>0.5</v>
      </c>
    </row>
    <row r="442" spans="1:7" x14ac:dyDescent="0.55000000000000004">
      <c r="A442">
        <v>18</v>
      </c>
      <c r="B442" s="15" t="str">
        <f t="shared" si="10"/>
        <v>18_0</v>
      </c>
      <c r="C442" t="s">
        <v>55</v>
      </c>
      <c r="D442" t="s">
        <v>64</v>
      </c>
      <c r="E442" t="s">
        <v>65</v>
      </c>
      <c r="F442">
        <f>F441/10</f>
        <v>0.05</v>
      </c>
      <c r="G442" t="s">
        <v>66</v>
      </c>
    </row>
    <row r="443" spans="1:7" x14ac:dyDescent="0.55000000000000004">
      <c r="A443">
        <v>18</v>
      </c>
      <c r="B443" s="15" t="str">
        <f t="shared" si="10"/>
        <v>18_0</v>
      </c>
      <c r="C443" t="s">
        <v>55</v>
      </c>
      <c r="D443" s="20" t="s">
        <v>67</v>
      </c>
      <c r="E443" t="s">
        <v>68</v>
      </c>
      <c r="F443">
        <v>100</v>
      </c>
    </row>
    <row r="444" spans="1:7" x14ac:dyDescent="0.55000000000000004">
      <c r="A444">
        <v>18</v>
      </c>
      <c r="B444" s="15" t="str">
        <f t="shared" si="10"/>
        <v>18_0</v>
      </c>
      <c r="C444" t="s">
        <v>55</v>
      </c>
      <c r="D444" s="20" t="s">
        <v>69</v>
      </c>
      <c r="F444" t="s">
        <v>172</v>
      </c>
    </row>
    <row r="445" spans="1:7" x14ac:dyDescent="0.55000000000000004">
      <c r="A445">
        <v>18</v>
      </c>
      <c r="B445" s="15" t="str">
        <f t="shared" si="10"/>
        <v>18_0</v>
      </c>
      <c r="C445" t="s">
        <v>55</v>
      </c>
      <c r="D445" s="20" t="s">
        <v>70</v>
      </c>
      <c r="E445" t="s">
        <v>68</v>
      </c>
      <c r="F445">
        <v>100</v>
      </c>
    </row>
    <row r="446" spans="1:7" x14ac:dyDescent="0.55000000000000004">
      <c r="A446">
        <v>18</v>
      </c>
      <c r="B446" s="15" t="str">
        <f t="shared" si="10"/>
        <v>18_0</v>
      </c>
      <c r="C446" t="s">
        <v>55</v>
      </c>
      <c r="D446" t="s">
        <v>71</v>
      </c>
      <c r="E446" t="s">
        <v>68</v>
      </c>
      <c r="F446">
        <v>0</v>
      </c>
    </row>
    <row r="447" spans="1:7" x14ac:dyDescent="0.55000000000000004">
      <c r="A447">
        <v>18</v>
      </c>
      <c r="B447" s="15" t="str">
        <f t="shared" si="10"/>
        <v>18_0</v>
      </c>
      <c r="C447" t="s">
        <v>55</v>
      </c>
      <c r="D447" t="s">
        <v>72</v>
      </c>
      <c r="E447" t="s">
        <v>60</v>
      </c>
      <c r="F447">
        <v>0</v>
      </c>
    </row>
    <row r="448" spans="1:7" x14ac:dyDescent="0.55000000000000004">
      <c r="A448">
        <v>18</v>
      </c>
      <c r="B448" s="15" t="str">
        <f t="shared" si="10"/>
        <v>18_0</v>
      </c>
      <c r="C448" t="s">
        <v>55</v>
      </c>
      <c r="D448" t="s">
        <v>73</v>
      </c>
      <c r="E448" t="s">
        <v>68</v>
      </c>
      <c r="F448">
        <v>50</v>
      </c>
    </row>
    <row r="449" spans="1:6" x14ac:dyDescent="0.55000000000000004">
      <c r="A449">
        <v>18</v>
      </c>
      <c r="B449" s="15" t="str">
        <f t="shared" si="10"/>
        <v>18_0</v>
      </c>
      <c r="C449" t="s">
        <v>55</v>
      </c>
      <c r="D449" t="s">
        <v>74</v>
      </c>
      <c r="E449" t="s">
        <v>68</v>
      </c>
      <c r="F449">
        <v>0</v>
      </c>
    </row>
    <row r="450" spans="1:6" x14ac:dyDescent="0.55000000000000004">
      <c r="A450">
        <v>18</v>
      </c>
      <c r="B450" s="15" t="str">
        <f t="shared" si="10"/>
        <v>18_0</v>
      </c>
      <c r="C450" t="s">
        <v>55</v>
      </c>
      <c r="D450" t="s">
        <v>75</v>
      </c>
      <c r="E450" t="s">
        <v>68</v>
      </c>
      <c r="F450">
        <v>0</v>
      </c>
    </row>
    <row r="451" spans="1:6" x14ac:dyDescent="0.55000000000000004">
      <c r="A451">
        <v>18</v>
      </c>
      <c r="B451" s="15" t="str">
        <f t="shared" si="10"/>
        <v>18_0</v>
      </c>
      <c r="C451" t="s">
        <v>55</v>
      </c>
      <c r="D451" t="s">
        <v>76</v>
      </c>
      <c r="E451" t="s">
        <v>68</v>
      </c>
      <c r="F451">
        <v>0</v>
      </c>
    </row>
    <row r="452" spans="1:6" x14ac:dyDescent="0.55000000000000004">
      <c r="A452">
        <v>18</v>
      </c>
      <c r="B452" s="15" t="str">
        <f t="shared" si="10"/>
        <v>18_0</v>
      </c>
      <c r="C452" t="s">
        <v>55</v>
      </c>
      <c r="D452" t="s">
        <v>77</v>
      </c>
      <c r="E452" t="s">
        <v>68</v>
      </c>
      <c r="F452">
        <v>20</v>
      </c>
    </row>
    <row r="453" spans="1:6" x14ac:dyDescent="0.55000000000000004">
      <c r="A453">
        <v>18</v>
      </c>
      <c r="B453" s="15" t="str">
        <f t="shared" si="10"/>
        <v>18_0</v>
      </c>
      <c r="C453" t="s">
        <v>55</v>
      </c>
      <c r="D453" t="s">
        <v>78</v>
      </c>
      <c r="E453" t="s">
        <v>68</v>
      </c>
      <c r="F453">
        <v>0</v>
      </c>
    </row>
    <row r="454" spans="1:6" x14ac:dyDescent="0.55000000000000004">
      <c r="A454">
        <v>18</v>
      </c>
      <c r="B454" s="15" t="str">
        <f t="shared" si="10"/>
        <v>18_0</v>
      </c>
      <c r="C454" t="s">
        <v>55</v>
      </c>
      <c r="D454" t="s">
        <v>79</v>
      </c>
      <c r="E454" t="s">
        <v>68</v>
      </c>
      <c r="F454">
        <v>30</v>
      </c>
    </row>
    <row r="455" spans="1:6" x14ac:dyDescent="0.55000000000000004">
      <c r="A455">
        <v>18</v>
      </c>
      <c r="B455" s="15" t="str">
        <f t="shared" si="10"/>
        <v>18_0</v>
      </c>
      <c r="C455" t="s">
        <v>55</v>
      </c>
      <c r="D455" t="s">
        <v>80</v>
      </c>
      <c r="E455" t="s">
        <v>68</v>
      </c>
      <c r="F455">
        <v>0</v>
      </c>
    </row>
    <row r="456" spans="1:6" x14ac:dyDescent="0.55000000000000004">
      <c r="A456">
        <v>18</v>
      </c>
      <c r="B456" s="15" t="str">
        <f t="shared" si="10"/>
        <v>18_0</v>
      </c>
      <c r="C456" t="s">
        <v>55</v>
      </c>
      <c r="D456" t="s">
        <v>81</v>
      </c>
      <c r="E456" t="s">
        <v>82</v>
      </c>
    </row>
    <row r="457" spans="1:6" x14ac:dyDescent="0.55000000000000004">
      <c r="A457">
        <v>18</v>
      </c>
      <c r="B457" s="15" t="str">
        <f t="shared" si="10"/>
        <v>18_0</v>
      </c>
      <c r="C457" t="s">
        <v>83</v>
      </c>
      <c r="D457" t="s">
        <v>84</v>
      </c>
      <c r="E457" t="s">
        <v>85</v>
      </c>
      <c r="F457">
        <v>23.4</v>
      </c>
    </row>
    <row r="458" spans="1:6" x14ac:dyDescent="0.55000000000000004">
      <c r="A458">
        <v>18</v>
      </c>
      <c r="B458" s="15" t="str">
        <f t="shared" si="10"/>
        <v>18_0</v>
      </c>
      <c r="C458" t="s">
        <v>83</v>
      </c>
      <c r="D458" t="s">
        <v>86</v>
      </c>
      <c r="E458" t="s">
        <v>87</v>
      </c>
      <c r="F458">
        <v>9.08</v>
      </c>
    </row>
    <row r="459" spans="1:6" x14ac:dyDescent="0.55000000000000004">
      <c r="A459">
        <v>18</v>
      </c>
      <c r="B459" s="15" t="str">
        <f t="shared" si="10"/>
        <v>18_0</v>
      </c>
      <c r="C459" t="s">
        <v>83</v>
      </c>
      <c r="D459" t="s">
        <v>88</v>
      </c>
      <c r="E459" t="s">
        <v>68</v>
      </c>
      <c r="F459">
        <v>106.7</v>
      </c>
    </row>
    <row r="460" spans="1:6" x14ac:dyDescent="0.55000000000000004">
      <c r="A460">
        <v>18</v>
      </c>
      <c r="B460" s="15" t="str">
        <f t="shared" si="10"/>
        <v>18_0</v>
      </c>
      <c r="C460" t="s">
        <v>83</v>
      </c>
      <c r="D460" t="s">
        <v>312</v>
      </c>
      <c r="E460" t="s">
        <v>89</v>
      </c>
      <c r="F460">
        <v>160.5</v>
      </c>
    </row>
    <row r="461" spans="1:6" x14ac:dyDescent="0.55000000000000004">
      <c r="A461">
        <f>A460</f>
        <v>18</v>
      </c>
      <c r="B461" s="15" t="str">
        <f>B460</f>
        <v>18_0</v>
      </c>
      <c r="C461" t="str">
        <f>C460</f>
        <v>Chemical</v>
      </c>
      <c r="D461" t="s">
        <v>313</v>
      </c>
      <c r="E461" t="s">
        <v>89</v>
      </c>
      <c r="F461">
        <f xml:space="preserve"> F460 / (1 + 0.021 * (F457 - 25))</f>
        <v>166.08029801324506</v>
      </c>
    </row>
    <row r="462" spans="1:6" x14ac:dyDescent="0.55000000000000004">
      <c r="A462">
        <v>18</v>
      </c>
      <c r="B462" s="15" t="str">
        <f t="shared" si="10"/>
        <v>18_0</v>
      </c>
      <c r="C462" t="s">
        <v>83</v>
      </c>
      <c r="D462" t="s">
        <v>90</v>
      </c>
      <c r="F462">
        <v>8.1</v>
      </c>
    </row>
    <row r="463" spans="1:6" x14ac:dyDescent="0.55000000000000004">
      <c r="A463">
        <v>18</v>
      </c>
      <c r="B463" s="15" t="str">
        <f t="shared" si="10"/>
        <v>18_0</v>
      </c>
      <c r="C463" t="s">
        <v>91</v>
      </c>
      <c r="D463" t="s">
        <v>92</v>
      </c>
      <c r="E463" t="s">
        <v>60</v>
      </c>
      <c r="F463">
        <v>0</v>
      </c>
    </row>
    <row r="464" spans="1:6" x14ac:dyDescent="0.55000000000000004">
      <c r="A464">
        <v>18</v>
      </c>
      <c r="B464" s="15" t="str">
        <f t="shared" si="10"/>
        <v>18_0</v>
      </c>
      <c r="C464" t="s">
        <v>91</v>
      </c>
      <c r="D464" t="s">
        <v>93</v>
      </c>
    </row>
    <row r="465" spans="1:7" x14ac:dyDescent="0.55000000000000004">
      <c r="A465">
        <v>18</v>
      </c>
      <c r="B465" s="15" t="str">
        <f t="shared" si="10"/>
        <v>18_0</v>
      </c>
      <c r="C465" t="s">
        <v>91</v>
      </c>
      <c r="D465" t="s">
        <v>94</v>
      </c>
      <c r="E465" t="s">
        <v>68</v>
      </c>
      <c r="F465">
        <v>2</v>
      </c>
    </row>
    <row r="466" spans="1:7" x14ac:dyDescent="0.55000000000000004">
      <c r="A466">
        <v>18</v>
      </c>
      <c r="B466" s="15" t="str">
        <f t="shared" si="10"/>
        <v>18_0</v>
      </c>
      <c r="C466" t="s">
        <v>91</v>
      </c>
      <c r="D466" t="s">
        <v>95</v>
      </c>
    </row>
    <row r="467" spans="1:7" x14ac:dyDescent="0.55000000000000004">
      <c r="A467">
        <v>19</v>
      </c>
      <c r="B467" s="15" t="str">
        <f t="shared" si="10"/>
        <v>19_0</v>
      </c>
      <c r="C467" t="s">
        <v>55</v>
      </c>
      <c r="D467" t="s">
        <v>56</v>
      </c>
      <c r="E467" t="s">
        <v>57</v>
      </c>
      <c r="F467" s="1"/>
      <c r="G467" t="s">
        <v>58</v>
      </c>
    </row>
    <row r="468" spans="1:7" x14ac:dyDescent="0.55000000000000004">
      <c r="A468">
        <v>19</v>
      </c>
      <c r="B468" s="15" t="str">
        <f t="shared" si="10"/>
        <v>19_0</v>
      </c>
      <c r="C468" t="s">
        <v>55</v>
      </c>
      <c r="D468" s="19" t="s">
        <v>59</v>
      </c>
      <c r="E468" t="s">
        <v>60</v>
      </c>
      <c r="F468">
        <v>1</v>
      </c>
    </row>
    <row r="469" spans="1:7" x14ac:dyDescent="0.55000000000000004">
      <c r="A469">
        <v>19</v>
      </c>
      <c r="B469" s="15" t="str">
        <f t="shared" si="10"/>
        <v>19_0</v>
      </c>
      <c r="C469" t="s">
        <v>55</v>
      </c>
      <c r="D469" t="s">
        <v>61</v>
      </c>
      <c r="E469" t="s">
        <v>62</v>
      </c>
    </row>
    <row r="470" spans="1:7" x14ac:dyDescent="0.55000000000000004">
      <c r="A470">
        <v>19</v>
      </c>
      <c r="B470" s="15" t="str">
        <f t="shared" si="10"/>
        <v>19_0</v>
      </c>
      <c r="C470" t="s">
        <v>55</v>
      </c>
      <c r="D470" t="s">
        <v>63</v>
      </c>
      <c r="E470" t="s">
        <v>62</v>
      </c>
      <c r="F470">
        <v>0.8</v>
      </c>
    </row>
    <row r="471" spans="1:7" x14ac:dyDescent="0.55000000000000004">
      <c r="A471">
        <v>19</v>
      </c>
      <c r="B471" s="15" t="str">
        <f t="shared" si="10"/>
        <v>19_0</v>
      </c>
      <c r="C471" t="s">
        <v>55</v>
      </c>
      <c r="D471" t="s">
        <v>64</v>
      </c>
      <c r="E471" t="s">
        <v>65</v>
      </c>
      <c r="F471">
        <f>F470/10</f>
        <v>0.08</v>
      </c>
      <c r="G471" t="s">
        <v>66</v>
      </c>
    </row>
    <row r="472" spans="1:7" x14ac:dyDescent="0.55000000000000004">
      <c r="A472">
        <v>19</v>
      </c>
      <c r="B472" s="15" t="str">
        <f t="shared" si="10"/>
        <v>19_0</v>
      </c>
      <c r="C472" t="s">
        <v>55</v>
      </c>
      <c r="D472" s="20" t="s">
        <v>67</v>
      </c>
      <c r="E472" t="s">
        <v>68</v>
      </c>
      <c r="F472">
        <v>100</v>
      </c>
    </row>
    <row r="473" spans="1:7" x14ac:dyDescent="0.55000000000000004">
      <c r="A473">
        <v>19</v>
      </c>
      <c r="B473" s="15" t="str">
        <f t="shared" si="10"/>
        <v>19_0</v>
      </c>
      <c r="C473" t="s">
        <v>55</v>
      </c>
      <c r="D473" s="20" t="s">
        <v>69</v>
      </c>
      <c r="F473" t="s">
        <v>172</v>
      </c>
    </row>
    <row r="474" spans="1:7" x14ac:dyDescent="0.55000000000000004">
      <c r="A474">
        <v>19</v>
      </c>
      <c r="B474" s="15" t="str">
        <f t="shared" si="10"/>
        <v>19_0</v>
      </c>
      <c r="C474" t="s">
        <v>55</v>
      </c>
      <c r="D474" s="20" t="s">
        <v>70</v>
      </c>
      <c r="E474" t="s">
        <v>68</v>
      </c>
      <c r="F474">
        <v>100</v>
      </c>
    </row>
    <row r="475" spans="1:7" x14ac:dyDescent="0.55000000000000004">
      <c r="A475">
        <v>19</v>
      </c>
      <c r="B475" s="15" t="str">
        <f t="shared" si="10"/>
        <v>19_0</v>
      </c>
      <c r="C475" t="s">
        <v>55</v>
      </c>
      <c r="D475" t="s">
        <v>71</v>
      </c>
      <c r="E475" t="s">
        <v>68</v>
      </c>
      <c r="F475">
        <v>0</v>
      </c>
    </row>
    <row r="476" spans="1:7" x14ac:dyDescent="0.55000000000000004">
      <c r="A476">
        <v>19</v>
      </c>
      <c r="B476" s="15" t="str">
        <f t="shared" si="10"/>
        <v>19_0</v>
      </c>
      <c r="C476" t="s">
        <v>55</v>
      </c>
      <c r="D476" t="s">
        <v>72</v>
      </c>
      <c r="E476" t="s">
        <v>60</v>
      </c>
      <c r="F476">
        <v>0</v>
      </c>
    </row>
    <row r="477" spans="1:7" x14ac:dyDescent="0.55000000000000004">
      <c r="A477">
        <v>19</v>
      </c>
      <c r="B477" s="15" t="str">
        <f t="shared" si="10"/>
        <v>19_0</v>
      </c>
      <c r="C477" t="s">
        <v>55</v>
      </c>
      <c r="D477" t="s">
        <v>73</v>
      </c>
      <c r="E477" t="s">
        <v>68</v>
      </c>
      <c r="F477">
        <v>0</v>
      </c>
    </row>
    <row r="478" spans="1:7" x14ac:dyDescent="0.55000000000000004">
      <c r="A478">
        <v>19</v>
      </c>
      <c r="B478" s="15" t="str">
        <f t="shared" si="10"/>
        <v>19_0</v>
      </c>
      <c r="C478" t="s">
        <v>55</v>
      </c>
      <c r="D478" t="s">
        <v>74</v>
      </c>
      <c r="E478" t="s">
        <v>68</v>
      </c>
      <c r="F478">
        <v>50</v>
      </c>
    </row>
    <row r="479" spans="1:7" x14ac:dyDescent="0.55000000000000004">
      <c r="A479">
        <v>19</v>
      </c>
      <c r="B479" s="15" t="str">
        <f t="shared" si="10"/>
        <v>19_0</v>
      </c>
      <c r="C479" t="s">
        <v>55</v>
      </c>
      <c r="D479" t="s">
        <v>75</v>
      </c>
      <c r="E479" t="s">
        <v>68</v>
      </c>
      <c r="F479">
        <v>0</v>
      </c>
    </row>
    <row r="480" spans="1:7" x14ac:dyDescent="0.55000000000000004">
      <c r="A480">
        <v>19</v>
      </c>
      <c r="B480" s="15" t="str">
        <f t="shared" si="10"/>
        <v>19_0</v>
      </c>
      <c r="C480" t="s">
        <v>55</v>
      </c>
      <c r="D480" t="s">
        <v>76</v>
      </c>
      <c r="E480" t="s">
        <v>68</v>
      </c>
      <c r="F480">
        <v>0</v>
      </c>
    </row>
    <row r="481" spans="1:7" x14ac:dyDescent="0.55000000000000004">
      <c r="A481">
        <v>19</v>
      </c>
      <c r="B481" s="15" t="str">
        <f t="shared" si="10"/>
        <v>19_0</v>
      </c>
      <c r="C481" t="s">
        <v>55</v>
      </c>
      <c r="D481" t="s">
        <v>77</v>
      </c>
      <c r="E481" t="s">
        <v>68</v>
      </c>
      <c r="F481">
        <v>50</v>
      </c>
    </row>
    <row r="482" spans="1:7" x14ac:dyDescent="0.55000000000000004">
      <c r="A482">
        <v>19</v>
      </c>
      <c r="B482" s="15" t="str">
        <f t="shared" si="10"/>
        <v>19_0</v>
      </c>
      <c r="C482" t="s">
        <v>55</v>
      </c>
      <c r="D482" t="s">
        <v>78</v>
      </c>
      <c r="E482" t="s">
        <v>68</v>
      </c>
      <c r="F482">
        <v>0</v>
      </c>
    </row>
    <row r="483" spans="1:7" x14ac:dyDescent="0.55000000000000004">
      <c r="A483">
        <v>19</v>
      </c>
      <c r="B483" s="15" t="str">
        <f t="shared" si="10"/>
        <v>19_0</v>
      </c>
      <c r="C483" t="s">
        <v>55</v>
      </c>
      <c r="D483" t="s">
        <v>79</v>
      </c>
      <c r="E483" t="s">
        <v>68</v>
      </c>
      <c r="F483">
        <v>0</v>
      </c>
    </row>
    <row r="484" spans="1:7" x14ac:dyDescent="0.55000000000000004">
      <c r="A484">
        <v>19</v>
      </c>
      <c r="B484" s="15" t="str">
        <f t="shared" si="10"/>
        <v>19_0</v>
      </c>
      <c r="C484" t="s">
        <v>55</v>
      </c>
      <c r="D484" t="s">
        <v>80</v>
      </c>
      <c r="E484" t="s">
        <v>68</v>
      </c>
      <c r="F484">
        <v>0</v>
      </c>
    </row>
    <row r="485" spans="1:7" x14ac:dyDescent="0.55000000000000004">
      <c r="A485">
        <v>19</v>
      </c>
      <c r="B485" s="15" t="str">
        <f t="shared" si="10"/>
        <v>19_0</v>
      </c>
      <c r="C485" t="s">
        <v>55</v>
      </c>
      <c r="D485" t="s">
        <v>81</v>
      </c>
      <c r="E485" t="s">
        <v>82</v>
      </c>
    </row>
    <row r="486" spans="1:7" x14ac:dyDescent="0.55000000000000004">
      <c r="A486">
        <v>19</v>
      </c>
      <c r="B486" s="15" t="str">
        <f t="shared" si="10"/>
        <v>19_0</v>
      </c>
      <c r="C486" t="s">
        <v>83</v>
      </c>
      <c r="D486" t="s">
        <v>84</v>
      </c>
      <c r="E486" t="s">
        <v>85</v>
      </c>
      <c r="F486">
        <v>25.3</v>
      </c>
    </row>
    <row r="487" spans="1:7" x14ac:dyDescent="0.55000000000000004">
      <c r="A487">
        <v>19</v>
      </c>
      <c r="B487" s="15" t="str">
        <f t="shared" ref="B487:B553" si="11">A487 &amp; "_0"</f>
        <v>19_0</v>
      </c>
      <c r="C487" t="s">
        <v>83</v>
      </c>
      <c r="D487" t="s">
        <v>86</v>
      </c>
      <c r="E487" t="s">
        <v>87</v>
      </c>
      <c r="F487">
        <v>9.66</v>
      </c>
    </row>
    <row r="488" spans="1:7" x14ac:dyDescent="0.55000000000000004">
      <c r="A488">
        <v>19</v>
      </c>
      <c r="B488" s="15" t="str">
        <f t="shared" si="11"/>
        <v>19_0</v>
      </c>
      <c r="C488" t="s">
        <v>83</v>
      </c>
      <c r="D488" t="s">
        <v>88</v>
      </c>
      <c r="E488" t="s">
        <v>68</v>
      </c>
      <c r="F488">
        <v>116.8</v>
      </c>
    </row>
    <row r="489" spans="1:7" x14ac:dyDescent="0.55000000000000004">
      <c r="A489">
        <v>19</v>
      </c>
      <c r="B489" s="15" t="str">
        <f t="shared" si="11"/>
        <v>19_0</v>
      </c>
      <c r="C489" t="s">
        <v>83</v>
      </c>
      <c r="D489" t="s">
        <v>312</v>
      </c>
      <c r="E489" t="s">
        <v>89</v>
      </c>
      <c r="F489">
        <v>159.80000000000001</v>
      </c>
    </row>
    <row r="490" spans="1:7" x14ac:dyDescent="0.55000000000000004">
      <c r="A490">
        <f>A489</f>
        <v>19</v>
      </c>
      <c r="B490" s="15" t="str">
        <f>B489</f>
        <v>19_0</v>
      </c>
      <c r="C490" t="str">
        <f>C489</f>
        <v>Chemical</v>
      </c>
      <c r="D490" t="s">
        <v>313</v>
      </c>
      <c r="E490" t="s">
        <v>89</v>
      </c>
      <c r="F490">
        <f xml:space="preserve"> F489 / (1 + 0.021 * (F486 - 25))</f>
        <v>158.79956275464573</v>
      </c>
    </row>
    <row r="491" spans="1:7" x14ac:dyDescent="0.55000000000000004">
      <c r="A491">
        <v>19</v>
      </c>
      <c r="B491" s="15" t="str">
        <f t="shared" si="11"/>
        <v>19_0</v>
      </c>
      <c r="C491" t="s">
        <v>83</v>
      </c>
      <c r="D491" t="s">
        <v>90</v>
      </c>
      <c r="F491">
        <v>8.52</v>
      </c>
    </row>
    <row r="492" spans="1:7" x14ac:dyDescent="0.55000000000000004">
      <c r="A492">
        <v>19</v>
      </c>
      <c r="B492" s="15" t="str">
        <f t="shared" si="11"/>
        <v>19_0</v>
      </c>
      <c r="C492" t="s">
        <v>91</v>
      </c>
      <c r="D492" t="s">
        <v>92</v>
      </c>
      <c r="E492" t="s">
        <v>60</v>
      </c>
      <c r="F492">
        <v>0</v>
      </c>
    </row>
    <row r="493" spans="1:7" x14ac:dyDescent="0.55000000000000004">
      <c r="A493">
        <v>19</v>
      </c>
      <c r="B493" s="15" t="str">
        <f t="shared" si="11"/>
        <v>19_0</v>
      </c>
      <c r="C493" t="s">
        <v>91</v>
      </c>
      <c r="D493" t="s">
        <v>93</v>
      </c>
    </row>
    <row r="494" spans="1:7" x14ac:dyDescent="0.55000000000000004">
      <c r="A494">
        <v>19</v>
      </c>
      <c r="B494" s="15" t="str">
        <f t="shared" si="11"/>
        <v>19_0</v>
      </c>
      <c r="C494" t="s">
        <v>91</v>
      </c>
      <c r="D494" t="s">
        <v>94</v>
      </c>
      <c r="E494" t="s">
        <v>68</v>
      </c>
      <c r="F494">
        <v>30</v>
      </c>
    </row>
    <row r="495" spans="1:7" x14ac:dyDescent="0.55000000000000004">
      <c r="A495">
        <v>19</v>
      </c>
      <c r="B495" s="15" t="str">
        <f t="shared" si="11"/>
        <v>19_0</v>
      </c>
      <c r="C495" t="s">
        <v>91</v>
      </c>
      <c r="D495" t="s">
        <v>95</v>
      </c>
    </row>
    <row r="496" spans="1:7" x14ac:dyDescent="0.55000000000000004">
      <c r="A496">
        <v>20</v>
      </c>
      <c r="B496" s="15" t="str">
        <f t="shared" si="11"/>
        <v>20_0</v>
      </c>
      <c r="C496" t="s">
        <v>55</v>
      </c>
      <c r="D496" t="s">
        <v>56</v>
      </c>
      <c r="E496" t="s">
        <v>57</v>
      </c>
      <c r="F496" s="1"/>
      <c r="G496" t="s">
        <v>58</v>
      </c>
    </row>
    <row r="497" spans="1:7" x14ac:dyDescent="0.55000000000000004">
      <c r="A497">
        <v>20</v>
      </c>
      <c r="B497" s="15" t="str">
        <f t="shared" si="11"/>
        <v>20_0</v>
      </c>
      <c r="C497" t="s">
        <v>55</v>
      </c>
      <c r="D497" s="19" t="s">
        <v>59</v>
      </c>
      <c r="E497" t="s">
        <v>60</v>
      </c>
      <c r="F497">
        <v>1</v>
      </c>
    </row>
    <row r="498" spans="1:7" x14ac:dyDescent="0.55000000000000004">
      <c r="A498">
        <v>20</v>
      </c>
      <c r="B498" s="15" t="str">
        <f t="shared" si="11"/>
        <v>20_0</v>
      </c>
      <c r="C498" t="s">
        <v>55</v>
      </c>
      <c r="D498" t="s">
        <v>61</v>
      </c>
      <c r="E498" t="s">
        <v>62</v>
      </c>
    </row>
    <row r="499" spans="1:7" x14ac:dyDescent="0.55000000000000004">
      <c r="A499">
        <v>20</v>
      </c>
      <c r="B499" s="15" t="str">
        <f t="shared" si="11"/>
        <v>20_0</v>
      </c>
      <c r="C499" t="s">
        <v>55</v>
      </c>
      <c r="D499" t="s">
        <v>63</v>
      </c>
      <c r="E499" t="s">
        <v>62</v>
      </c>
      <c r="F499">
        <v>1.1000000000000001</v>
      </c>
    </row>
    <row r="500" spans="1:7" x14ac:dyDescent="0.55000000000000004">
      <c r="A500">
        <v>20</v>
      </c>
      <c r="B500" s="15" t="str">
        <f t="shared" si="11"/>
        <v>20_0</v>
      </c>
      <c r="C500" t="s">
        <v>55</v>
      </c>
      <c r="D500" t="s">
        <v>64</v>
      </c>
      <c r="E500" t="s">
        <v>65</v>
      </c>
      <c r="F500">
        <f>F499/10</f>
        <v>0.11000000000000001</v>
      </c>
      <c r="G500" t="s">
        <v>66</v>
      </c>
    </row>
    <row r="501" spans="1:7" x14ac:dyDescent="0.55000000000000004">
      <c r="A501">
        <v>20</v>
      </c>
      <c r="B501" s="15" t="str">
        <f t="shared" si="11"/>
        <v>20_0</v>
      </c>
      <c r="C501" t="s">
        <v>55</v>
      </c>
      <c r="D501" s="20" t="s">
        <v>67</v>
      </c>
      <c r="E501" t="s">
        <v>68</v>
      </c>
      <c r="F501">
        <v>100</v>
      </c>
    </row>
    <row r="502" spans="1:7" x14ac:dyDescent="0.55000000000000004">
      <c r="A502">
        <v>20</v>
      </c>
      <c r="B502" s="15" t="str">
        <f t="shared" si="11"/>
        <v>20_0</v>
      </c>
      <c r="C502" t="s">
        <v>55</v>
      </c>
      <c r="D502" s="20" t="s">
        <v>69</v>
      </c>
      <c r="F502" t="s">
        <v>172</v>
      </c>
    </row>
    <row r="503" spans="1:7" x14ac:dyDescent="0.55000000000000004">
      <c r="A503">
        <v>20</v>
      </c>
      <c r="B503" s="15" t="str">
        <f t="shared" si="11"/>
        <v>20_0</v>
      </c>
      <c r="C503" t="s">
        <v>55</v>
      </c>
      <c r="D503" s="20" t="s">
        <v>70</v>
      </c>
      <c r="E503" t="s">
        <v>68</v>
      </c>
      <c r="F503">
        <v>100</v>
      </c>
    </row>
    <row r="504" spans="1:7" x14ac:dyDescent="0.55000000000000004">
      <c r="A504">
        <v>20</v>
      </c>
      <c r="B504" s="15" t="str">
        <f t="shared" si="11"/>
        <v>20_0</v>
      </c>
      <c r="C504" t="s">
        <v>55</v>
      </c>
      <c r="D504" t="s">
        <v>71</v>
      </c>
      <c r="E504" t="s">
        <v>68</v>
      </c>
      <c r="F504">
        <v>0</v>
      </c>
    </row>
    <row r="505" spans="1:7" x14ac:dyDescent="0.55000000000000004">
      <c r="A505">
        <v>20</v>
      </c>
      <c r="B505" s="15" t="str">
        <f t="shared" si="11"/>
        <v>20_0</v>
      </c>
      <c r="C505" t="s">
        <v>55</v>
      </c>
      <c r="D505" t="s">
        <v>72</v>
      </c>
      <c r="E505" t="s">
        <v>60</v>
      </c>
      <c r="F505">
        <v>0</v>
      </c>
    </row>
    <row r="506" spans="1:7" x14ac:dyDescent="0.55000000000000004">
      <c r="A506">
        <v>20</v>
      </c>
      <c r="B506" s="15" t="str">
        <f t="shared" si="11"/>
        <v>20_0</v>
      </c>
      <c r="C506" t="s">
        <v>55</v>
      </c>
      <c r="D506" t="s">
        <v>73</v>
      </c>
      <c r="E506" t="s">
        <v>68</v>
      </c>
      <c r="F506">
        <v>0</v>
      </c>
    </row>
    <row r="507" spans="1:7" x14ac:dyDescent="0.55000000000000004">
      <c r="A507">
        <v>20</v>
      </c>
      <c r="B507" s="15" t="str">
        <f t="shared" si="11"/>
        <v>20_0</v>
      </c>
      <c r="C507" t="s">
        <v>55</v>
      </c>
      <c r="D507" t="s">
        <v>74</v>
      </c>
      <c r="E507" t="s">
        <v>68</v>
      </c>
      <c r="F507">
        <v>80</v>
      </c>
    </row>
    <row r="508" spans="1:7" x14ac:dyDescent="0.55000000000000004">
      <c r="A508">
        <v>20</v>
      </c>
      <c r="B508" s="15" t="str">
        <f t="shared" si="11"/>
        <v>20_0</v>
      </c>
      <c r="C508" t="s">
        <v>55</v>
      </c>
      <c r="D508" t="s">
        <v>75</v>
      </c>
      <c r="E508" t="s">
        <v>68</v>
      </c>
      <c r="F508">
        <v>0</v>
      </c>
    </row>
    <row r="509" spans="1:7" x14ac:dyDescent="0.55000000000000004">
      <c r="A509">
        <v>20</v>
      </c>
      <c r="B509" s="15" t="str">
        <f t="shared" si="11"/>
        <v>20_0</v>
      </c>
      <c r="C509" t="s">
        <v>55</v>
      </c>
      <c r="D509" t="s">
        <v>76</v>
      </c>
      <c r="E509" t="s">
        <v>68</v>
      </c>
      <c r="F509">
        <v>0</v>
      </c>
    </row>
    <row r="510" spans="1:7" x14ac:dyDescent="0.55000000000000004">
      <c r="A510">
        <v>20</v>
      </c>
      <c r="B510" s="15" t="str">
        <f t="shared" si="11"/>
        <v>20_0</v>
      </c>
      <c r="C510" t="s">
        <v>55</v>
      </c>
      <c r="D510" t="s">
        <v>77</v>
      </c>
      <c r="E510" t="s">
        <v>68</v>
      </c>
      <c r="F510">
        <v>20</v>
      </c>
    </row>
    <row r="511" spans="1:7" x14ac:dyDescent="0.55000000000000004">
      <c r="A511">
        <v>20</v>
      </c>
      <c r="B511" s="15" t="str">
        <f t="shared" si="11"/>
        <v>20_0</v>
      </c>
      <c r="C511" t="s">
        <v>55</v>
      </c>
      <c r="D511" t="s">
        <v>78</v>
      </c>
      <c r="E511" t="s">
        <v>68</v>
      </c>
      <c r="F511">
        <v>0</v>
      </c>
    </row>
    <row r="512" spans="1:7" x14ac:dyDescent="0.55000000000000004">
      <c r="A512">
        <v>20</v>
      </c>
      <c r="B512" s="15" t="str">
        <f t="shared" si="11"/>
        <v>20_0</v>
      </c>
      <c r="C512" t="s">
        <v>55</v>
      </c>
      <c r="D512" t="s">
        <v>79</v>
      </c>
      <c r="E512" t="s">
        <v>68</v>
      </c>
      <c r="F512">
        <v>0</v>
      </c>
    </row>
    <row r="513" spans="1:7" x14ac:dyDescent="0.55000000000000004">
      <c r="A513">
        <v>20</v>
      </c>
      <c r="B513" s="15" t="str">
        <f t="shared" si="11"/>
        <v>20_0</v>
      </c>
      <c r="C513" t="s">
        <v>55</v>
      </c>
      <c r="D513" t="s">
        <v>80</v>
      </c>
      <c r="E513" t="s">
        <v>68</v>
      </c>
      <c r="F513">
        <v>0</v>
      </c>
    </row>
    <row r="514" spans="1:7" x14ac:dyDescent="0.55000000000000004">
      <c r="A514">
        <v>20</v>
      </c>
      <c r="B514" s="15" t="str">
        <f t="shared" si="11"/>
        <v>20_0</v>
      </c>
      <c r="C514" t="s">
        <v>55</v>
      </c>
      <c r="D514" t="s">
        <v>81</v>
      </c>
      <c r="E514" t="s">
        <v>82</v>
      </c>
    </row>
    <row r="515" spans="1:7" x14ac:dyDescent="0.55000000000000004">
      <c r="A515">
        <v>20</v>
      </c>
      <c r="B515" s="15" t="str">
        <f t="shared" si="11"/>
        <v>20_0</v>
      </c>
      <c r="C515" t="s">
        <v>83</v>
      </c>
      <c r="D515" t="s">
        <v>84</v>
      </c>
      <c r="E515" t="s">
        <v>85</v>
      </c>
      <c r="F515">
        <v>25.4</v>
      </c>
    </row>
    <row r="516" spans="1:7" x14ac:dyDescent="0.55000000000000004">
      <c r="A516">
        <v>20</v>
      </c>
      <c r="B516" s="15" t="str">
        <f t="shared" si="11"/>
        <v>20_0</v>
      </c>
      <c r="C516" t="s">
        <v>83</v>
      </c>
      <c r="D516" t="s">
        <v>86</v>
      </c>
      <c r="E516" t="s">
        <v>87</v>
      </c>
      <c r="F516">
        <v>9.86</v>
      </c>
    </row>
    <row r="517" spans="1:7" x14ac:dyDescent="0.55000000000000004">
      <c r="A517">
        <v>20</v>
      </c>
      <c r="B517" s="15" t="str">
        <f t="shared" si="11"/>
        <v>20_0</v>
      </c>
      <c r="C517" t="s">
        <v>83</v>
      </c>
      <c r="D517" t="s">
        <v>88</v>
      </c>
      <c r="E517" t="s">
        <v>68</v>
      </c>
      <c r="F517">
        <v>120.1</v>
      </c>
    </row>
    <row r="518" spans="1:7" x14ac:dyDescent="0.55000000000000004">
      <c r="A518">
        <v>20</v>
      </c>
      <c r="B518" s="15" t="str">
        <f t="shared" si="11"/>
        <v>20_0</v>
      </c>
      <c r="C518" t="s">
        <v>83</v>
      </c>
      <c r="D518" t="s">
        <v>312</v>
      </c>
      <c r="E518" t="s">
        <v>89</v>
      </c>
      <c r="F518">
        <v>161.19999999999999</v>
      </c>
    </row>
    <row r="519" spans="1:7" x14ac:dyDescent="0.55000000000000004">
      <c r="A519">
        <f>A518</f>
        <v>20</v>
      </c>
      <c r="B519" s="15" t="str">
        <f>B518</f>
        <v>20_0</v>
      </c>
      <c r="C519" t="str">
        <f>C518</f>
        <v>Chemical</v>
      </c>
      <c r="D519" t="s">
        <v>313</v>
      </c>
      <c r="E519" t="s">
        <v>89</v>
      </c>
      <c r="F519">
        <f xml:space="preserve"> F518 / (1 + 0.021 * (F515 - 25))</f>
        <v>159.85719952399842</v>
      </c>
    </row>
    <row r="520" spans="1:7" x14ac:dyDescent="0.55000000000000004">
      <c r="A520">
        <v>20</v>
      </c>
      <c r="B520" s="15" t="str">
        <f t="shared" si="11"/>
        <v>20_0</v>
      </c>
      <c r="C520" t="s">
        <v>83</v>
      </c>
      <c r="D520" t="s">
        <v>90</v>
      </c>
      <c r="F520">
        <v>8.67</v>
      </c>
    </row>
    <row r="521" spans="1:7" x14ac:dyDescent="0.55000000000000004">
      <c r="A521">
        <v>20</v>
      </c>
      <c r="B521" s="15" t="str">
        <f t="shared" si="11"/>
        <v>20_0</v>
      </c>
      <c r="C521" t="s">
        <v>91</v>
      </c>
      <c r="D521" t="s">
        <v>92</v>
      </c>
      <c r="E521" t="s">
        <v>60</v>
      </c>
      <c r="F521">
        <v>0</v>
      </c>
    </row>
    <row r="522" spans="1:7" x14ac:dyDescent="0.55000000000000004">
      <c r="A522">
        <v>20</v>
      </c>
      <c r="B522" s="15" t="str">
        <f t="shared" si="11"/>
        <v>20_0</v>
      </c>
      <c r="C522" t="s">
        <v>91</v>
      </c>
      <c r="D522" t="s">
        <v>93</v>
      </c>
    </row>
    <row r="523" spans="1:7" x14ac:dyDescent="0.55000000000000004">
      <c r="A523">
        <v>20</v>
      </c>
      <c r="B523" s="15" t="str">
        <f t="shared" si="11"/>
        <v>20_0</v>
      </c>
      <c r="C523" t="s">
        <v>91</v>
      </c>
      <c r="D523" t="s">
        <v>94</v>
      </c>
      <c r="E523" t="s">
        <v>68</v>
      </c>
      <c r="F523">
        <v>7</v>
      </c>
    </row>
    <row r="524" spans="1:7" x14ac:dyDescent="0.55000000000000004">
      <c r="A524">
        <v>20</v>
      </c>
      <c r="B524" s="15" t="str">
        <f t="shared" si="11"/>
        <v>20_0</v>
      </c>
      <c r="C524" t="s">
        <v>91</v>
      </c>
      <c r="D524" t="s">
        <v>95</v>
      </c>
    </row>
    <row r="525" spans="1:7" x14ac:dyDescent="0.55000000000000004">
      <c r="A525">
        <v>21</v>
      </c>
      <c r="B525" s="15" t="str">
        <f t="shared" si="11"/>
        <v>21_0</v>
      </c>
      <c r="C525" t="s">
        <v>55</v>
      </c>
      <c r="D525" t="s">
        <v>56</v>
      </c>
      <c r="E525" t="s">
        <v>57</v>
      </c>
      <c r="F525" s="1"/>
      <c r="G525" t="s">
        <v>58</v>
      </c>
    </row>
    <row r="526" spans="1:7" x14ac:dyDescent="0.55000000000000004">
      <c r="A526">
        <v>21</v>
      </c>
      <c r="B526" s="15" t="str">
        <f t="shared" si="11"/>
        <v>21_0</v>
      </c>
      <c r="C526" t="s">
        <v>55</v>
      </c>
      <c r="D526" s="19" t="s">
        <v>59</v>
      </c>
      <c r="E526" t="s">
        <v>60</v>
      </c>
      <c r="F526">
        <v>1</v>
      </c>
    </row>
    <row r="527" spans="1:7" x14ac:dyDescent="0.55000000000000004">
      <c r="A527">
        <v>21</v>
      </c>
      <c r="B527" s="15" t="str">
        <f t="shared" si="11"/>
        <v>21_0</v>
      </c>
      <c r="C527" t="s">
        <v>55</v>
      </c>
      <c r="D527" t="s">
        <v>61</v>
      </c>
      <c r="E527" t="s">
        <v>62</v>
      </c>
    </row>
    <row r="528" spans="1:7" x14ac:dyDescent="0.55000000000000004">
      <c r="A528">
        <v>21</v>
      </c>
      <c r="B528" s="15" t="str">
        <f t="shared" si="11"/>
        <v>21_0</v>
      </c>
      <c r="C528" t="s">
        <v>55</v>
      </c>
      <c r="D528" t="s">
        <v>63</v>
      </c>
      <c r="E528" t="s">
        <v>62</v>
      </c>
      <c r="F528">
        <v>0.8</v>
      </c>
    </row>
    <row r="529" spans="1:7" x14ac:dyDescent="0.55000000000000004">
      <c r="A529">
        <v>21</v>
      </c>
      <c r="B529" s="15" t="str">
        <f t="shared" si="11"/>
        <v>21_0</v>
      </c>
      <c r="C529" t="s">
        <v>55</v>
      </c>
      <c r="D529" t="s">
        <v>64</v>
      </c>
      <c r="E529" t="s">
        <v>65</v>
      </c>
      <c r="F529">
        <f>F528/10</f>
        <v>0.08</v>
      </c>
      <c r="G529" t="s">
        <v>66</v>
      </c>
    </row>
    <row r="530" spans="1:7" x14ac:dyDescent="0.55000000000000004">
      <c r="A530">
        <v>21</v>
      </c>
      <c r="B530" s="15" t="str">
        <f t="shared" si="11"/>
        <v>21_0</v>
      </c>
      <c r="C530" t="s">
        <v>55</v>
      </c>
      <c r="D530" s="20" t="s">
        <v>67</v>
      </c>
      <c r="E530" t="s">
        <v>68</v>
      </c>
      <c r="F530">
        <v>100</v>
      </c>
    </row>
    <row r="531" spans="1:7" x14ac:dyDescent="0.55000000000000004">
      <c r="A531">
        <v>21</v>
      </c>
      <c r="B531" s="15" t="str">
        <f t="shared" si="11"/>
        <v>21_0</v>
      </c>
      <c r="C531" t="s">
        <v>55</v>
      </c>
      <c r="D531" s="20" t="s">
        <v>69</v>
      </c>
      <c r="F531" t="s">
        <v>172</v>
      </c>
    </row>
    <row r="532" spans="1:7" x14ac:dyDescent="0.55000000000000004">
      <c r="A532">
        <v>21</v>
      </c>
      <c r="B532" s="15" t="str">
        <f t="shared" si="11"/>
        <v>21_0</v>
      </c>
      <c r="C532" t="s">
        <v>55</v>
      </c>
      <c r="D532" s="20" t="s">
        <v>70</v>
      </c>
      <c r="E532" t="s">
        <v>68</v>
      </c>
      <c r="F532">
        <v>100</v>
      </c>
    </row>
    <row r="533" spans="1:7" x14ac:dyDescent="0.55000000000000004">
      <c r="A533">
        <v>21</v>
      </c>
      <c r="B533" s="15" t="str">
        <f t="shared" si="11"/>
        <v>21_0</v>
      </c>
      <c r="C533" t="s">
        <v>55</v>
      </c>
      <c r="D533" t="s">
        <v>71</v>
      </c>
      <c r="E533" t="s">
        <v>68</v>
      </c>
      <c r="F533">
        <v>0</v>
      </c>
    </row>
    <row r="534" spans="1:7" x14ac:dyDescent="0.55000000000000004">
      <c r="A534">
        <v>21</v>
      </c>
      <c r="B534" s="15" t="str">
        <f t="shared" si="11"/>
        <v>21_0</v>
      </c>
      <c r="C534" t="s">
        <v>55</v>
      </c>
      <c r="D534" t="s">
        <v>72</v>
      </c>
      <c r="E534" t="s">
        <v>60</v>
      </c>
      <c r="F534">
        <v>0</v>
      </c>
    </row>
    <row r="535" spans="1:7" x14ac:dyDescent="0.55000000000000004">
      <c r="A535">
        <v>21</v>
      </c>
      <c r="B535" s="15" t="str">
        <f t="shared" si="11"/>
        <v>21_0</v>
      </c>
      <c r="C535" t="s">
        <v>55</v>
      </c>
      <c r="D535" t="s">
        <v>73</v>
      </c>
      <c r="E535" t="s">
        <v>68</v>
      </c>
      <c r="F535">
        <v>0</v>
      </c>
    </row>
    <row r="536" spans="1:7" x14ac:dyDescent="0.55000000000000004">
      <c r="A536">
        <v>21</v>
      </c>
      <c r="B536" s="15" t="str">
        <f t="shared" si="11"/>
        <v>21_0</v>
      </c>
      <c r="C536" t="s">
        <v>55</v>
      </c>
      <c r="D536" t="s">
        <v>74</v>
      </c>
      <c r="E536" t="s">
        <v>68</v>
      </c>
      <c r="F536">
        <v>0</v>
      </c>
    </row>
    <row r="537" spans="1:7" x14ac:dyDescent="0.55000000000000004">
      <c r="A537">
        <v>21</v>
      </c>
      <c r="B537" s="15" t="str">
        <f t="shared" si="11"/>
        <v>21_0</v>
      </c>
      <c r="C537" t="s">
        <v>55</v>
      </c>
      <c r="D537" t="s">
        <v>75</v>
      </c>
      <c r="E537" t="s">
        <v>68</v>
      </c>
      <c r="F537">
        <v>90</v>
      </c>
    </row>
    <row r="538" spans="1:7" x14ac:dyDescent="0.55000000000000004">
      <c r="A538">
        <v>21</v>
      </c>
      <c r="B538" s="15" t="str">
        <f t="shared" si="11"/>
        <v>21_0</v>
      </c>
      <c r="C538" t="s">
        <v>55</v>
      </c>
      <c r="D538" t="s">
        <v>76</v>
      </c>
      <c r="E538" t="s">
        <v>68</v>
      </c>
      <c r="F538">
        <v>0</v>
      </c>
    </row>
    <row r="539" spans="1:7" x14ac:dyDescent="0.55000000000000004">
      <c r="A539">
        <v>21</v>
      </c>
      <c r="B539" s="15" t="str">
        <f t="shared" si="11"/>
        <v>21_0</v>
      </c>
      <c r="C539" t="s">
        <v>55</v>
      </c>
      <c r="D539" t="s">
        <v>77</v>
      </c>
      <c r="E539" t="s">
        <v>68</v>
      </c>
      <c r="F539">
        <v>10</v>
      </c>
    </row>
    <row r="540" spans="1:7" x14ac:dyDescent="0.55000000000000004">
      <c r="A540">
        <v>21</v>
      </c>
      <c r="B540" s="15" t="str">
        <f t="shared" si="11"/>
        <v>21_0</v>
      </c>
      <c r="C540" t="s">
        <v>55</v>
      </c>
      <c r="D540" t="s">
        <v>78</v>
      </c>
      <c r="E540" t="s">
        <v>68</v>
      </c>
      <c r="F540">
        <v>0</v>
      </c>
    </row>
    <row r="541" spans="1:7" x14ac:dyDescent="0.55000000000000004">
      <c r="A541">
        <v>21</v>
      </c>
      <c r="B541" s="15" t="str">
        <f t="shared" si="11"/>
        <v>21_0</v>
      </c>
      <c r="C541" t="s">
        <v>55</v>
      </c>
      <c r="D541" t="s">
        <v>79</v>
      </c>
      <c r="E541" t="s">
        <v>68</v>
      </c>
      <c r="F541">
        <v>0</v>
      </c>
    </row>
    <row r="542" spans="1:7" x14ac:dyDescent="0.55000000000000004">
      <c r="A542">
        <v>21</v>
      </c>
      <c r="B542" s="15" t="str">
        <f t="shared" si="11"/>
        <v>21_0</v>
      </c>
      <c r="C542" t="s">
        <v>55</v>
      </c>
      <c r="D542" t="s">
        <v>80</v>
      </c>
      <c r="E542" t="s">
        <v>68</v>
      </c>
      <c r="F542">
        <v>0</v>
      </c>
    </row>
    <row r="543" spans="1:7" x14ac:dyDescent="0.55000000000000004">
      <c r="A543">
        <v>21</v>
      </c>
      <c r="B543" s="15" t="str">
        <f t="shared" si="11"/>
        <v>21_0</v>
      </c>
      <c r="C543" t="s">
        <v>55</v>
      </c>
      <c r="D543" t="s">
        <v>81</v>
      </c>
      <c r="E543" t="s">
        <v>82</v>
      </c>
    </row>
    <row r="544" spans="1:7" x14ac:dyDescent="0.55000000000000004">
      <c r="A544">
        <v>21</v>
      </c>
      <c r="B544" s="15" t="str">
        <f t="shared" si="11"/>
        <v>21_0</v>
      </c>
      <c r="C544" t="s">
        <v>83</v>
      </c>
      <c r="D544" t="s">
        <v>84</v>
      </c>
      <c r="E544" t="s">
        <v>85</v>
      </c>
      <c r="F544">
        <v>24.2</v>
      </c>
    </row>
    <row r="545" spans="1:7" x14ac:dyDescent="0.55000000000000004">
      <c r="A545">
        <v>21</v>
      </c>
      <c r="B545" s="15" t="str">
        <f t="shared" si="11"/>
        <v>21_0</v>
      </c>
      <c r="C545" t="s">
        <v>83</v>
      </c>
      <c r="D545" t="s">
        <v>86</v>
      </c>
      <c r="E545" t="s">
        <v>87</v>
      </c>
      <c r="F545">
        <v>10.95</v>
      </c>
    </row>
    <row r="546" spans="1:7" x14ac:dyDescent="0.55000000000000004">
      <c r="A546">
        <v>21</v>
      </c>
      <c r="B546" s="15" t="str">
        <f t="shared" si="11"/>
        <v>21_0</v>
      </c>
      <c r="C546" t="s">
        <v>83</v>
      </c>
      <c r="D546" t="s">
        <v>88</v>
      </c>
      <c r="E546" t="s">
        <v>68</v>
      </c>
      <c r="F546">
        <v>132</v>
      </c>
    </row>
    <row r="547" spans="1:7" x14ac:dyDescent="0.55000000000000004">
      <c r="A547">
        <v>21</v>
      </c>
      <c r="B547" s="15" t="str">
        <f t="shared" si="11"/>
        <v>21_0</v>
      </c>
      <c r="C547" t="s">
        <v>83</v>
      </c>
      <c r="D547" t="s">
        <v>312</v>
      </c>
      <c r="E547" t="s">
        <v>89</v>
      </c>
      <c r="F547">
        <v>160.5</v>
      </c>
    </row>
    <row r="548" spans="1:7" x14ac:dyDescent="0.55000000000000004">
      <c r="A548">
        <f>A547</f>
        <v>21</v>
      </c>
      <c r="B548" s="15" t="str">
        <f>B547</f>
        <v>21_0</v>
      </c>
      <c r="C548" t="str">
        <f>C547</f>
        <v>Chemical</v>
      </c>
      <c r="D548" t="s">
        <v>313</v>
      </c>
      <c r="E548" t="s">
        <v>89</v>
      </c>
      <c r="F548">
        <f xml:space="preserve"> F547 / (1 + 0.021 * (F544 - 25))</f>
        <v>163.24247355573638</v>
      </c>
    </row>
    <row r="549" spans="1:7" x14ac:dyDescent="0.55000000000000004">
      <c r="A549">
        <v>21</v>
      </c>
      <c r="B549" s="15" t="str">
        <f t="shared" si="11"/>
        <v>21_0</v>
      </c>
      <c r="C549" t="s">
        <v>83</v>
      </c>
      <c r="D549" t="s">
        <v>90</v>
      </c>
      <c r="F549">
        <v>9.34</v>
      </c>
    </row>
    <row r="550" spans="1:7" x14ac:dyDescent="0.55000000000000004">
      <c r="A550">
        <v>21</v>
      </c>
      <c r="B550" s="15" t="str">
        <f t="shared" si="11"/>
        <v>21_0</v>
      </c>
      <c r="C550" t="s">
        <v>91</v>
      </c>
      <c r="D550" t="s">
        <v>92</v>
      </c>
      <c r="E550" t="s">
        <v>60</v>
      </c>
      <c r="F550">
        <v>1</v>
      </c>
    </row>
    <row r="551" spans="1:7" x14ac:dyDescent="0.55000000000000004">
      <c r="A551">
        <v>21</v>
      </c>
      <c r="B551" s="15" t="str">
        <f t="shared" si="11"/>
        <v>21_0</v>
      </c>
      <c r="C551" t="s">
        <v>91</v>
      </c>
      <c r="D551" t="s">
        <v>93</v>
      </c>
      <c r="F551" t="s">
        <v>170</v>
      </c>
    </row>
    <row r="552" spans="1:7" x14ac:dyDescent="0.55000000000000004">
      <c r="A552">
        <v>21</v>
      </c>
      <c r="B552" s="15" t="str">
        <f t="shared" si="11"/>
        <v>21_0</v>
      </c>
      <c r="C552" t="s">
        <v>91</v>
      </c>
      <c r="D552" t="s">
        <v>94</v>
      </c>
      <c r="E552" t="s">
        <v>68</v>
      </c>
      <c r="F552">
        <v>4</v>
      </c>
    </row>
    <row r="553" spans="1:7" x14ac:dyDescent="0.55000000000000004">
      <c r="A553">
        <v>21</v>
      </c>
      <c r="B553" s="15" t="str">
        <f t="shared" si="11"/>
        <v>21_0</v>
      </c>
      <c r="C553" t="s">
        <v>91</v>
      </c>
      <c r="D553" t="s">
        <v>95</v>
      </c>
    </row>
    <row r="554" spans="1:7" x14ac:dyDescent="0.55000000000000004">
      <c r="A554">
        <v>22</v>
      </c>
      <c r="B554" s="15" t="str">
        <f t="shared" ref="B554:B582" si="12">A554 &amp; "_0"</f>
        <v>22_0</v>
      </c>
      <c r="C554" t="s">
        <v>55</v>
      </c>
      <c r="D554" t="s">
        <v>56</v>
      </c>
      <c r="E554" t="s">
        <v>57</v>
      </c>
      <c r="F554" s="1"/>
      <c r="G554" t="s">
        <v>58</v>
      </c>
    </row>
    <row r="555" spans="1:7" x14ac:dyDescent="0.55000000000000004">
      <c r="A555">
        <v>22</v>
      </c>
      <c r="B555" s="15" t="str">
        <f t="shared" si="12"/>
        <v>22_0</v>
      </c>
      <c r="C555" t="s">
        <v>55</v>
      </c>
      <c r="D555" s="19" t="s">
        <v>59</v>
      </c>
      <c r="E555" t="s">
        <v>60</v>
      </c>
      <c r="F555">
        <v>1</v>
      </c>
    </row>
    <row r="556" spans="1:7" x14ac:dyDescent="0.55000000000000004">
      <c r="A556">
        <v>22</v>
      </c>
      <c r="B556" s="15" t="str">
        <f t="shared" si="12"/>
        <v>22_0</v>
      </c>
      <c r="C556" t="s">
        <v>55</v>
      </c>
      <c r="D556" t="s">
        <v>61</v>
      </c>
      <c r="E556" t="s">
        <v>62</v>
      </c>
    </row>
    <row r="557" spans="1:7" x14ac:dyDescent="0.55000000000000004">
      <c r="A557">
        <v>22</v>
      </c>
      <c r="B557" s="15" t="str">
        <f t="shared" si="12"/>
        <v>22_0</v>
      </c>
      <c r="C557" t="s">
        <v>55</v>
      </c>
      <c r="D557" t="s">
        <v>63</v>
      </c>
      <c r="E557" t="s">
        <v>62</v>
      </c>
      <c r="F557">
        <v>0.9</v>
      </c>
    </row>
    <row r="558" spans="1:7" x14ac:dyDescent="0.55000000000000004">
      <c r="A558">
        <v>22</v>
      </c>
      <c r="B558" s="15" t="str">
        <f t="shared" si="12"/>
        <v>22_0</v>
      </c>
      <c r="C558" t="s">
        <v>55</v>
      </c>
      <c r="D558" t="s">
        <v>64</v>
      </c>
      <c r="E558" t="s">
        <v>65</v>
      </c>
      <c r="F558">
        <f>F557/10</f>
        <v>0.09</v>
      </c>
      <c r="G558" t="s">
        <v>66</v>
      </c>
    </row>
    <row r="559" spans="1:7" x14ac:dyDescent="0.55000000000000004">
      <c r="A559">
        <v>22</v>
      </c>
      <c r="B559" s="15" t="str">
        <f t="shared" si="12"/>
        <v>22_0</v>
      </c>
      <c r="C559" t="s">
        <v>55</v>
      </c>
      <c r="D559" s="20" t="s">
        <v>67</v>
      </c>
      <c r="E559" t="s">
        <v>68</v>
      </c>
      <c r="F559">
        <v>100</v>
      </c>
    </row>
    <row r="560" spans="1:7" x14ac:dyDescent="0.55000000000000004">
      <c r="A560">
        <v>22</v>
      </c>
      <c r="B560" s="15" t="str">
        <f t="shared" si="12"/>
        <v>22_0</v>
      </c>
      <c r="C560" t="s">
        <v>55</v>
      </c>
      <c r="D560" s="20" t="s">
        <v>69</v>
      </c>
      <c r="F560" t="s">
        <v>172</v>
      </c>
    </row>
    <row r="561" spans="1:6" x14ac:dyDescent="0.55000000000000004">
      <c r="A561">
        <v>22</v>
      </c>
      <c r="B561" s="15" t="str">
        <f t="shared" si="12"/>
        <v>22_0</v>
      </c>
      <c r="C561" t="s">
        <v>55</v>
      </c>
      <c r="D561" s="20" t="s">
        <v>70</v>
      </c>
      <c r="E561" t="s">
        <v>68</v>
      </c>
      <c r="F561">
        <v>100</v>
      </c>
    </row>
    <row r="562" spans="1:6" x14ac:dyDescent="0.55000000000000004">
      <c r="A562">
        <v>22</v>
      </c>
      <c r="B562" s="15" t="str">
        <f t="shared" si="12"/>
        <v>22_0</v>
      </c>
      <c r="C562" t="s">
        <v>55</v>
      </c>
      <c r="D562" t="s">
        <v>71</v>
      </c>
      <c r="E562" t="s">
        <v>68</v>
      </c>
      <c r="F562">
        <v>0</v>
      </c>
    </row>
    <row r="563" spans="1:6" x14ac:dyDescent="0.55000000000000004">
      <c r="A563">
        <v>22</v>
      </c>
      <c r="B563" s="15" t="str">
        <f t="shared" si="12"/>
        <v>22_0</v>
      </c>
      <c r="C563" t="s">
        <v>55</v>
      </c>
      <c r="D563" t="s">
        <v>72</v>
      </c>
      <c r="E563" t="s">
        <v>60</v>
      </c>
      <c r="F563">
        <v>0</v>
      </c>
    </row>
    <row r="564" spans="1:6" x14ac:dyDescent="0.55000000000000004">
      <c r="A564">
        <v>22</v>
      </c>
      <c r="B564" s="15" t="str">
        <f t="shared" si="12"/>
        <v>22_0</v>
      </c>
      <c r="C564" t="s">
        <v>55</v>
      </c>
      <c r="D564" t="s">
        <v>73</v>
      </c>
      <c r="E564" t="s">
        <v>68</v>
      </c>
      <c r="F564">
        <v>0</v>
      </c>
    </row>
    <row r="565" spans="1:6" x14ac:dyDescent="0.55000000000000004">
      <c r="A565">
        <v>22</v>
      </c>
      <c r="B565" s="15" t="str">
        <f t="shared" si="12"/>
        <v>22_0</v>
      </c>
      <c r="C565" t="s">
        <v>55</v>
      </c>
      <c r="D565" t="s">
        <v>74</v>
      </c>
      <c r="E565" t="s">
        <v>68</v>
      </c>
      <c r="F565">
        <v>0</v>
      </c>
    </row>
    <row r="566" spans="1:6" x14ac:dyDescent="0.55000000000000004">
      <c r="A566">
        <v>22</v>
      </c>
      <c r="B566" s="15" t="str">
        <f t="shared" si="12"/>
        <v>22_0</v>
      </c>
      <c r="C566" t="s">
        <v>55</v>
      </c>
      <c r="D566" t="s">
        <v>75</v>
      </c>
      <c r="E566" t="s">
        <v>68</v>
      </c>
      <c r="F566">
        <v>90</v>
      </c>
    </row>
    <row r="567" spans="1:6" x14ac:dyDescent="0.55000000000000004">
      <c r="A567">
        <v>22</v>
      </c>
      <c r="B567" s="15" t="str">
        <f t="shared" si="12"/>
        <v>22_0</v>
      </c>
      <c r="C567" t="s">
        <v>55</v>
      </c>
      <c r="D567" t="s">
        <v>76</v>
      </c>
      <c r="E567" t="s">
        <v>68</v>
      </c>
      <c r="F567">
        <v>0</v>
      </c>
    </row>
    <row r="568" spans="1:6" x14ac:dyDescent="0.55000000000000004">
      <c r="A568">
        <v>22</v>
      </c>
      <c r="B568" s="15" t="str">
        <f t="shared" si="12"/>
        <v>22_0</v>
      </c>
      <c r="C568" t="s">
        <v>55</v>
      </c>
      <c r="D568" t="s">
        <v>77</v>
      </c>
      <c r="E568" t="s">
        <v>68</v>
      </c>
      <c r="F568">
        <v>10</v>
      </c>
    </row>
    <row r="569" spans="1:6" x14ac:dyDescent="0.55000000000000004">
      <c r="A569">
        <v>22</v>
      </c>
      <c r="B569" s="15" t="str">
        <f t="shared" si="12"/>
        <v>22_0</v>
      </c>
      <c r="C569" t="s">
        <v>55</v>
      </c>
      <c r="D569" t="s">
        <v>78</v>
      </c>
      <c r="E569" t="s">
        <v>68</v>
      </c>
      <c r="F569">
        <v>0</v>
      </c>
    </row>
    <row r="570" spans="1:6" x14ac:dyDescent="0.55000000000000004">
      <c r="A570">
        <v>22</v>
      </c>
      <c r="B570" s="15" t="str">
        <f t="shared" si="12"/>
        <v>22_0</v>
      </c>
      <c r="C570" t="s">
        <v>55</v>
      </c>
      <c r="D570" t="s">
        <v>79</v>
      </c>
      <c r="E570" t="s">
        <v>68</v>
      </c>
      <c r="F570">
        <v>0</v>
      </c>
    </row>
    <row r="571" spans="1:6" x14ac:dyDescent="0.55000000000000004">
      <c r="A571">
        <v>22</v>
      </c>
      <c r="B571" s="15" t="str">
        <f t="shared" si="12"/>
        <v>22_0</v>
      </c>
      <c r="C571" t="s">
        <v>55</v>
      </c>
      <c r="D571" t="s">
        <v>80</v>
      </c>
      <c r="E571" t="s">
        <v>68</v>
      </c>
      <c r="F571">
        <v>0</v>
      </c>
    </row>
    <row r="572" spans="1:6" x14ac:dyDescent="0.55000000000000004">
      <c r="A572">
        <v>22</v>
      </c>
      <c r="B572" s="15" t="str">
        <f t="shared" si="12"/>
        <v>22_0</v>
      </c>
      <c r="C572" t="s">
        <v>55</v>
      </c>
      <c r="D572" t="s">
        <v>81</v>
      </c>
      <c r="E572" t="s">
        <v>82</v>
      </c>
    </row>
    <row r="573" spans="1:6" x14ac:dyDescent="0.55000000000000004">
      <c r="A573">
        <v>22</v>
      </c>
      <c r="B573" s="15" t="str">
        <f t="shared" si="12"/>
        <v>22_0</v>
      </c>
      <c r="C573" t="s">
        <v>83</v>
      </c>
      <c r="D573" t="s">
        <v>84</v>
      </c>
      <c r="E573" t="s">
        <v>85</v>
      </c>
      <c r="F573">
        <v>24.9</v>
      </c>
    </row>
    <row r="574" spans="1:6" x14ac:dyDescent="0.55000000000000004">
      <c r="A574">
        <v>22</v>
      </c>
      <c r="B574" s="15" t="str">
        <f t="shared" si="12"/>
        <v>22_0</v>
      </c>
      <c r="C574" t="s">
        <v>83</v>
      </c>
      <c r="D574" t="s">
        <v>86</v>
      </c>
      <c r="E574" t="s">
        <v>87</v>
      </c>
      <c r="F574">
        <v>10.9</v>
      </c>
    </row>
    <row r="575" spans="1:6" x14ac:dyDescent="0.55000000000000004">
      <c r="A575">
        <v>22</v>
      </c>
      <c r="B575" s="15" t="str">
        <f t="shared" si="12"/>
        <v>22_0</v>
      </c>
      <c r="C575" t="s">
        <v>83</v>
      </c>
      <c r="D575" t="s">
        <v>88</v>
      </c>
      <c r="E575" t="s">
        <v>68</v>
      </c>
      <c r="F575">
        <v>131.4</v>
      </c>
    </row>
    <row r="576" spans="1:6" x14ac:dyDescent="0.55000000000000004">
      <c r="A576">
        <v>22</v>
      </c>
      <c r="B576" s="15" t="str">
        <f t="shared" si="12"/>
        <v>22_0</v>
      </c>
      <c r="C576" t="s">
        <v>83</v>
      </c>
      <c r="D576" t="s">
        <v>312</v>
      </c>
      <c r="E576" t="s">
        <v>89</v>
      </c>
      <c r="F576">
        <v>159.19999999999999</v>
      </c>
    </row>
    <row r="577" spans="1:6" x14ac:dyDescent="0.55000000000000004">
      <c r="A577">
        <f>A576</f>
        <v>22</v>
      </c>
      <c r="B577" s="15" t="str">
        <f>B576</f>
        <v>22_0</v>
      </c>
      <c r="C577" t="str">
        <f>C576</f>
        <v>Chemical</v>
      </c>
      <c r="D577" t="s">
        <v>313</v>
      </c>
      <c r="E577" t="s">
        <v>89</v>
      </c>
      <c r="F577">
        <f xml:space="preserve"> F576 / (1 + 0.021 * (F573 - 25))</f>
        <v>159.53502354945385</v>
      </c>
    </row>
    <row r="578" spans="1:6" x14ac:dyDescent="0.55000000000000004">
      <c r="A578">
        <v>22</v>
      </c>
      <c r="B578" s="15" t="str">
        <f t="shared" si="12"/>
        <v>22_0</v>
      </c>
      <c r="C578" t="s">
        <v>83</v>
      </c>
      <c r="D578" t="s">
        <v>90</v>
      </c>
      <c r="F578">
        <v>9.07</v>
      </c>
    </row>
    <row r="579" spans="1:6" x14ac:dyDescent="0.55000000000000004">
      <c r="A579">
        <v>22</v>
      </c>
      <c r="B579" s="15" t="str">
        <f t="shared" si="12"/>
        <v>22_0</v>
      </c>
      <c r="C579" t="s">
        <v>91</v>
      </c>
      <c r="D579" t="s">
        <v>92</v>
      </c>
      <c r="E579" t="s">
        <v>60</v>
      </c>
      <c r="F579">
        <v>1</v>
      </c>
    </row>
    <row r="580" spans="1:6" x14ac:dyDescent="0.55000000000000004">
      <c r="A580">
        <v>22</v>
      </c>
      <c r="B580" s="15" t="str">
        <f t="shared" si="12"/>
        <v>22_0</v>
      </c>
      <c r="C580" t="s">
        <v>91</v>
      </c>
      <c r="D580" t="s">
        <v>93</v>
      </c>
      <c r="F580" t="s">
        <v>170</v>
      </c>
    </row>
    <row r="581" spans="1:6" x14ac:dyDescent="0.55000000000000004">
      <c r="A581">
        <v>22</v>
      </c>
      <c r="B581" s="15" t="str">
        <f t="shared" si="12"/>
        <v>22_0</v>
      </c>
      <c r="C581" t="s">
        <v>91</v>
      </c>
      <c r="D581" t="s">
        <v>94</v>
      </c>
      <c r="E581" t="s">
        <v>68</v>
      </c>
      <c r="F581">
        <v>0</v>
      </c>
    </row>
    <row r="582" spans="1:6" x14ac:dyDescent="0.55000000000000004">
      <c r="A582">
        <v>22</v>
      </c>
      <c r="B582" s="15" t="str">
        <f t="shared" si="12"/>
        <v>22_0</v>
      </c>
      <c r="C582" t="s">
        <v>91</v>
      </c>
      <c r="D582" t="s">
        <v>95</v>
      </c>
    </row>
    <row r="583" spans="1:6" x14ac:dyDescent="0.55000000000000004">
      <c r="A583">
        <v>3</v>
      </c>
      <c r="B583" s="15" t="str">
        <f>A583 &amp; "_1"</f>
        <v>3_1</v>
      </c>
      <c r="C583" t="s">
        <v>83</v>
      </c>
      <c r="D583" t="s">
        <v>84</v>
      </c>
      <c r="E583" t="s">
        <v>85</v>
      </c>
      <c r="F583">
        <v>17.899999999999999</v>
      </c>
    </row>
    <row r="584" spans="1:6" x14ac:dyDescent="0.55000000000000004">
      <c r="A584">
        <v>3</v>
      </c>
      <c r="B584" s="15" t="str">
        <f>A584 &amp; "_1"</f>
        <v>3_1</v>
      </c>
      <c r="C584" t="s">
        <v>83</v>
      </c>
      <c r="D584" t="s">
        <v>86</v>
      </c>
      <c r="E584" t="s">
        <v>87</v>
      </c>
      <c r="F584">
        <v>10.18</v>
      </c>
    </row>
    <row r="585" spans="1:6" x14ac:dyDescent="0.55000000000000004">
      <c r="A585">
        <v>3</v>
      </c>
      <c r="B585" s="15" t="str">
        <f>A585 &amp; "_1"</f>
        <v>3_1</v>
      </c>
      <c r="C585" t="s">
        <v>83</v>
      </c>
      <c r="D585" t="s">
        <v>88</v>
      </c>
      <c r="E585" t="s">
        <v>68</v>
      </c>
      <c r="F585">
        <v>107.2</v>
      </c>
    </row>
    <row r="586" spans="1:6" x14ac:dyDescent="0.55000000000000004">
      <c r="A586">
        <v>3</v>
      </c>
      <c r="B586" s="15" t="str">
        <f>A586 &amp; "_1"</f>
        <v>3_1</v>
      </c>
      <c r="C586" t="s">
        <v>83</v>
      </c>
      <c r="D586" t="s">
        <v>312</v>
      </c>
      <c r="E586" t="s">
        <v>89</v>
      </c>
      <c r="F586">
        <v>129</v>
      </c>
    </row>
    <row r="587" spans="1:6" x14ac:dyDescent="0.55000000000000004">
      <c r="A587">
        <f>A586</f>
        <v>3</v>
      </c>
      <c r="B587" s="15" t="str">
        <f>B586</f>
        <v>3_1</v>
      </c>
      <c r="C587" t="str">
        <f>C586</f>
        <v>Chemical</v>
      </c>
      <c r="D587" t="s">
        <v>313</v>
      </c>
      <c r="E587" t="s">
        <v>89</v>
      </c>
      <c r="F587">
        <f xml:space="preserve"> F586 / (1 + 0.021 * (F583 - 25))</f>
        <v>151.60418380538255</v>
      </c>
    </row>
    <row r="588" spans="1:6" x14ac:dyDescent="0.55000000000000004">
      <c r="A588">
        <v>3</v>
      </c>
      <c r="B588" s="15" t="str">
        <f>A588 &amp; "_1"</f>
        <v>3_1</v>
      </c>
      <c r="C588" t="s">
        <v>83</v>
      </c>
      <c r="D588" t="s">
        <v>90</v>
      </c>
      <c r="F588">
        <v>7.42</v>
      </c>
    </row>
    <row r="589" spans="1:6" x14ac:dyDescent="0.55000000000000004">
      <c r="A589">
        <v>4</v>
      </c>
      <c r="B589" s="15" t="str">
        <f t="shared" ref="B589" si="13">A589 &amp; "_1"</f>
        <v>4_1</v>
      </c>
      <c r="C589" t="s">
        <v>83</v>
      </c>
      <c r="D589" t="s">
        <v>84</v>
      </c>
      <c r="E589" t="s">
        <v>85</v>
      </c>
      <c r="F589">
        <v>17.600000000000001</v>
      </c>
    </row>
    <row r="590" spans="1:6" x14ac:dyDescent="0.55000000000000004">
      <c r="A590">
        <v>4</v>
      </c>
      <c r="B590" s="15" t="str">
        <f t="shared" ref="B590" si="14">A590 &amp; "_1"</f>
        <v>4_1</v>
      </c>
      <c r="C590" t="s">
        <v>83</v>
      </c>
      <c r="D590" t="s">
        <v>86</v>
      </c>
      <c r="E590" t="s">
        <v>87</v>
      </c>
      <c r="F590">
        <v>10.01</v>
      </c>
    </row>
    <row r="591" spans="1:6" x14ac:dyDescent="0.55000000000000004">
      <c r="A591">
        <v>4</v>
      </c>
      <c r="B591" s="15" t="str">
        <f t="shared" ref="B591" si="15">A591 &amp; "_1"</f>
        <v>4_1</v>
      </c>
      <c r="C591" t="s">
        <v>83</v>
      </c>
      <c r="D591" t="s">
        <v>88</v>
      </c>
      <c r="E591" t="s">
        <v>68</v>
      </c>
      <c r="F591">
        <v>104.8</v>
      </c>
    </row>
    <row r="592" spans="1:6" x14ac:dyDescent="0.55000000000000004">
      <c r="A592">
        <v>4</v>
      </c>
      <c r="B592" s="15" t="str">
        <f t="shared" ref="B592" si="16">A592 &amp; "_1"</f>
        <v>4_1</v>
      </c>
      <c r="C592" t="s">
        <v>83</v>
      </c>
      <c r="D592" t="s">
        <v>312</v>
      </c>
      <c r="E592" t="s">
        <v>89</v>
      </c>
      <c r="F592">
        <v>128.5</v>
      </c>
    </row>
    <row r="593" spans="1:6" x14ac:dyDescent="0.55000000000000004">
      <c r="A593">
        <f>A592</f>
        <v>4</v>
      </c>
      <c r="B593" s="15" t="str">
        <f>B592</f>
        <v>4_1</v>
      </c>
      <c r="C593" t="str">
        <f>C592</f>
        <v>Chemical</v>
      </c>
      <c r="D593" t="s">
        <v>313</v>
      </c>
      <c r="E593" t="s">
        <v>89</v>
      </c>
      <c r="F593">
        <f xml:space="preserve"> F592 / (1 + 0.021 * (F589 - 25))</f>
        <v>152.14302628463179</v>
      </c>
    </row>
    <row r="594" spans="1:6" x14ac:dyDescent="0.55000000000000004">
      <c r="A594">
        <v>4</v>
      </c>
      <c r="B594" s="15" t="str">
        <f t="shared" ref="B594" si="17">A594 &amp; "_1"</f>
        <v>4_1</v>
      </c>
      <c r="C594" t="s">
        <v>83</v>
      </c>
      <c r="D594" t="s">
        <v>90</v>
      </c>
      <c r="F594">
        <v>7.36</v>
      </c>
    </row>
    <row r="595" spans="1:6" x14ac:dyDescent="0.55000000000000004">
      <c r="A595">
        <v>5</v>
      </c>
      <c r="B595" s="15" t="str">
        <f t="shared" ref="B595" si="18">A595 &amp; "_1"</f>
        <v>5_1</v>
      </c>
      <c r="C595" t="s">
        <v>83</v>
      </c>
      <c r="D595" t="s">
        <v>84</v>
      </c>
      <c r="E595" t="s">
        <v>85</v>
      </c>
      <c r="F595">
        <v>17.899999999999999</v>
      </c>
    </row>
    <row r="596" spans="1:6" x14ac:dyDescent="0.55000000000000004">
      <c r="A596">
        <v>5</v>
      </c>
      <c r="B596" s="15" t="str">
        <f t="shared" ref="B596" si="19">A596 &amp; "_1"</f>
        <v>5_1</v>
      </c>
      <c r="C596" t="s">
        <v>83</v>
      </c>
      <c r="D596" t="s">
        <v>86</v>
      </c>
      <c r="E596" t="s">
        <v>87</v>
      </c>
      <c r="F596">
        <v>10.36</v>
      </c>
    </row>
    <row r="597" spans="1:6" x14ac:dyDescent="0.55000000000000004">
      <c r="A597">
        <v>5</v>
      </c>
      <c r="B597" s="15" t="str">
        <f t="shared" ref="B597" si="20">A597 &amp; "_1"</f>
        <v>5_1</v>
      </c>
      <c r="C597" t="s">
        <v>83</v>
      </c>
      <c r="D597" t="s">
        <v>88</v>
      </c>
      <c r="E597" t="s">
        <v>68</v>
      </c>
      <c r="F597">
        <v>109.3</v>
      </c>
    </row>
    <row r="598" spans="1:6" x14ac:dyDescent="0.55000000000000004">
      <c r="A598">
        <v>5</v>
      </c>
      <c r="B598" s="15" t="str">
        <f t="shared" ref="B598" si="21">A598 &amp; "_1"</f>
        <v>5_1</v>
      </c>
      <c r="C598" t="s">
        <v>83</v>
      </c>
      <c r="D598" t="s">
        <v>312</v>
      </c>
      <c r="E598" t="s">
        <v>89</v>
      </c>
      <c r="F598">
        <v>142</v>
      </c>
    </row>
    <row r="599" spans="1:6" x14ac:dyDescent="0.55000000000000004">
      <c r="A599">
        <f>A598</f>
        <v>5</v>
      </c>
      <c r="B599" s="15" t="str">
        <f>B598</f>
        <v>5_1</v>
      </c>
      <c r="C599" t="str">
        <f>C598</f>
        <v>Chemical</v>
      </c>
      <c r="D599" t="s">
        <v>313</v>
      </c>
      <c r="E599" t="s">
        <v>89</v>
      </c>
      <c r="F599">
        <f xml:space="preserve"> F598 / (1 + 0.021 * (F595 - 25))</f>
        <v>166.88212480902573</v>
      </c>
    </row>
    <row r="600" spans="1:6" x14ac:dyDescent="0.55000000000000004">
      <c r="A600">
        <v>5</v>
      </c>
      <c r="B600" s="15" t="str">
        <f t="shared" ref="B600" si="22">A600 &amp; "_1"</f>
        <v>5_1</v>
      </c>
      <c r="C600" t="s">
        <v>83</v>
      </c>
      <c r="D600" t="s">
        <v>90</v>
      </c>
      <c r="F600">
        <v>7.49</v>
      </c>
    </row>
    <row r="601" spans="1:6" x14ac:dyDescent="0.55000000000000004">
      <c r="A601">
        <v>6</v>
      </c>
      <c r="B601" s="15" t="str">
        <f t="shared" ref="B601" si="23">A601 &amp; "_1"</f>
        <v>6_1</v>
      </c>
      <c r="C601" t="s">
        <v>83</v>
      </c>
      <c r="D601" t="s">
        <v>84</v>
      </c>
      <c r="E601" t="s">
        <v>85</v>
      </c>
      <c r="F601">
        <v>17.8</v>
      </c>
    </row>
    <row r="602" spans="1:6" x14ac:dyDescent="0.55000000000000004">
      <c r="A602">
        <v>6</v>
      </c>
      <c r="B602" s="15" t="str">
        <f t="shared" ref="B602" si="24">A602 &amp; "_1"</f>
        <v>6_1</v>
      </c>
      <c r="C602" t="s">
        <v>83</v>
      </c>
      <c r="D602" t="s">
        <v>86</v>
      </c>
      <c r="E602" t="s">
        <v>87</v>
      </c>
      <c r="F602">
        <v>10.199999999999999</v>
      </c>
    </row>
    <row r="603" spans="1:6" x14ac:dyDescent="0.55000000000000004">
      <c r="A603">
        <v>6</v>
      </c>
      <c r="B603" s="15" t="str">
        <f t="shared" ref="B603" si="25">A603 &amp; "_1"</f>
        <v>6_1</v>
      </c>
      <c r="C603" t="s">
        <v>83</v>
      </c>
      <c r="D603" t="s">
        <v>88</v>
      </c>
      <c r="E603" t="s">
        <v>68</v>
      </c>
      <c r="F603">
        <v>107.7</v>
      </c>
    </row>
    <row r="604" spans="1:6" x14ac:dyDescent="0.55000000000000004">
      <c r="A604">
        <v>6</v>
      </c>
      <c r="B604" s="15" t="str">
        <f t="shared" ref="B604" si="26">A604 &amp; "_1"</f>
        <v>6_1</v>
      </c>
      <c r="C604" t="s">
        <v>83</v>
      </c>
      <c r="D604" t="s">
        <v>312</v>
      </c>
      <c r="E604" t="s">
        <v>89</v>
      </c>
      <c r="F604">
        <v>142.69999999999999</v>
      </c>
    </row>
    <row r="605" spans="1:6" x14ac:dyDescent="0.55000000000000004">
      <c r="A605">
        <f>A604</f>
        <v>6</v>
      </c>
      <c r="B605" s="15" t="str">
        <f>B604</f>
        <v>6_1</v>
      </c>
      <c r="C605" t="str">
        <f>C604</f>
        <v>Chemical</v>
      </c>
      <c r="D605" t="s">
        <v>313</v>
      </c>
      <c r="E605" t="s">
        <v>89</v>
      </c>
      <c r="F605">
        <f xml:space="preserve"> F604 / (1 + 0.021 * (F601 - 25))</f>
        <v>168.11969839773798</v>
      </c>
    </row>
    <row r="606" spans="1:6" x14ac:dyDescent="0.55000000000000004">
      <c r="A606">
        <v>6</v>
      </c>
      <c r="B606" s="15" t="str">
        <f t="shared" ref="B606" si="27">A606 &amp; "_1"</f>
        <v>6_1</v>
      </c>
      <c r="C606" t="s">
        <v>83</v>
      </c>
      <c r="D606" t="s">
        <v>90</v>
      </c>
      <c r="F606">
        <v>7.54</v>
      </c>
    </row>
    <row r="607" spans="1:6" x14ac:dyDescent="0.55000000000000004">
      <c r="A607">
        <v>7</v>
      </c>
      <c r="B607" s="15" t="str">
        <f t="shared" ref="B607" si="28">A607 &amp; "_1"</f>
        <v>7_1</v>
      </c>
      <c r="C607" t="s">
        <v>83</v>
      </c>
      <c r="D607" t="s">
        <v>84</v>
      </c>
      <c r="E607" t="s">
        <v>85</v>
      </c>
      <c r="F607">
        <v>16.899999999999999</v>
      </c>
    </row>
    <row r="608" spans="1:6" x14ac:dyDescent="0.55000000000000004">
      <c r="A608">
        <v>7</v>
      </c>
      <c r="B608" s="15" t="str">
        <f t="shared" ref="B608" si="29">A608 &amp; "_1"</f>
        <v>7_1</v>
      </c>
      <c r="C608" t="s">
        <v>83</v>
      </c>
      <c r="D608" t="s">
        <v>86</v>
      </c>
      <c r="E608" t="s">
        <v>87</v>
      </c>
      <c r="F608">
        <v>8.26</v>
      </c>
    </row>
    <row r="609" spans="1:6" x14ac:dyDescent="0.55000000000000004">
      <c r="A609">
        <v>7</v>
      </c>
      <c r="B609" s="15" t="str">
        <f t="shared" ref="B609" si="30">A609 &amp; "_1"</f>
        <v>7_1</v>
      </c>
      <c r="C609" t="s">
        <v>83</v>
      </c>
      <c r="D609" t="s">
        <v>88</v>
      </c>
      <c r="E609" t="s">
        <v>68</v>
      </c>
      <c r="F609">
        <v>85.3</v>
      </c>
    </row>
    <row r="610" spans="1:6" x14ac:dyDescent="0.55000000000000004">
      <c r="A610">
        <v>7</v>
      </c>
      <c r="B610" s="15" t="str">
        <f t="shared" ref="B610" si="31">A610 &amp; "_1"</f>
        <v>7_1</v>
      </c>
      <c r="C610" t="s">
        <v>83</v>
      </c>
      <c r="D610" t="s">
        <v>312</v>
      </c>
      <c r="E610" t="s">
        <v>89</v>
      </c>
      <c r="F610">
        <v>139</v>
      </c>
    </row>
    <row r="611" spans="1:6" x14ac:dyDescent="0.55000000000000004">
      <c r="A611">
        <f>A610</f>
        <v>7</v>
      </c>
      <c r="B611" s="15" t="str">
        <f>B610</f>
        <v>7_1</v>
      </c>
      <c r="C611" t="str">
        <f>C610</f>
        <v>Chemical</v>
      </c>
      <c r="D611" t="s">
        <v>313</v>
      </c>
      <c r="E611" t="s">
        <v>89</v>
      </c>
      <c r="F611">
        <f xml:space="preserve"> F610 / (1 + 0.021 * (F607 - 25))</f>
        <v>167.49005904325824</v>
      </c>
    </row>
    <row r="612" spans="1:6" x14ac:dyDescent="0.55000000000000004">
      <c r="A612">
        <v>7</v>
      </c>
      <c r="B612" s="15" t="str">
        <f t="shared" ref="B612" si="32">A612 &amp; "_1"</f>
        <v>7_1</v>
      </c>
      <c r="C612" t="s">
        <v>83</v>
      </c>
      <c r="D612" t="s">
        <v>90</v>
      </c>
      <c r="F612">
        <v>6.82</v>
      </c>
    </row>
    <row r="613" spans="1:6" x14ac:dyDescent="0.55000000000000004">
      <c r="A613">
        <v>8</v>
      </c>
      <c r="B613" s="15" t="str">
        <f t="shared" ref="B613" si="33">A613 &amp; "_1"</f>
        <v>8_1</v>
      </c>
      <c r="C613" t="s">
        <v>83</v>
      </c>
      <c r="D613" t="s">
        <v>84</v>
      </c>
      <c r="E613" t="s">
        <v>85</v>
      </c>
      <c r="F613">
        <v>15.9</v>
      </c>
    </row>
    <row r="614" spans="1:6" x14ac:dyDescent="0.55000000000000004">
      <c r="A614">
        <v>8</v>
      </c>
      <c r="B614" s="15" t="str">
        <f t="shared" ref="B614" si="34">A614 &amp; "_1"</f>
        <v>8_1</v>
      </c>
      <c r="C614" t="s">
        <v>83</v>
      </c>
      <c r="D614" t="s">
        <v>86</v>
      </c>
      <c r="E614" t="s">
        <v>87</v>
      </c>
      <c r="F614">
        <v>3.21</v>
      </c>
    </row>
    <row r="615" spans="1:6" x14ac:dyDescent="0.55000000000000004">
      <c r="A615">
        <v>8</v>
      </c>
      <c r="B615" s="15" t="str">
        <f t="shared" ref="B615" si="35">A615 &amp; "_1"</f>
        <v>8_1</v>
      </c>
      <c r="C615" t="s">
        <v>83</v>
      </c>
      <c r="D615" t="s">
        <v>88</v>
      </c>
      <c r="E615" t="s">
        <v>68</v>
      </c>
      <c r="F615">
        <v>32.200000000000003</v>
      </c>
    </row>
    <row r="616" spans="1:6" x14ac:dyDescent="0.55000000000000004">
      <c r="A616">
        <v>8</v>
      </c>
      <c r="B616" s="15" t="str">
        <f t="shared" ref="B616" si="36">A616 &amp; "_1"</f>
        <v>8_1</v>
      </c>
      <c r="C616" t="s">
        <v>83</v>
      </c>
      <c r="D616" t="s">
        <v>312</v>
      </c>
      <c r="E616" t="s">
        <v>89</v>
      </c>
      <c r="F616">
        <v>36.6</v>
      </c>
    </row>
    <row r="617" spans="1:6" x14ac:dyDescent="0.55000000000000004">
      <c r="A617">
        <f>A616</f>
        <v>8</v>
      </c>
      <c r="B617" s="15" t="str">
        <f>B616</f>
        <v>8_1</v>
      </c>
      <c r="C617" t="str">
        <f>C616</f>
        <v>Chemical</v>
      </c>
      <c r="D617" t="s">
        <v>313</v>
      </c>
      <c r="E617" t="s">
        <v>89</v>
      </c>
      <c r="F617">
        <f xml:space="preserve"> F616 / (1 + 0.021 * (F613 - 25))</f>
        <v>45.246631227593035</v>
      </c>
    </row>
    <row r="618" spans="1:6" x14ac:dyDescent="0.55000000000000004">
      <c r="A618">
        <v>8</v>
      </c>
      <c r="B618" s="15" t="str">
        <f t="shared" ref="B618" si="37">A618 &amp; "_1"</f>
        <v>8_1</v>
      </c>
      <c r="C618" t="s">
        <v>83</v>
      </c>
      <c r="D618" t="s">
        <v>90</v>
      </c>
      <c r="F618">
        <v>6.5</v>
      </c>
    </row>
    <row r="619" spans="1:6" x14ac:dyDescent="0.55000000000000004">
      <c r="A619">
        <v>9</v>
      </c>
      <c r="B619" s="15" t="str">
        <f t="shared" ref="B619" si="38">A619 &amp; "_1"</f>
        <v>9_1</v>
      </c>
      <c r="C619" t="s">
        <v>83</v>
      </c>
      <c r="D619" t="s">
        <v>84</v>
      </c>
      <c r="E619" t="s">
        <v>85</v>
      </c>
      <c r="F619">
        <v>17.899999999999999</v>
      </c>
    </row>
    <row r="620" spans="1:6" x14ac:dyDescent="0.55000000000000004">
      <c r="A620">
        <v>9</v>
      </c>
      <c r="B620" s="15" t="str">
        <f t="shared" ref="B620" si="39">A620 &amp; "_1"</f>
        <v>9_1</v>
      </c>
      <c r="C620" t="s">
        <v>83</v>
      </c>
      <c r="D620" t="s">
        <v>86</v>
      </c>
      <c r="E620" t="s">
        <v>87</v>
      </c>
      <c r="F620">
        <v>9.68</v>
      </c>
    </row>
    <row r="621" spans="1:6" x14ac:dyDescent="0.55000000000000004">
      <c r="A621">
        <v>9</v>
      </c>
      <c r="B621" s="15" t="str">
        <f t="shared" ref="B621" si="40">A621 &amp; "_1"</f>
        <v>9_1</v>
      </c>
      <c r="C621" t="s">
        <v>83</v>
      </c>
      <c r="D621" t="s">
        <v>88</v>
      </c>
      <c r="E621" t="s">
        <v>68</v>
      </c>
      <c r="F621">
        <v>102.2</v>
      </c>
    </row>
    <row r="622" spans="1:6" x14ac:dyDescent="0.55000000000000004">
      <c r="A622">
        <v>9</v>
      </c>
      <c r="B622" s="15" t="str">
        <f t="shared" ref="B622" si="41">A622 &amp; "_1"</f>
        <v>9_1</v>
      </c>
      <c r="C622" t="s">
        <v>83</v>
      </c>
      <c r="D622" t="s">
        <v>312</v>
      </c>
      <c r="E622" t="s">
        <v>89</v>
      </c>
      <c r="F622">
        <v>139.19999999999999</v>
      </c>
    </row>
    <row r="623" spans="1:6" x14ac:dyDescent="0.55000000000000004">
      <c r="A623">
        <f>A622</f>
        <v>9</v>
      </c>
      <c r="B623" s="15" t="str">
        <f>B622</f>
        <v>9_1</v>
      </c>
      <c r="C623" t="str">
        <f>C622</f>
        <v>Chemical</v>
      </c>
      <c r="D623" t="s">
        <v>313</v>
      </c>
      <c r="E623" t="s">
        <v>89</v>
      </c>
      <c r="F623">
        <f xml:space="preserve"> F622 / (1 + 0.021 * (F619 - 25))</f>
        <v>163.5914913620872</v>
      </c>
    </row>
    <row r="624" spans="1:6" x14ac:dyDescent="0.55000000000000004">
      <c r="A624">
        <v>9</v>
      </c>
      <c r="B624" s="15" t="str">
        <f t="shared" ref="B624" si="42">A624 &amp; "_1"</f>
        <v>9_1</v>
      </c>
      <c r="C624" t="s">
        <v>83</v>
      </c>
      <c r="D624" t="s">
        <v>90</v>
      </c>
      <c r="F624">
        <v>7.38</v>
      </c>
    </row>
    <row r="625" spans="1:6" x14ac:dyDescent="0.55000000000000004">
      <c r="A625">
        <v>10</v>
      </c>
      <c r="B625" s="15" t="str">
        <f t="shared" ref="B625" si="43">A625 &amp; "_1"</f>
        <v>10_1</v>
      </c>
      <c r="C625" t="s">
        <v>83</v>
      </c>
      <c r="D625" t="s">
        <v>84</v>
      </c>
      <c r="E625" t="s">
        <v>85</v>
      </c>
      <c r="F625">
        <v>17.899999999999999</v>
      </c>
    </row>
    <row r="626" spans="1:6" x14ac:dyDescent="0.55000000000000004">
      <c r="A626">
        <v>10</v>
      </c>
      <c r="B626" s="15" t="str">
        <f t="shared" ref="B626" si="44">A626 &amp; "_1"</f>
        <v>10_1</v>
      </c>
      <c r="C626" t="s">
        <v>83</v>
      </c>
      <c r="D626" t="s">
        <v>86</v>
      </c>
      <c r="E626" t="s">
        <v>87</v>
      </c>
      <c r="F626">
        <v>9.59</v>
      </c>
    </row>
    <row r="627" spans="1:6" x14ac:dyDescent="0.55000000000000004">
      <c r="A627">
        <v>10</v>
      </c>
      <c r="B627" s="15" t="str">
        <f t="shared" ref="B627" si="45">A627 &amp; "_1"</f>
        <v>10_1</v>
      </c>
      <c r="C627" t="s">
        <v>83</v>
      </c>
      <c r="D627" t="s">
        <v>88</v>
      </c>
      <c r="E627" t="s">
        <v>68</v>
      </c>
      <c r="F627">
        <v>101.2</v>
      </c>
    </row>
    <row r="628" spans="1:6" x14ac:dyDescent="0.55000000000000004">
      <c r="A628">
        <v>10</v>
      </c>
      <c r="B628" s="15" t="str">
        <f t="shared" ref="B628" si="46">A628 &amp; "_1"</f>
        <v>10_1</v>
      </c>
      <c r="C628" t="s">
        <v>83</v>
      </c>
      <c r="D628" t="s">
        <v>312</v>
      </c>
      <c r="E628" t="s">
        <v>89</v>
      </c>
      <c r="F628">
        <v>138.9</v>
      </c>
    </row>
    <row r="629" spans="1:6" x14ac:dyDescent="0.55000000000000004">
      <c r="A629">
        <f>A628</f>
        <v>10</v>
      </c>
      <c r="B629" s="15" t="str">
        <f>B628</f>
        <v>10_1</v>
      </c>
      <c r="C629" t="str">
        <f>C628</f>
        <v>Chemical</v>
      </c>
      <c r="D629" t="s">
        <v>313</v>
      </c>
      <c r="E629" t="s">
        <v>89</v>
      </c>
      <c r="F629">
        <f xml:space="preserve"> F628 / (1 + 0.021 * (F625 - 25))</f>
        <v>163.23892349277236</v>
      </c>
    </row>
    <row r="630" spans="1:6" x14ac:dyDescent="0.55000000000000004">
      <c r="A630">
        <v>10</v>
      </c>
      <c r="B630" s="15" t="str">
        <f t="shared" ref="B630" si="47">A630 &amp; "_1"</f>
        <v>10_1</v>
      </c>
      <c r="C630" t="s">
        <v>83</v>
      </c>
      <c r="D630" t="s">
        <v>90</v>
      </c>
      <c r="F630">
        <v>7.45</v>
      </c>
    </row>
    <row r="631" spans="1:6" x14ac:dyDescent="0.55000000000000004">
      <c r="A631">
        <v>11</v>
      </c>
      <c r="B631" s="15" t="str">
        <f t="shared" ref="B631" si="48">A631 &amp; "_1"</f>
        <v>11_1</v>
      </c>
      <c r="C631" t="s">
        <v>83</v>
      </c>
      <c r="D631" t="s">
        <v>84</v>
      </c>
      <c r="E631" t="s">
        <v>85</v>
      </c>
      <c r="F631">
        <v>17.7</v>
      </c>
    </row>
    <row r="632" spans="1:6" x14ac:dyDescent="0.55000000000000004">
      <c r="A632">
        <v>11</v>
      </c>
      <c r="B632" s="15" t="str">
        <f t="shared" ref="B632" si="49">A632 &amp; "_1"</f>
        <v>11_1</v>
      </c>
      <c r="C632" t="s">
        <v>83</v>
      </c>
      <c r="D632" t="s">
        <v>86</v>
      </c>
      <c r="E632" t="s">
        <v>87</v>
      </c>
      <c r="F632">
        <v>8.84</v>
      </c>
    </row>
    <row r="633" spans="1:6" x14ac:dyDescent="0.55000000000000004">
      <c r="A633">
        <v>11</v>
      </c>
      <c r="B633" s="15" t="str">
        <f t="shared" ref="B633" si="50">A633 &amp; "_1"</f>
        <v>11_1</v>
      </c>
      <c r="C633" t="s">
        <v>83</v>
      </c>
      <c r="D633" t="s">
        <v>88</v>
      </c>
      <c r="E633" t="s">
        <v>68</v>
      </c>
      <c r="F633">
        <v>92.8</v>
      </c>
    </row>
    <row r="634" spans="1:6" x14ac:dyDescent="0.55000000000000004">
      <c r="A634">
        <v>11</v>
      </c>
      <c r="B634" s="15" t="str">
        <f t="shared" ref="B634" si="51">A634 &amp; "_1"</f>
        <v>11_1</v>
      </c>
      <c r="C634" t="s">
        <v>83</v>
      </c>
      <c r="D634" t="s">
        <v>312</v>
      </c>
      <c r="E634" t="s">
        <v>89</v>
      </c>
      <c r="F634">
        <v>132.4</v>
      </c>
    </row>
    <row r="635" spans="1:6" x14ac:dyDescent="0.55000000000000004">
      <c r="A635">
        <f>A634</f>
        <v>11</v>
      </c>
      <c r="B635" s="15" t="str">
        <f>B634</f>
        <v>11_1</v>
      </c>
      <c r="C635" t="str">
        <f>C634</f>
        <v>Chemical</v>
      </c>
      <c r="D635" t="s">
        <v>313</v>
      </c>
      <c r="E635" t="s">
        <v>89</v>
      </c>
      <c r="F635">
        <f xml:space="preserve"> F634 / (1 + 0.021 * (F631 - 25))</f>
        <v>156.37179638596905</v>
      </c>
    </row>
    <row r="636" spans="1:6" x14ac:dyDescent="0.55000000000000004">
      <c r="A636">
        <v>11</v>
      </c>
      <c r="B636" s="15" t="str">
        <f t="shared" ref="B636" si="52">A636 &amp; "_1"</f>
        <v>11_1</v>
      </c>
      <c r="C636" t="s">
        <v>83</v>
      </c>
      <c r="D636" t="s">
        <v>90</v>
      </c>
      <c r="F636">
        <v>7.24</v>
      </c>
    </row>
    <row r="637" spans="1:6" x14ac:dyDescent="0.55000000000000004">
      <c r="A637">
        <v>12</v>
      </c>
      <c r="B637" s="15" t="str">
        <f t="shared" ref="B637" si="53">A637 &amp; "_1"</f>
        <v>12_1</v>
      </c>
      <c r="C637" t="s">
        <v>83</v>
      </c>
      <c r="D637" t="s">
        <v>84</v>
      </c>
      <c r="E637" t="s">
        <v>85</v>
      </c>
      <c r="F637">
        <v>17.899999999999999</v>
      </c>
    </row>
    <row r="638" spans="1:6" x14ac:dyDescent="0.55000000000000004">
      <c r="A638">
        <v>12</v>
      </c>
      <c r="B638" s="15" t="str">
        <f t="shared" ref="B638" si="54">A638 &amp; "_1"</f>
        <v>12_1</v>
      </c>
      <c r="C638" t="s">
        <v>83</v>
      </c>
      <c r="D638" t="s">
        <v>86</v>
      </c>
      <c r="E638" t="s">
        <v>87</v>
      </c>
      <c r="F638">
        <v>9.19</v>
      </c>
    </row>
    <row r="639" spans="1:6" x14ac:dyDescent="0.55000000000000004">
      <c r="A639">
        <v>12</v>
      </c>
      <c r="B639" s="15" t="str">
        <f t="shared" ref="B639" si="55">A639 &amp; "_1"</f>
        <v>12_1</v>
      </c>
      <c r="C639" t="s">
        <v>83</v>
      </c>
      <c r="D639" t="s">
        <v>88</v>
      </c>
      <c r="E639" t="s">
        <v>68</v>
      </c>
      <c r="F639">
        <v>97</v>
      </c>
    </row>
    <row r="640" spans="1:6" x14ac:dyDescent="0.55000000000000004">
      <c r="A640">
        <v>12</v>
      </c>
      <c r="B640" s="15" t="str">
        <f t="shared" ref="B640" si="56">A640 &amp; "_1"</f>
        <v>12_1</v>
      </c>
      <c r="C640" t="s">
        <v>83</v>
      </c>
      <c r="D640" t="s">
        <v>312</v>
      </c>
      <c r="E640" t="s">
        <v>89</v>
      </c>
      <c r="F640">
        <v>133.4</v>
      </c>
    </row>
    <row r="641" spans="1:6" x14ac:dyDescent="0.55000000000000004">
      <c r="A641">
        <f>A640</f>
        <v>12</v>
      </c>
      <c r="B641" s="15" t="str">
        <f>B640</f>
        <v>12_1</v>
      </c>
      <c r="C641" t="str">
        <f>C640</f>
        <v>Chemical</v>
      </c>
      <c r="D641" t="s">
        <v>313</v>
      </c>
      <c r="E641" t="s">
        <v>89</v>
      </c>
      <c r="F641">
        <f xml:space="preserve"> F640 / (1 + 0.021 * (F637 - 25))</f>
        <v>156.77517922200025</v>
      </c>
    </row>
    <row r="642" spans="1:6" x14ac:dyDescent="0.55000000000000004">
      <c r="A642">
        <v>12</v>
      </c>
      <c r="B642" s="15" t="str">
        <f t="shared" ref="B642" si="57">A642 &amp; "_1"</f>
        <v>12_1</v>
      </c>
      <c r="C642" t="s">
        <v>83</v>
      </c>
      <c r="D642" t="s">
        <v>90</v>
      </c>
      <c r="F642">
        <v>7.46</v>
      </c>
    </row>
    <row r="643" spans="1:6" x14ac:dyDescent="0.55000000000000004">
      <c r="A643">
        <v>13</v>
      </c>
      <c r="B643" s="15" t="str">
        <f t="shared" ref="B643" si="58">A643 &amp; "_1"</f>
        <v>13_1</v>
      </c>
      <c r="C643" t="s">
        <v>83</v>
      </c>
      <c r="D643" t="s">
        <v>84</v>
      </c>
      <c r="E643" t="s">
        <v>85</v>
      </c>
      <c r="F643">
        <v>17.3</v>
      </c>
    </row>
    <row r="644" spans="1:6" x14ac:dyDescent="0.55000000000000004">
      <c r="A644">
        <v>13</v>
      </c>
      <c r="B644" s="15" t="str">
        <f t="shared" ref="B644" si="59">A644 &amp; "_1"</f>
        <v>13_1</v>
      </c>
      <c r="C644" t="s">
        <v>83</v>
      </c>
      <c r="D644" t="s">
        <v>86</v>
      </c>
      <c r="E644" t="s">
        <v>87</v>
      </c>
      <c r="F644">
        <v>9.8000000000000007</v>
      </c>
    </row>
    <row r="645" spans="1:6" x14ac:dyDescent="0.55000000000000004">
      <c r="A645">
        <v>13</v>
      </c>
      <c r="B645" s="15" t="str">
        <f t="shared" ref="B645" si="60">A645 &amp; "_1"</f>
        <v>13_1</v>
      </c>
      <c r="C645" t="s">
        <v>83</v>
      </c>
      <c r="D645" t="s">
        <v>88</v>
      </c>
      <c r="E645" t="s">
        <v>68</v>
      </c>
      <c r="F645">
        <v>102.2</v>
      </c>
    </row>
    <row r="646" spans="1:6" x14ac:dyDescent="0.55000000000000004">
      <c r="A646">
        <v>13</v>
      </c>
      <c r="B646" s="15" t="str">
        <f t="shared" ref="B646" si="61">A646 &amp; "_1"</f>
        <v>13_1</v>
      </c>
      <c r="C646" t="s">
        <v>83</v>
      </c>
      <c r="D646" t="s">
        <v>312</v>
      </c>
      <c r="E646" t="s">
        <v>89</v>
      </c>
      <c r="F646">
        <v>130</v>
      </c>
    </row>
    <row r="647" spans="1:6" x14ac:dyDescent="0.55000000000000004">
      <c r="A647">
        <f>A646</f>
        <v>13</v>
      </c>
      <c r="B647" s="15" t="str">
        <f>B646</f>
        <v>13_1</v>
      </c>
      <c r="C647" t="str">
        <f>C646</f>
        <v>Chemical</v>
      </c>
      <c r="D647" t="s">
        <v>313</v>
      </c>
      <c r="E647" t="s">
        <v>89</v>
      </c>
      <c r="F647">
        <v>152.30000000000001</v>
      </c>
    </row>
    <row r="648" spans="1:6" x14ac:dyDescent="0.55000000000000004">
      <c r="A648">
        <v>13</v>
      </c>
      <c r="B648" s="15" t="str">
        <f t="shared" ref="B648" si="62">A648 &amp; "_1"</f>
        <v>13_1</v>
      </c>
      <c r="C648" t="s">
        <v>83</v>
      </c>
      <c r="D648" t="s">
        <v>90</v>
      </c>
      <c r="F648">
        <v>7.76</v>
      </c>
    </row>
    <row r="649" spans="1:6" x14ac:dyDescent="0.55000000000000004">
      <c r="A649">
        <v>14</v>
      </c>
      <c r="B649" s="15" t="str">
        <f t="shared" ref="B649" si="63">A649 &amp; "_1"</f>
        <v>14_1</v>
      </c>
      <c r="C649" t="s">
        <v>83</v>
      </c>
      <c r="D649" t="s">
        <v>84</v>
      </c>
      <c r="E649" t="s">
        <v>85</v>
      </c>
      <c r="F649">
        <v>17.3</v>
      </c>
    </row>
    <row r="650" spans="1:6" x14ac:dyDescent="0.55000000000000004">
      <c r="A650">
        <v>14</v>
      </c>
      <c r="B650" s="15" t="str">
        <f t="shared" ref="B650" si="64">A650 &amp; "_1"</f>
        <v>14_1</v>
      </c>
      <c r="C650" t="s">
        <v>83</v>
      </c>
      <c r="D650" t="s">
        <v>86</v>
      </c>
      <c r="E650" t="s">
        <v>87</v>
      </c>
      <c r="F650">
        <v>9.8000000000000007</v>
      </c>
    </row>
    <row r="651" spans="1:6" x14ac:dyDescent="0.55000000000000004">
      <c r="A651">
        <v>14</v>
      </c>
      <c r="B651" s="15" t="str">
        <f t="shared" ref="B651" si="65">A651 &amp; "_1"</f>
        <v>14_1</v>
      </c>
      <c r="C651" t="s">
        <v>83</v>
      </c>
      <c r="D651" t="s">
        <v>88</v>
      </c>
      <c r="E651" t="s">
        <v>68</v>
      </c>
      <c r="F651">
        <v>102.2</v>
      </c>
    </row>
    <row r="652" spans="1:6" x14ac:dyDescent="0.55000000000000004">
      <c r="A652">
        <v>14</v>
      </c>
      <c r="B652" s="15" t="str">
        <f t="shared" ref="B652" si="66">A652 &amp; "_1"</f>
        <v>14_1</v>
      </c>
      <c r="C652" t="s">
        <v>83</v>
      </c>
      <c r="D652" t="s">
        <v>312</v>
      </c>
      <c r="E652" t="s">
        <v>89</v>
      </c>
      <c r="F652">
        <v>130</v>
      </c>
    </row>
    <row r="653" spans="1:6" x14ac:dyDescent="0.55000000000000004">
      <c r="A653">
        <f>A652</f>
        <v>14</v>
      </c>
      <c r="B653" s="15" t="str">
        <f>B652</f>
        <v>14_1</v>
      </c>
      <c r="C653" t="str">
        <f>C652</f>
        <v>Chemical</v>
      </c>
      <c r="D653" t="s">
        <v>313</v>
      </c>
      <c r="E653" t="s">
        <v>89</v>
      </c>
      <c r="F653">
        <v>152.30000000000001</v>
      </c>
    </row>
    <row r="654" spans="1:6" x14ac:dyDescent="0.55000000000000004">
      <c r="A654">
        <v>14</v>
      </c>
      <c r="B654" s="15" t="str">
        <f t="shared" ref="B654" si="67">A654 &amp; "_1"</f>
        <v>14_1</v>
      </c>
      <c r="C654" t="s">
        <v>83</v>
      </c>
      <c r="D654" t="s">
        <v>90</v>
      </c>
      <c r="F654">
        <v>7.76</v>
      </c>
    </row>
    <row r="655" spans="1:6" x14ac:dyDescent="0.55000000000000004">
      <c r="A655">
        <v>15</v>
      </c>
      <c r="B655" s="15" t="str">
        <f t="shared" ref="B655" si="68">A655 &amp; "_1"</f>
        <v>15_1</v>
      </c>
      <c r="C655" t="s">
        <v>83</v>
      </c>
      <c r="D655" t="s">
        <v>84</v>
      </c>
      <c r="E655" t="s">
        <v>85</v>
      </c>
      <c r="F655">
        <v>17.2</v>
      </c>
    </row>
    <row r="656" spans="1:6" x14ac:dyDescent="0.55000000000000004">
      <c r="A656">
        <v>15</v>
      </c>
      <c r="B656" s="15" t="str">
        <f t="shared" ref="B656" si="69">A656 &amp; "_1"</f>
        <v>15_1</v>
      </c>
      <c r="C656" t="s">
        <v>83</v>
      </c>
      <c r="D656" t="s">
        <v>86</v>
      </c>
      <c r="E656" t="s">
        <v>87</v>
      </c>
      <c r="F656">
        <v>9.7799999999999994</v>
      </c>
    </row>
    <row r="657" spans="1:6" x14ac:dyDescent="0.55000000000000004">
      <c r="A657">
        <v>15</v>
      </c>
      <c r="B657" s="15" t="str">
        <f t="shared" ref="B657" si="70">A657 &amp; "_1"</f>
        <v>15_1</v>
      </c>
      <c r="C657" t="s">
        <v>83</v>
      </c>
      <c r="D657" t="s">
        <v>88</v>
      </c>
      <c r="E657" t="s">
        <v>68</v>
      </c>
      <c r="F657">
        <v>101.6</v>
      </c>
    </row>
    <row r="658" spans="1:6" x14ac:dyDescent="0.55000000000000004">
      <c r="A658">
        <v>15</v>
      </c>
      <c r="B658" s="15" t="str">
        <f t="shared" ref="B658" si="71">A658 &amp; "_1"</f>
        <v>15_1</v>
      </c>
      <c r="C658" t="s">
        <v>83</v>
      </c>
      <c r="D658" t="s">
        <v>312</v>
      </c>
      <c r="E658" t="s">
        <v>89</v>
      </c>
      <c r="F658">
        <v>130.9</v>
      </c>
    </row>
    <row r="659" spans="1:6" x14ac:dyDescent="0.55000000000000004">
      <c r="A659">
        <f>A658</f>
        <v>15</v>
      </c>
      <c r="B659" s="15" t="str">
        <f>B658</f>
        <v>15_1</v>
      </c>
      <c r="C659" t="str">
        <f>C658</f>
        <v>Chemical</v>
      </c>
      <c r="D659" t="s">
        <v>313</v>
      </c>
      <c r="E659" t="s">
        <v>89</v>
      </c>
      <c r="F659">
        <v>153.9</v>
      </c>
    </row>
    <row r="660" spans="1:6" x14ac:dyDescent="0.55000000000000004">
      <c r="A660">
        <v>15</v>
      </c>
      <c r="B660" s="15" t="str">
        <f t="shared" ref="B660" si="72">A660 &amp; "_1"</f>
        <v>15_1</v>
      </c>
      <c r="C660" t="s">
        <v>83</v>
      </c>
      <c r="D660" t="s">
        <v>90</v>
      </c>
      <c r="F660">
        <v>7.94</v>
      </c>
    </row>
    <row r="661" spans="1:6" x14ac:dyDescent="0.55000000000000004">
      <c r="A661">
        <v>16</v>
      </c>
      <c r="B661" s="15" t="str">
        <f t="shared" ref="B661" si="73">A661 &amp; "_1"</f>
        <v>16_1</v>
      </c>
      <c r="C661" t="s">
        <v>83</v>
      </c>
      <c r="D661" t="s">
        <v>84</v>
      </c>
      <c r="E661" t="s">
        <v>85</v>
      </c>
      <c r="F661">
        <v>17.2</v>
      </c>
    </row>
    <row r="662" spans="1:6" x14ac:dyDescent="0.55000000000000004">
      <c r="A662">
        <v>16</v>
      </c>
      <c r="B662" s="15" t="str">
        <f t="shared" ref="B662" si="74">A662 &amp; "_1"</f>
        <v>16_1</v>
      </c>
      <c r="C662" t="s">
        <v>83</v>
      </c>
      <c r="D662" t="s">
        <v>86</v>
      </c>
      <c r="E662" t="s">
        <v>87</v>
      </c>
      <c r="F662">
        <v>9.7799999999999994</v>
      </c>
    </row>
    <row r="663" spans="1:6" x14ac:dyDescent="0.55000000000000004">
      <c r="A663">
        <v>16</v>
      </c>
      <c r="B663" s="15" t="str">
        <f t="shared" ref="B663" si="75">A663 &amp; "_1"</f>
        <v>16_1</v>
      </c>
      <c r="C663" t="s">
        <v>83</v>
      </c>
      <c r="D663" t="s">
        <v>88</v>
      </c>
      <c r="E663" t="s">
        <v>68</v>
      </c>
      <c r="F663">
        <v>101.6</v>
      </c>
    </row>
    <row r="664" spans="1:6" x14ac:dyDescent="0.55000000000000004">
      <c r="A664">
        <v>16</v>
      </c>
      <c r="B664" s="15" t="str">
        <f t="shared" ref="B664" si="76">A664 &amp; "_1"</f>
        <v>16_1</v>
      </c>
      <c r="C664" t="s">
        <v>83</v>
      </c>
      <c r="D664" t="s">
        <v>312</v>
      </c>
      <c r="E664" t="s">
        <v>89</v>
      </c>
      <c r="F664">
        <v>130.9</v>
      </c>
    </row>
    <row r="665" spans="1:6" x14ac:dyDescent="0.55000000000000004">
      <c r="A665">
        <f>A664</f>
        <v>16</v>
      </c>
      <c r="B665" s="15" t="str">
        <f>B664</f>
        <v>16_1</v>
      </c>
      <c r="C665" t="str">
        <f>C664</f>
        <v>Chemical</v>
      </c>
      <c r="D665" t="s">
        <v>313</v>
      </c>
      <c r="E665" t="s">
        <v>89</v>
      </c>
      <c r="F665">
        <v>153.9</v>
      </c>
    </row>
    <row r="666" spans="1:6" x14ac:dyDescent="0.55000000000000004">
      <c r="A666">
        <v>16</v>
      </c>
      <c r="B666" s="15" t="str">
        <f t="shared" ref="B666" si="77">A666 &amp; "_1"</f>
        <v>16_1</v>
      </c>
      <c r="C666" t="s">
        <v>83</v>
      </c>
      <c r="D666" t="s">
        <v>90</v>
      </c>
      <c r="F666">
        <v>7.94</v>
      </c>
    </row>
    <row r="667" spans="1:6" x14ac:dyDescent="0.55000000000000004">
      <c r="A667">
        <v>17</v>
      </c>
      <c r="B667" s="15" t="str">
        <f t="shared" ref="B667" si="78">A667 &amp; "_1"</f>
        <v>17_1</v>
      </c>
      <c r="C667" t="s">
        <v>83</v>
      </c>
      <c r="D667" t="s">
        <v>84</v>
      </c>
      <c r="E667" t="s">
        <v>85</v>
      </c>
      <c r="F667">
        <v>17.399999999999999</v>
      </c>
    </row>
    <row r="668" spans="1:6" x14ac:dyDescent="0.55000000000000004">
      <c r="A668">
        <v>17</v>
      </c>
      <c r="B668" s="15" t="str">
        <f t="shared" ref="B668" si="79">A668 &amp; "_1"</f>
        <v>17_1</v>
      </c>
      <c r="C668" t="s">
        <v>83</v>
      </c>
      <c r="D668" t="s">
        <v>86</v>
      </c>
      <c r="E668" t="s">
        <v>87</v>
      </c>
      <c r="F668">
        <v>9.31</v>
      </c>
    </row>
    <row r="669" spans="1:6" x14ac:dyDescent="0.55000000000000004">
      <c r="A669">
        <v>17</v>
      </c>
      <c r="B669" s="15" t="str">
        <f t="shared" ref="B669" si="80">A669 &amp; "_1"</f>
        <v>17_1</v>
      </c>
      <c r="C669" t="s">
        <v>83</v>
      </c>
      <c r="D669" t="s">
        <v>88</v>
      </c>
      <c r="E669" t="s">
        <v>68</v>
      </c>
      <c r="F669">
        <v>97.1</v>
      </c>
    </row>
    <row r="670" spans="1:6" x14ac:dyDescent="0.55000000000000004">
      <c r="A670">
        <v>17</v>
      </c>
      <c r="B670" s="15" t="str">
        <f t="shared" ref="B670" si="81">A670 &amp; "_1"</f>
        <v>17_1</v>
      </c>
      <c r="C670" t="s">
        <v>83</v>
      </c>
      <c r="D670" t="s">
        <v>312</v>
      </c>
      <c r="E670" t="s">
        <v>89</v>
      </c>
      <c r="F670">
        <v>138.30000000000001</v>
      </c>
    </row>
    <row r="671" spans="1:6" x14ac:dyDescent="0.55000000000000004">
      <c r="A671">
        <f>A670</f>
        <v>17</v>
      </c>
      <c r="B671" s="15" t="str">
        <f>B670</f>
        <v>17_1</v>
      </c>
      <c r="C671" t="str">
        <f>C670</f>
        <v>Chemical</v>
      </c>
      <c r="D671" t="s">
        <v>313</v>
      </c>
      <c r="E671" t="s">
        <v>89</v>
      </c>
      <c r="F671">
        <v>161.80000000000001</v>
      </c>
    </row>
    <row r="672" spans="1:6" x14ac:dyDescent="0.55000000000000004">
      <c r="A672">
        <v>17</v>
      </c>
      <c r="B672" s="15" t="str">
        <f t="shared" ref="B672" si="82">A672 &amp; "_1"</f>
        <v>17_1</v>
      </c>
      <c r="C672" t="s">
        <v>83</v>
      </c>
      <c r="D672" t="s">
        <v>90</v>
      </c>
      <c r="F672">
        <v>8.4600000000000009</v>
      </c>
    </row>
    <row r="673" spans="1:6" x14ac:dyDescent="0.55000000000000004">
      <c r="A673">
        <v>18</v>
      </c>
      <c r="B673" s="15" t="str">
        <f t="shared" ref="B673" si="83">A673 &amp; "_1"</f>
        <v>18_1</v>
      </c>
      <c r="C673" t="s">
        <v>83</v>
      </c>
      <c r="D673" t="s">
        <v>84</v>
      </c>
      <c r="E673" t="s">
        <v>85</v>
      </c>
      <c r="F673">
        <v>17.399999999999999</v>
      </c>
    </row>
    <row r="674" spans="1:6" x14ac:dyDescent="0.55000000000000004">
      <c r="A674">
        <v>18</v>
      </c>
      <c r="B674" s="15" t="str">
        <f t="shared" ref="B674" si="84">A674 &amp; "_1"</f>
        <v>18_1</v>
      </c>
      <c r="C674" t="s">
        <v>83</v>
      </c>
      <c r="D674" t="s">
        <v>86</v>
      </c>
      <c r="E674" t="s">
        <v>87</v>
      </c>
      <c r="F674">
        <v>9.4499999999999993</v>
      </c>
    </row>
    <row r="675" spans="1:6" x14ac:dyDescent="0.55000000000000004">
      <c r="A675">
        <v>18</v>
      </c>
      <c r="B675" s="15" t="str">
        <f t="shared" ref="B675" si="85">A675 &amp; "_1"</f>
        <v>18_1</v>
      </c>
      <c r="C675" t="s">
        <v>83</v>
      </c>
      <c r="D675" t="s">
        <v>88</v>
      </c>
      <c r="E675" t="s">
        <v>68</v>
      </c>
      <c r="F675">
        <v>98.5</v>
      </c>
    </row>
    <row r="676" spans="1:6" x14ac:dyDescent="0.55000000000000004">
      <c r="A676">
        <v>18</v>
      </c>
      <c r="B676" s="15" t="str">
        <f t="shared" ref="B676" si="86">A676 &amp; "_1"</f>
        <v>18_1</v>
      </c>
      <c r="C676" t="s">
        <v>83</v>
      </c>
      <c r="D676" t="s">
        <v>312</v>
      </c>
      <c r="E676" t="s">
        <v>89</v>
      </c>
      <c r="F676">
        <v>138.30000000000001</v>
      </c>
    </row>
    <row r="677" spans="1:6" x14ac:dyDescent="0.55000000000000004">
      <c r="A677">
        <f>A676</f>
        <v>18</v>
      </c>
      <c r="B677" s="15" t="str">
        <f>B676</f>
        <v>18_1</v>
      </c>
      <c r="C677" t="str">
        <f>C676</f>
        <v>Chemical</v>
      </c>
      <c r="D677" t="s">
        <v>313</v>
      </c>
      <c r="E677" t="s">
        <v>89</v>
      </c>
      <c r="F677">
        <v>161.9</v>
      </c>
    </row>
    <row r="678" spans="1:6" x14ac:dyDescent="0.55000000000000004">
      <c r="A678">
        <v>18</v>
      </c>
      <c r="B678" s="15" t="str">
        <f t="shared" ref="B678" si="87">A678 &amp; "_1"</f>
        <v>18_1</v>
      </c>
      <c r="C678" t="s">
        <v>83</v>
      </c>
      <c r="D678" t="s">
        <v>90</v>
      </c>
      <c r="F678">
        <v>7.6</v>
      </c>
    </row>
    <row r="679" spans="1:6" x14ac:dyDescent="0.55000000000000004">
      <c r="A679">
        <v>19</v>
      </c>
      <c r="B679" s="15" t="str">
        <f t="shared" ref="B679" si="88">A679 &amp; "_1"</f>
        <v>19_1</v>
      </c>
      <c r="C679" t="s">
        <v>83</v>
      </c>
      <c r="D679" t="s">
        <v>84</v>
      </c>
      <c r="E679" t="s">
        <v>85</v>
      </c>
      <c r="F679">
        <v>17.399999999999999</v>
      </c>
    </row>
    <row r="680" spans="1:6" x14ac:dyDescent="0.55000000000000004">
      <c r="A680">
        <v>19</v>
      </c>
      <c r="B680" s="15" t="str">
        <f t="shared" ref="B680" si="89">A680 &amp; "_1"</f>
        <v>19_1</v>
      </c>
      <c r="C680" t="s">
        <v>83</v>
      </c>
      <c r="D680" t="s">
        <v>86</v>
      </c>
      <c r="E680" t="s">
        <v>87</v>
      </c>
      <c r="F680">
        <v>9.6300000000000008</v>
      </c>
    </row>
    <row r="681" spans="1:6" x14ac:dyDescent="0.55000000000000004">
      <c r="A681">
        <v>19</v>
      </c>
      <c r="B681" s="15" t="str">
        <f t="shared" ref="B681" si="90">A681 &amp; "_1"</f>
        <v>19_1</v>
      </c>
      <c r="C681" t="s">
        <v>83</v>
      </c>
      <c r="D681" t="s">
        <v>88</v>
      </c>
      <c r="E681" t="s">
        <v>68</v>
      </c>
      <c r="F681">
        <v>100.5</v>
      </c>
    </row>
    <row r="682" spans="1:6" x14ac:dyDescent="0.55000000000000004">
      <c r="A682">
        <v>19</v>
      </c>
      <c r="B682" s="15" t="str">
        <f t="shared" ref="B682" si="91">A682 &amp; "_1"</f>
        <v>19_1</v>
      </c>
      <c r="C682" t="s">
        <v>83</v>
      </c>
      <c r="D682" t="s">
        <v>312</v>
      </c>
      <c r="E682" t="s">
        <v>89</v>
      </c>
      <c r="F682">
        <v>131.69999999999999</v>
      </c>
    </row>
    <row r="683" spans="1:6" x14ac:dyDescent="0.55000000000000004">
      <c r="A683">
        <f>A682</f>
        <v>19</v>
      </c>
      <c r="B683" s="15" t="str">
        <f>B682</f>
        <v>19_1</v>
      </c>
      <c r="C683" t="str">
        <f>C682</f>
        <v>Chemical</v>
      </c>
      <c r="D683" t="s">
        <v>313</v>
      </c>
      <c r="E683" t="s">
        <v>89</v>
      </c>
      <c r="F683">
        <v>154.19999999999999</v>
      </c>
    </row>
    <row r="684" spans="1:6" x14ac:dyDescent="0.55000000000000004">
      <c r="A684">
        <v>19</v>
      </c>
      <c r="B684" s="15" t="str">
        <f t="shared" ref="B684" si="92">A684 &amp; "_1"</f>
        <v>19_1</v>
      </c>
      <c r="C684" t="s">
        <v>83</v>
      </c>
      <c r="D684" t="s">
        <v>90</v>
      </c>
      <c r="F684">
        <v>7.48</v>
      </c>
    </row>
    <row r="685" spans="1:6" x14ac:dyDescent="0.55000000000000004">
      <c r="A685">
        <v>20</v>
      </c>
      <c r="B685" s="15" t="str">
        <f t="shared" ref="B685" si="93">A685 &amp; "_1"</f>
        <v>20_1</v>
      </c>
      <c r="C685" t="s">
        <v>83</v>
      </c>
      <c r="D685" t="s">
        <v>84</v>
      </c>
      <c r="E685" t="s">
        <v>85</v>
      </c>
      <c r="F685">
        <v>17.399999999999999</v>
      </c>
    </row>
    <row r="686" spans="1:6" x14ac:dyDescent="0.55000000000000004">
      <c r="A686">
        <v>20</v>
      </c>
      <c r="B686" s="15" t="str">
        <f t="shared" ref="B686" si="94">A686 &amp; "_1"</f>
        <v>20_1</v>
      </c>
      <c r="C686" t="s">
        <v>83</v>
      </c>
      <c r="D686" t="s">
        <v>86</v>
      </c>
      <c r="E686" t="s">
        <v>87</v>
      </c>
      <c r="F686">
        <v>9.6300000000000008</v>
      </c>
    </row>
    <row r="687" spans="1:6" x14ac:dyDescent="0.55000000000000004">
      <c r="A687">
        <v>20</v>
      </c>
      <c r="B687" s="15" t="str">
        <f t="shared" ref="B687" si="95">A687 &amp; "_1"</f>
        <v>20_1</v>
      </c>
      <c r="C687" t="s">
        <v>83</v>
      </c>
      <c r="D687" t="s">
        <v>88</v>
      </c>
      <c r="E687" t="s">
        <v>68</v>
      </c>
      <c r="F687">
        <v>100.5</v>
      </c>
    </row>
    <row r="688" spans="1:6" x14ac:dyDescent="0.55000000000000004">
      <c r="A688">
        <v>20</v>
      </c>
      <c r="B688" s="15" t="str">
        <f t="shared" ref="B688" si="96">A688 &amp; "_1"</f>
        <v>20_1</v>
      </c>
      <c r="C688" t="s">
        <v>83</v>
      </c>
      <c r="D688" t="s">
        <v>312</v>
      </c>
      <c r="E688" t="s">
        <v>89</v>
      </c>
      <c r="F688">
        <v>131.69999999999999</v>
      </c>
    </row>
    <row r="689" spans="1:6" x14ac:dyDescent="0.55000000000000004">
      <c r="A689">
        <f>A688</f>
        <v>20</v>
      </c>
      <c r="B689" s="15" t="str">
        <f>B688</f>
        <v>20_1</v>
      </c>
      <c r="C689" t="str">
        <f>C688</f>
        <v>Chemical</v>
      </c>
      <c r="D689" t="s">
        <v>313</v>
      </c>
      <c r="E689" t="s">
        <v>89</v>
      </c>
      <c r="F689">
        <v>154.19999999999999</v>
      </c>
    </row>
    <row r="690" spans="1:6" x14ac:dyDescent="0.55000000000000004">
      <c r="A690">
        <v>20</v>
      </c>
      <c r="B690" s="15" t="str">
        <f t="shared" ref="B690" si="97">A690 &amp; "_1"</f>
        <v>20_1</v>
      </c>
      <c r="C690" t="s">
        <v>83</v>
      </c>
      <c r="D690" t="s">
        <v>90</v>
      </c>
      <c r="F690">
        <v>7.48</v>
      </c>
    </row>
    <row r="691" spans="1:6" x14ac:dyDescent="0.55000000000000004">
      <c r="A691">
        <v>21</v>
      </c>
      <c r="B691" s="15" t="str">
        <f t="shared" ref="B691" si="98">A691 &amp; "_1"</f>
        <v>21_1</v>
      </c>
      <c r="C691" t="s">
        <v>83</v>
      </c>
      <c r="D691" t="s">
        <v>84</v>
      </c>
      <c r="E691" t="s">
        <v>85</v>
      </c>
    </row>
    <row r="692" spans="1:6" x14ac:dyDescent="0.55000000000000004">
      <c r="A692">
        <v>21</v>
      </c>
      <c r="B692" s="15" t="str">
        <f t="shared" ref="B692" si="99">A692 &amp; "_1"</f>
        <v>21_1</v>
      </c>
      <c r="C692" t="s">
        <v>83</v>
      </c>
      <c r="D692" t="s">
        <v>86</v>
      </c>
      <c r="E692" t="s">
        <v>87</v>
      </c>
    </row>
    <row r="693" spans="1:6" x14ac:dyDescent="0.55000000000000004">
      <c r="A693">
        <v>21</v>
      </c>
      <c r="B693" s="15" t="str">
        <f t="shared" ref="B693" si="100">A693 &amp; "_1"</f>
        <v>21_1</v>
      </c>
      <c r="C693" t="s">
        <v>83</v>
      </c>
      <c r="D693" t="s">
        <v>88</v>
      </c>
      <c r="E693" t="s">
        <v>68</v>
      </c>
    </row>
    <row r="694" spans="1:6" x14ac:dyDescent="0.55000000000000004">
      <c r="A694">
        <v>21</v>
      </c>
      <c r="B694" s="15" t="str">
        <f t="shared" ref="B694" si="101">A694 &amp; "_1"</f>
        <v>21_1</v>
      </c>
      <c r="C694" t="s">
        <v>83</v>
      </c>
      <c r="D694" t="s">
        <v>312</v>
      </c>
      <c r="E694" t="s">
        <v>89</v>
      </c>
    </row>
    <row r="695" spans="1:6" x14ac:dyDescent="0.55000000000000004">
      <c r="A695">
        <f>A694</f>
        <v>21</v>
      </c>
      <c r="B695" s="15" t="str">
        <f>B694</f>
        <v>21_1</v>
      </c>
      <c r="C695" t="str">
        <f>C694</f>
        <v>Chemical</v>
      </c>
      <c r="D695" t="s">
        <v>313</v>
      </c>
      <c r="E695" t="s">
        <v>89</v>
      </c>
    </row>
    <row r="696" spans="1:6" x14ac:dyDescent="0.55000000000000004">
      <c r="A696">
        <v>21</v>
      </c>
      <c r="B696" s="15" t="str">
        <f t="shared" ref="B696" si="102">A696 &amp; "_1"</f>
        <v>21_1</v>
      </c>
      <c r="C696" t="s">
        <v>83</v>
      </c>
      <c r="D696" t="s">
        <v>90</v>
      </c>
    </row>
    <row r="697" spans="1:6" x14ac:dyDescent="0.55000000000000004">
      <c r="A697">
        <v>22</v>
      </c>
      <c r="B697" s="15" t="str">
        <f t="shared" ref="B697" si="103">A697 &amp; "_1"</f>
        <v>22_1</v>
      </c>
      <c r="C697" t="s">
        <v>83</v>
      </c>
      <c r="D697" t="s">
        <v>84</v>
      </c>
      <c r="E697" t="s">
        <v>85</v>
      </c>
    </row>
    <row r="698" spans="1:6" x14ac:dyDescent="0.55000000000000004">
      <c r="A698">
        <v>22</v>
      </c>
      <c r="B698" s="15" t="str">
        <f t="shared" ref="B698" si="104">A698 &amp; "_1"</f>
        <v>22_1</v>
      </c>
      <c r="C698" t="s">
        <v>83</v>
      </c>
      <c r="D698" t="s">
        <v>86</v>
      </c>
      <c r="E698" t="s">
        <v>87</v>
      </c>
    </row>
    <row r="699" spans="1:6" x14ac:dyDescent="0.55000000000000004">
      <c r="A699">
        <v>22</v>
      </c>
      <c r="B699" s="15" t="str">
        <f t="shared" ref="B699" si="105">A699 &amp; "_1"</f>
        <v>22_1</v>
      </c>
      <c r="C699" t="s">
        <v>83</v>
      </c>
      <c r="D699" t="s">
        <v>88</v>
      </c>
      <c r="E699" t="s">
        <v>68</v>
      </c>
    </row>
    <row r="700" spans="1:6" x14ac:dyDescent="0.55000000000000004">
      <c r="A700">
        <v>22</v>
      </c>
      <c r="B700" s="15" t="str">
        <f t="shared" ref="B700" si="106">A700 &amp; "_1"</f>
        <v>22_1</v>
      </c>
      <c r="C700" t="s">
        <v>83</v>
      </c>
      <c r="D700" t="s">
        <v>312</v>
      </c>
      <c r="E700" t="s">
        <v>89</v>
      </c>
    </row>
    <row r="701" spans="1:6" x14ac:dyDescent="0.55000000000000004">
      <c r="A701">
        <f>A700</f>
        <v>22</v>
      </c>
      <c r="B701" s="15" t="str">
        <f>B700</f>
        <v>22_1</v>
      </c>
      <c r="C701" t="str">
        <f>C700</f>
        <v>Chemical</v>
      </c>
      <c r="D701" t="s">
        <v>313</v>
      </c>
      <c r="E701" t="s">
        <v>89</v>
      </c>
    </row>
    <row r="702" spans="1:6" x14ac:dyDescent="0.55000000000000004">
      <c r="A702">
        <v>22</v>
      </c>
      <c r="B702" s="15" t="str">
        <f t="shared" ref="B702" si="107">A702 &amp; "_1"</f>
        <v>22_1</v>
      </c>
      <c r="C702" t="s">
        <v>83</v>
      </c>
      <c r="D702" t="s">
        <v>90</v>
      </c>
    </row>
    <row r="703" spans="1:6" x14ac:dyDescent="0.55000000000000004">
      <c r="A703">
        <v>3</v>
      </c>
      <c r="B703" s="15" t="str">
        <f>A703 &amp; "_2"</f>
        <v>3_2</v>
      </c>
      <c r="C703" t="s">
        <v>83</v>
      </c>
      <c r="D703" t="s">
        <v>84</v>
      </c>
      <c r="E703" t="s">
        <v>85</v>
      </c>
      <c r="F703">
        <v>12.8</v>
      </c>
    </row>
    <row r="704" spans="1:6" x14ac:dyDescent="0.55000000000000004">
      <c r="A704">
        <v>3</v>
      </c>
      <c r="B704" s="15" t="str">
        <f t="shared" ref="B704:B767" si="108">A704 &amp; "_2"</f>
        <v>3_2</v>
      </c>
      <c r="C704" t="s">
        <v>83</v>
      </c>
      <c r="D704" t="s">
        <v>86</v>
      </c>
      <c r="E704" t="s">
        <v>87</v>
      </c>
      <c r="F704">
        <v>11.12</v>
      </c>
    </row>
    <row r="705" spans="1:6" x14ac:dyDescent="0.55000000000000004">
      <c r="A705">
        <v>3</v>
      </c>
      <c r="B705" s="15" t="str">
        <f t="shared" si="108"/>
        <v>3_2</v>
      </c>
      <c r="C705" t="s">
        <v>83</v>
      </c>
      <c r="D705" t="s">
        <v>88</v>
      </c>
      <c r="E705" t="s">
        <v>68</v>
      </c>
      <c r="F705">
        <v>105.2</v>
      </c>
    </row>
    <row r="706" spans="1:6" x14ac:dyDescent="0.55000000000000004">
      <c r="A706">
        <v>3</v>
      </c>
      <c r="B706" s="15" t="str">
        <f t="shared" si="108"/>
        <v>3_2</v>
      </c>
      <c r="C706" t="s">
        <v>83</v>
      </c>
      <c r="D706" t="s">
        <v>312</v>
      </c>
      <c r="E706" t="s">
        <v>89</v>
      </c>
      <c r="F706">
        <v>112.6</v>
      </c>
    </row>
    <row r="707" spans="1:6" x14ac:dyDescent="0.55000000000000004">
      <c r="A707">
        <f>A706</f>
        <v>3</v>
      </c>
      <c r="B707" s="15" t="str">
        <f t="shared" si="108"/>
        <v>3_2</v>
      </c>
      <c r="C707" t="str">
        <f>C706</f>
        <v>Chemical</v>
      </c>
      <c r="D707" t="s">
        <v>313</v>
      </c>
      <c r="E707" t="s">
        <v>89</v>
      </c>
      <c r="F707">
        <v>146.69999999999999</v>
      </c>
    </row>
    <row r="708" spans="1:6" x14ac:dyDescent="0.55000000000000004">
      <c r="A708">
        <v>3</v>
      </c>
      <c r="B708" s="15" t="str">
        <f t="shared" si="108"/>
        <v>3_2</v>
      </c>
      <c r="C708" t="s">
        <v>83</v>
      </c>
      <c r="D708" t="s">
        <v>90</v>
      </c>
      <c r="F708">
        <v>7.22</v>
      </c>
    </row>
    <row r="709" spans="1:6" x14ac:dyDescent="0.55000000000000004">
      <c r="A709">
        <v>4</v>
      </c>
      <c r="B709" s="15" t="str">
        <f t="shared" si="108"/>
        <v>4_2</v>
      </c>
      <c r="C709" t="s">
        <v>83</v>
      </c>
      <c r="D709" t="s">
        <v>84</v>
      </c>
      <c r="E709" t="s">
        <v>85</v>
      </c>
      <c r="F709">
        <v>12.9</v>
      </c>
    </row>
    <row r="710" spans="1:6" x14ac:dyDescent="0.55000000000000004">
      <c r="A710">
        <v>4</v>
      </c>
      <c r="B710" s="15" t="str">
        <f t="shared" si="108"/>
        <v>4_2</v>
      </c>
      <c r="C710" t="s">
        <v>83</v>
      </c>
      <c r="D710" t="s">
        <v>86</v>
      </c>
      <c r="E710" t="s">
        <v>87</v>
      </c>
      <c r="F710">
        <v>10.92</v>
      </c>
    </row>
    <row r="711" spans="1:6" x14ac:dyDescent="0.55000000000000004">
      <c r="A711">
        <v>4</v>
      </c>
      <c r="B711" s="15" t="str">
        <f t="shared" si="108"/>
        <v>4_2</v>
      </c>
      <c r="C711" t="s">
        <v>83</v>
      </c>
      <c r="D711" t="s">
        <v>88</v>
      </c>
      <c r="E711" t="s">
        <v>68</v>
      </c>
      <c r="F711">
        <v>103.5</v>
      </c>
    </row>
    <row r="712" spans="1:6" x14ac:dyDescent="0.55000000000000004">
      <c r="A712">
        <v>4</v>
      </c>
      <c r="B712" s="15" t="str">
        <f t="shared" si="108"/>
        <v>4_2</v>
      </c>
      <c r="C712" t="s">
        <v>83</v>
      </c>
      <c r="D712" t="s">
        <v>312</v>
      </c>
      <c r="E712" t="s">
        <v>89</v>
      </c>
      <c r="F712">
        <v>112</v>
      </c>
    </row>
    <row r="713" spans="1:6" x14ac:dyDescent="0.55000000000000004">
      <c r="A713">
        <f>A712</f>
        <v>4</v>
      </c>
      <c r="B713" s="15" t="str">
        <f t="shared" si="108"/>
        <v>4_2</v>
      </c>
      <c r="C713" t="str">
        <f>C712</f>
        <v>Chemical</v>
      </c>
      <c r="D713" t="s">
        <v>313</v>
      </c>
      <c r="E713" t="s">
        <v>89</v>
      </c>
      <c r="F713">
        <v>145.6</v>
      </c>
    </row>
    <row r="714" spans="1:6" x14ac:dyDescent="0.55000000000000004">
      <c r="A714">
        <v>4</v>
      </c>
      <c r="B714" s="15" t="str">
        <f t="shared" si="108"/>
        <v>4_2</v>
      </c>
      <c r="C714" t="s">
        <v>83</v>
      </c>
      <c r="D714" t="s">
        <v>90</v>
      </c>
      <c r="F714">
        <v>6.66</v>
      </c>
    </row>
    <row r="715" spans="1:6" x14ac:dyDescent="0.55000000000000004">
      <c r="A715">
        <v>5</v>
      </c>
      <c r="B715" s="15" t="str">
        <f t="shared" si="108"/>
        <v>5_2</v>
      </c>
      <c r="C715" t="s">
        <v>83</v>
      </c>
      <c r="D715" t="s">
        <v>84</v>
      </c>
      <c r="E715" t="s">
        <v>85</v>
      </c>
      <c r="F715">
        <v>13</v>
      </c>
    </row>
    <row r="716" spans="1:6" x14ac:dyDescent="0.55000000000000004">
      <c r="A716">
        <v>5</v>
      </c>
      <c r="B716" s="15" t="str">
        <f t="shared" si="108"/>
        <v>5_2</v>
      </c>
      <c r="C716" t="s">
        <v>83</v>
      </c>
      <c r="D716" t="s">
        <v>86</v>
      </c>
      <c r="E716" t="s">
        <v>87</v>
      </c>
      <c r="F716">
        <v>10.95</v>
      </c>
    </row>
    <row r="717" spans="1:6" x14ac:dyDescent="0.55000000000000004">
      <c r="A717">
        <v>5</v>
      </c>
      <c r="B717" s="15" t="str">
        <f t="shared" si="108"/>
        <v>5_2</v>
      </c>
      <c r="C717" t="s">
        <v>83</v>
      </c>
      <c r="D717" t="s">
        <v>88</v>
      </c>
      <c r="E717" t="s">
        <v>68</v>
      </c>
      <c r="F717">
        <v>103.9</v>
      </c>
    </row>
    <row r="718" spans="1:6" x14ac:dyDescent="0.55000000000000004">
      <c r="A718">
        <v>5</v>
      </c>
      <c r="B718" s="15" t="str">
        <f t="shared" si="108"/>
        <v>5_2</v>
      </c>
      <c r="C718" t="s">
        <v>83</v>
      </c>
      <c r="D718" t="s">
        <v>312</v>
      </c>
      <c r="E718" t="s">
        <v>89</v>
      </c>
      <c r="F718">
        <v>120.7</v>
      </c>
    </row>
    <row r="719" spans="1:6" x14ac:dyDescent="0.55000000000000004">
      <c r="A719">
        <f>A718</f>
        <v>5</v>
      </c>
      <c r="B719" s="15" t="str">
        <f t="shared" si="108"/>
        <v>5_2</v>
      </c>
      <c r="C719" t="str">
        <f>C718</f>
        <v>Chemical</v>
      </c>
      <c r="D719" t="s">
        <v>313</v>
      </c>
      <c r="E719" t="s">
        <v>89</v>
      </c>
      <c r="F719">
        <v>156.80000000000001</v>
      </c>
    </row>
    <row r="720" spans="1:6" x14ac:dyDescent="0.55000000000000004">
      <c r="A720">
        <v>5</v>
      </c>
      <c r="B720" s="15" t="str">
        <f t="shared" si="108"/>
        <v>5_2</v>
      </c>
      <c r="C720" t="s">
        <v>83</v>
      </c>
      <c r="D720" t="s">
        <v>90</v>
      </c>
      <c r="F720">
        <v>7.53</v>
      </c>
    </row>
    <row r="721" spans="1:6" x14ac:dyDescent="0.55000000000000004">
      <c r="A721">
        <v>6</v>
      </c>
      <c r="B721" s="15" t="str">
        <f t="shared" si="108"/>
        <v>6_2</v>
      </c>
      <c r="C721" t="s">
        <v>83</v>
      </c>
      <c r="D721" t="s">
        <v>84</v>
      </c>
      <c r="E721" t="s">
        <v>85</v>
      </c>
      <c r="F721">
        <v>13</v>
      </c>
    </row>
    <row r="722" spans="1:6" x14ac:dyDescent="0.55000000000000004">
      <c r="A722">
        <v>6</v>
      </c>
      <c r="B722" s="15" t="str">
        <f t="shared" si="108"/>
        <v>6_2</v>
      </c>
      <c r="C722" t="s">
        <v>83</v>
      </c>
      <c r="D722" t="s">
        <v>86</v>
      </c>
      <c r="E722" t="s">
        <v>87</v>
      </c>
      <c r="F722">
        <v>10.89</v>
      </c>
    </row>
    <row r="723" spans="1:6" x14ac:dyDescent="0.55000000000000004">
      <c r="A723">
        <v>6</v>
      </c>
      <c r="B723" s="15" t="str">
        <f t="shared" si="108"/>
        <v>6_2</v>
      </c>
      <c r="C723" t="s">
        <v>83</v>
      </c>
      <c r="D723" t="s">
        <v>88</v>
      </c>
      <c r="E723" t="s">
        <v>68</v>
      </c>
      <c r="F723">
        <v>103.3</v>
      </c>
    </row>
    <row r="724" spans="1:6" x14ac:dyDescent="0.55000000000000004">
      <c r="A724">
        <v>6</v>
      </c>
      <c r="B724" s="15" t="str">
        <f t="shared" si="108"/>
        <v>6_2</v>
      </c>
      <c r="C724" t="s">
        <v>83</v>
      </c>
      <c r="D724" t="s">
        <v>312</v>
      </c>
      <c r="E724" t="s">
        <v>89</v>
      </c>
      <c r="F724">
        <v>123.1</v>
      </c>
    </row>
    <row r="725" spans="1:6" x14ac:dyDescent="0.55000000000000004">
      <c r="A725">
        <f>A724</f>
        <v>6</v>
      </c>
      <c r="B725" s="15" t="str">
        <f t="shared" si="108"/>
        <v>6_2</v>
      </c>
      <c r="C725" t="str">
        <f>C724</f>
        <v>Chemical</v>
      </c>
      <c r="D725" t="s">
        <v>313</v>
      </c>
      <c r="E725" t="s">
        <v>89</v>
      </c>
      <c r="F725">
        <v>159.9</v>
      </c>
    </row>
    <row r="726" spans="1:6" x14ac:dyDescent="0.55000000000000004">
      <c r="A726">
        <v>6</v>
      </c>
      <c r="B726" s="15" t="str">
        <f t="shared" si="108"/>
        <v>6_2</v>
      </c>
      <c r="C726" t="s">
        <v>83</v>
      </c>
      <c r="D726" t="s">
        <v>90</v>
      </c>
      <c r="F726">
        <v>7.66</v>
      </c>
    </row>
    <row r="727" spans="1:6" x14ac:dyDescent="0.55000000000000004">
      <c r="A727">
        <v>7</v>
      </c>
      <c r="B727" s="15" t="str">
        <f t="shared" si="108"/>
        <v>7_2</v>
      </c>
      <c r="C727" t="s">
        <v>83</v>
      </c>
      <c r="D727" t="s">
        <v>84</v>
      </c>
      <c r="E727" t="s">
        <v>85</v>
      </c>
      <c r="F727">
        <v>11.2</v>
      </c>
    </row>
    <row r="728" spans="1:6" x14ac:dyDescent="0.55000000000000004">
      <c r="A728">
        <v>7</v>
      </c>
      <c r="B728" s="15" t="str">
        <f t="shared" si="108"/>
        <v>7_2</v>
      </c>
      <c r="C728" t="s">
        <v>83</v>
      </c>
      <c r="D728" t="s">
        <v>86</v>
      </c>
      <c r="E728" t="s">
        <v>87</v>
      </c>
      <c r="F728">
        <v>10.77</v>
      </c>
    </row>
    <row r="729" spans="1:6" x14ac:dyDescent="0.55000000000000004">
      <c r="A729">
        <v>7</v>
      </c>
      <c r="B729" s="15" t="str">
        <f t="shared" si="108"/>
        <v>7_2</v>
      </c>
      <c r="C729" t="s">
        <v>83</v>
      </c>
      <c r="D729" t="s">
        <v>88</v>
      </c>
      <c r="E729" t="s">
        <v>68</v>
      </c>
      <c r="F729">
        <v>98.2</v>
      </c>
    </row>
    <row r="730" spans="1:6" x14ac:dyDescent="0.55000000000000004">
      <c r="A730">
        <v>7</v>
      </c>
      <c r="B730" s="15" t="str">
        <f t="shared" si="108"/>
        <v>7_2</v>
      </c>
      <c r="C730" t="s">
        <v>83</v>
      </c>
      <c r="D730" t="s">
        <v>312</v>
      </c>
      <c r="E730" t="s">
        <v>89</v>
      </c>
      <c r="F730">
        <v>117.1</v>
      </c>
    </row>
    <row r="731" spans="1:6" x14ac:dyDescent="0.55000000000000004">
      <c r="A731">
        <f>A730</f>
        <v>7</v>
      </c>
      <c r="B731" s="15" t="str">
        <f t="shared" si="108"/>
        <v>7_2</v>
      </c>
      <c r="C731" t="str">
        <f>C730</f>
        <v>Chemical</v>
      </c>
      <c r="D731" t="s">
        <v>313</v>
      </c>
      <c r="E731" t="s">
        <v>89</v>
      </c>
      <c r="F731">
        <v>158.80000000000001</v>
      </c>
    </row>
    <row r="732" spans="1:6" x14ac:dyDescent="0.55000000000000004">
      <c r="A732">
        <v>7</v>
      </c>
      <c r="B732" s="15" t="str">
        <f t="shared" si="108"/>
        <v>7_2</v>
      </c>
      <c r="C732" t="s">
        <v>83</v>
      </c>
      <c r="D732" t="s">
        <v>90</v>
      </c>
      <c r="F732">
        <v>7.94</v>
      </c>
    </row>
    <row r="733" spans="1:6" x14ac:dyDescent="0.55000000000000004">
      <c r="A733">
        <v>8</v>
      </c>
      <c r="B733" s="15" t="str">
        <f t="shared" si="108"/>
        <v>8_2</v>
      </c>
      <c r="C733" t="s">
        <v>83</v>
      </c>
      <c r="D733" t="s">
        <v>84</v>
      </c>
      <c r="E733" t="s">
        <v>85</v>
      </c>
      <c r="F733">
        <v>11.2</v>
      </c>
    </row>
    <row r="734" spans="1:6" x14ac:dyDescent="0.55000000000000004">
      <c r="A734">
        <v>8</v>
      </c>
      <c r="B734" s="15" t="str">
        <f t="shared" si="108"/>
        <v>8_2</v>
      </c>
      <c r="C734" t="s">
        <v>83</v>
      </c>
      <c r="D734" t="s">
        <v>86</v>
      </c>
      <c r="E734" t="s">
        <v>87</v>
      </c>
      <c r="F734">
        <v>10.46</v>
      </c>
    </row>
    <row r="735" spans="1:6" x14ac:dyDescent="0.55000000000000004">
      <c r="A735">
        <v>8</v>
      </c>
      <c r="B735" s="15" t="str">
        <f t="shared" si="108"/>
        <v>8_2</v>
      </c>
      <c r="C735" t="s">
        <v>83</v>
      </c>
      <c r="D735" t="s">
        <v>88</v>
      </c>
      <c r="E735" t="s">
        <v>68</v>
      </c>
      <c r="F735">
        <v>95.3</v>
      </c>
    </row>
    <row r="736" spans="1:6" x14ac:dyDescent="0.55000000000000004">
      <c r="A736">
        <v>8</v>
      </c>
      <c r="B736" s="15" t="str">
        <f t="shared" si="108"/>
        <v>8_2</v>
      </c>
      <c r="C736" t="s">
        <v>83</v>
      </c>
      <c r="D736" t="s">
        <v>312</v>
      </c>
      <c r="E736" t="s">
        <v>89</v>
      </c>
      <c r="F736">
        <v>117.5</v>
      </c>
    </row>
    <row r="737" spans="1:6" x14ac:dyDescent="0.55000000000000004">
      <c r="A737">
        <f>A736</f>
        <v>8</v>
      </c>
      <c r="B737" s="15" t="str">
        <f t="shared" si="108"/>
        <v>8_2</v>
      </c>
      <c r="C737" t="str">
        <f>C736</f>
        <v>Chemical</v>
      </c>
      <c r="D737" t="s">
        <v>313</v>
      </c>
      <c r="E737" t="s">
        <v>89</v>
      </c>
      <c r="F737">
        <v>159.69999999999999</v>
      </c>
    </row>
    <row r="738" spans="1:6" x14ac:dyDescent="0.55000000000000004">
      <c r="A738">
        <v>8</v>
      </c>
      <c r="B738" s="15" t="str">
        <f t="shared" si="108"/>
        <v>8_2</v>
      </c>
      <c r="C738" t="s">
        <v>83</v>
      </c>
      <c r="D738" t="s">
        <v>90</v>
      </c>
      <c r="F738">
        <v>8.15</v>
      </c>
    </row>
    <row r="739" spans="1:6" x14ac:dyDescent="0.55000000000000004">
      <c r="A739">
        <v>9</v>
      </c>
      <c r="B739" s="15" t="str">
        <f t="shared" si="108"/>
        <v>9_2</v>
      </c>
      <c r="C739" t="s">
        <v>83</v>
      </c>
      <c r="D739" t="s">
        <v>84</v>
      </c>
      <c r="E739" t="s">
        <v>85</v>
      </c>
      <c r="F739">
        <v>13</v>
      </c>
    </row>
    <row r="740" spans="1:6" x14ac:dyDescent="0.55000000000000004">
      <c r="A740">
        <v>9</v>
      </c>
      <c r="B740" s="15" t="str">
        <f t="shared" si="108"/>
        <v>9_2</v>
      </c>
      <c r="C740" t="s">
        <v>83</v>
      </c>
      <c r="D740" t="s">
        <v>86</v>
      </c>
      <c r="E740" t="s">
        <v>87</v>
      </c>
      <c r="F740">
        <v>11.45</v>
      </c>
    </row>
    <row r="741" spans="1:6" x14ac:dyDescent="0.55000000000000004">
      <c r="A741">
        <v>9</v>
      </c>
      <c r="B741" s="15" t="str">
        <f t="shared" si="108"/>
        <v>9_2</v>
      </c>
      <c r="C741" t="s">
        <v>83</v>
      </c>
      <c r="D741" t="s">
        <v>88</v>
      </c>
      <c r="E741" t="s">
        <v>68</v>
      </c>
      <c r="F741">
        <v>108.6</v>
      </c>
    </row>
    <row r="742" spans="1:6" x14ac:dyDescent="0.55000000000000004">
      <c r="A742">
        <v>9</v>
      </c>
      <c r="B742" s="15" t="str">
        <f t="shared" si="108"/>
        <v>9_2</v>
      </c>
      <c r="C742" t="s">
        <v>83</v>
      </c>
      <c r="D742" t="s">
        <v>312</v>
      </c>
      <c r="E742" t="s">
        <v>89</v>
      </c>
      <c r="F742">
        <v>121.1</v>
      </c>
    </row>
    <row r="743" spans="1:6" x14ac:dyDescent="0.55000000000000004">
      <c r="A743">
        <f>A742</f>
        <v>9</v>
      </c>
      <c r="B743" s="15" t="str">
        <f t="shared" si="108"/>
        <v>9_2</v>
      </c>
      <c r="C743" t="str">
        <f>C742</f>
        <v>Chemical</v>
      </c>
      <c r="D743" t="s">
        <v>313</v>
      </c>
      <c r="E743" t="s">
        <v>89</v>
      </c>
      <c r="F743">
        <v>157.1</v>
      </c>
    </row>
    <row r="744" spans="1:6" x14ac:dyDescent="0.55000000000000004">
      <c r="A744">
        <v>9</v>
      </c>
      <c r="B744" s="15" t="str">
        <f t="shared" si="108"/>
        <v>9_2</v>
      </c>
      <c r="C744" t="s">
        <v>83</v>
      </c>
      <c r="D744" t="s">
        <v>90</v>
      </c>
      <c r="F744">
        <v>5.88</v>
      </c>
    </row>
    <row r="745" spans="1:6" x14ac:dyDescent="0.55000000000000004">
      <c r="A745">
        <v>10</v>
      </c>
      <c r="B745" s="15" t="str">
        <f t="shared" si="108"/>
        <v>10_2</v>
      </c>
      <c r="C745" t="s">
        <v>83</v>
      </c>
      <c r="D745" t="s">
        <v>84</v>
      </c>
      <c r="E745" t="s">
        <v>85</v>
      </c>
      <c r="F745">
        <v>14.6</v>
      </c>
    </row>
    <row r="746" spans="1:6" x14ac:dyDescent="0.55000000000000004">
      <c r="A746">
        <v>10</v>
      </c>
      <c r="B746" s="15" t="str">
        <f t="shared" si="108"/>
        <v>10_2</v>
      </c>
      <c r="C746" t="s">
        <v>83</v>
      </c>
      <c r="D746" t="s">
        <v>86</v>
      </c>
      <c r="E746" t="s">
        <v>87</v>
      </c>
      <c r="F746">
        <v>10.32</v>
      </c>
    </row>
    <row r="747" spans="1:6" x14ac:dyDescent="0.55000000000000004">
      <c r="A747">
        <v>10</v>
      </c>
      <c r="B747" s="15" t="str">
        <f t="shared" si="108"/>
        <v>10_2</v>
      </c>
      <c r="C747" t="s">
        <v>83</v>
      </c>
      <c r="D747" t="s">
        <v>88</v>
      </c>
      <c r="E747" t="s">
        <v>68</v>
      </c>
      <c r="F747">
        <v>101.4</v>
      </c>
    </row>
    <row r="748" spans="1:6" x14ac:dyDescent="0.55000000000000004">
      <c r="A748">
        <v>10</v>
      </c>
      <c r="B748" s="15" t="str">
        <f t="shared" si="108"/>
        <v>10_2</v>
      </c>
      <c r="C748" t="s">
        <v>83</v>
      </c>
      <c r="D748" t="s">
        <v>312</v>
      </c>
      <c r="E748" t="s">
        <v>89</v>
      </c>
      <c r="F748">
        <v>224.1</v>
      </c>
    </row>
    <row r="749" spans="1:6" x14ac:dyDescent="0.55000000000000004">
      <c r="A749">
        <f>A748</f>
        <v>10</v>
      </c>
      <c r="B749" s="15" t="str">
        <f t="shared" si="108"/>
        <v>10_2</v>
      </c>
      <c r="C749" t="str">
        <f>C748</f>
        <v>Chemical</v>
      </c>
      <c r="D749" t="s">
        <v>313</v>
      </c>
      <c r="E749" t="s">
        <v>89</v>
      </c>
      <c r="F749">
        <v>280</v>
      </c>
    </row>
    <row r="750" spans="1:6" x14ac:dyDescent="0.55000000000000004">
      <c r="A750">
        <v>10</v>
      </c>
      <c r="B750" s="15" t="str">
        <f t="shared" si="108"/>
        <v>10_2</v>
      </c>
      <c r="C750" t="s">
        <v>83</v>
      </c>
      <c r="D750" t="s">
        <v>90</v>
      </c>
      <c r="F750">
        <v>3.85</v>
      </c>
    </row>
    <row r="751" spans="1:6" x14ac:dyDescent="0.55000000000000004">
      <c r="A751">
        <v>11</v>
      </c>
      <c r="B751" s="15" t="str">
        <f t="shared" si="108"/>
        <v>11_2</v>
      </c>
      <c r="C751" t="s">
        <v>83</v>
      </c>
      <c r="D751" t="s">
        <v>84</v>
      </c>
      <c r="E751" t="s">
        <v>85</v>
      </c>
      <c r="F751">
        <v>11.9</v>
      </c>
    </row>
    <row r="752" spans="1:6" x14ac:dyDescent="0.55000000000000004">
      <c r="A752">
        <v>11</v>
      </c>
      <c r="B752" s="15" t="str">
        <f t="shared" si="108"/>
        <v>11_2</v>
      </c>
      <c r="C752" t="s">
        <v>83</v>
      </c>
      <c r="D752" t="s">
        <v>86</v>
      </c>
      <c r="E752" t="s">
        <v>87</v>
      </c>
      <c r="F752">
        <v>9.69</v>
      </c>
    </row>
    <row r="753" spans="1:6" x14ac:dyDescent="0.55000000000000004">
      <c r="A753">
        <v>11</v>
      </c>
      <c r="B753" s="15" t="str">
        <f t="shared" si="108"/>
        <v>11_2</v>
      </c>
      <c r="C753" t="s">
        <v>83</v>
      </c>
      <c r="D753" t="s">
        <v>88</v>
      </c>
      <c r="E753" t="s">
        <v>68</v>
      </c>
      <c r="F753">
        <v>89.8</v>
      </c>
    </row>
    <row r="754" spans="1:6" x14ac:dyDescent="0.55000000000000004">
      <c r="A754">
        <v>11</v>
      </c>
      <c r="B754" s="15" t="str">
        <f t="shared" si="108"/>
        <v>11_2</v>
      </c>
      <c r="C754" t="s">
        <v>83</v>
      </c>
      <c r="D754" t="s">
        <v>312</v>
      </c>
      <c r="E754" t="s">
        <v>89</v>
      </c>
      <c r="F754">
        <v>109.7</v>
      </c>
    </row>
    <row r="755" spans="1:6" x14ac:dyDescent="0.55000000000000004">
      <c r="A755">
        <f>A754</f>
        <v>11</v>
      </c>
      <c r="B755" s="15" t="str">
        <f t="shared" si="108"/>
        <v>11_2</v>
      </c>
      <c r="C755" t="str">
        <f>C754</f>
        <v>Chemical</v>
      </c>
      <c r="D755" t="s">
        <v>313</v>
      </c>
      <c r="E755" t="s">
        <v>89</v>
      </c>
      <c r="F755">
        <v>146.19999999999999</v>
      </c>
    </row>
    <row r="756" spans="1:6" x14ac:dyDescent="0.55000000000000004">
      <c r="A756">
        <v>11</v>
      </c>
      <c r="B756" s="15" t="str">
        <f t="shared" si="108"/>
        <v>11_2</v>
      </c>
      <c r="C756" t="s">
        <v>83</v>
      </c>
      <c r="D756" t="s">
        <v>90</v>
      </c>
      <c r="F756">
        <v>8.2200000000000006</v>
      </c>
    </row>
    <row r="757" spans="1:6" x14ac:dyDescent="0.55000000000000004">
      <c r="A757">
        <v>12</v>
      </c>
      <c r="B757" s="15" t="str">
        <f t="shared" si="108"/>
        <v>12_2</v>
      </c>
      <c r="C757" t="s">
        <v>83</v>
      </c>
      <c r="D757" t="s">
        <v>84</v>
      </c>
      <c r="E757" t="s">
        <v>85</v>
      </c>
      <c r="F757">
        <v>11.9</v>
      </c>
    </row>
    <row r="758" spans="1:6" x14ac:dyDescent="0.55000000000000004">
      <c r="A758">
        <v>12</v>
      </c>
      <c r="B758" s="15" t="str">
        <f t="shared" si="108"/>
        <v>12_2</v>
      </c>
      <c r="C758" t="s">
        <v>83</v>
      </c>
      <c r="D758" t="s">
        <v>86</v>
      </c>
      <c r="E758" t="s">
        <v>87</v>
      </c>
      <c r="F758">
        <v>9.9499999999999993</v>
      </c>
    </row>
    <row r="759" spans="1:6" x14ac:dyDescent="0.55000000000000004">
      <c r="A759">
        <v>12</v>
      </c>
      <c r="B759" s="15" t="str">
        <f t="shared" si="108"/>
        <v>12_2</v>
      </c>
      <c r="C759" t="s">
        <v>83</v>
      </c>
      <c r="D759" t="s">
        <v>88</v>
      </c>
      <c r="E759" t="s">
        <v>68</v>
      </c>
      <c r="F759">
        <v>92.1</v>
      </c>
    </row>
    <row r="760" spans="1:6" x14ac:dyDescent="0.55000000000000004">
      <c r="A760">
        <v>12</v>
      </c>
      <c r="B760" s="15" t="str">
        <f t="shared" si="108"/>
        <v>12_2</v>
      </c>
      <c r="C760" t="s">
        <v>83</v>
      </c>
      <c r="D760" t="s">
        <v>312</v>
      </c>
      <c r="E760" t="s">
        <v>89</v>
      </c>
      <c r="F760">
        <v>113.3</v>
      </c>
    </row>
    <row r="761" spans="1:6" x14ac:dyDescent="0.55000000000000004">
      <c r="A761">
        <f>A760</f>
        <v>12</v>
      </c>
      <c r="B761" s="15" t="str">
        <f t="shared" si="108"/>
        <v>12_2</v>
      </c>
      <c r="C761" t="str">
        <f>C760</f>
        <v>Chemical</v>
      </c>
      <c r="D761" t="s">
        <v>313</v>
      </c>
      <c r="E761" t="s">
        <v>89</v>
      </c>
      <c r="F761">
        <v>151.30000000000001</v>
      </c>
    </row>
    <row r="762" spans="1:6" x14ac:dyDescent="0.55000000000000004">
      <c r="A762">
        <v>12</v>
      </c>
      <c r="B762" s="15" t="str">
        <f t="shared" si="108"/>
        <v>12_2</v>
      </c>
      <c r="C762" t="s">
        <v>83</v>
      </c>
      <c r="D762" t="s">
        <v>90</v>
      </c>
      <c r="F762">
        <v>7.99</v>
      </c>
    </row>
    <row r="763" spans="1:6" x14ac:dyDescent="0.55000000000000004">
      <c r="A763">
        <v>13</v>
      </c>
      <c r="B763" s="15" t="str">
        <f t="shared" si="108"/>
        <v>13_2</v>
      </c>
      <c r="C763" t="s">
        <v>83</v>
      </c>
      <c r="D763" t="s">
        <v>84</v>
      </c>
      <c r="E763" t="s">
        <v>85</v>
      </c>
    </row>
    <row r="764" spans="1:6" x14ac:dyDescent="0.55000000000000004">
      <c r="A764">
        <v>13</v>
      </c>
      <c r="B764" s="15" t="str">
        <f t="shared" si="108"/>
        <v>13_2</v>
      </c>
      <c r="C764" t="s">
        <v>83</v>
      </c>
      <c r="D764" t="s">
        <v>86</v>
      </c>
      <c r="E764" t="s">
        <v>87</v>
      </c>
    </row>
    <row r="765" spans="1:6" x14ac:dyDescent="0.55000000000000004">
      <c r="A765">
        <v>13</v>
      </c>
      <c r="B765" s="15" t="str">
        <f t="shared" si="108"/>
        <v>13_2</v>
      </c>
      <c r="C765" t="s">
        <v>83</v>
      </c>
      <c r="D765" t="s">
        <v>88</v>
      </c>
      <c r="E765" t="s">
        <v>68</v>
      </c>
    </row>
    <row r="766" spans="1:6" x14ac:dyDescent="0.55000000000000004">
      <c r="A766">
        <v>13</v>
      </c>
      <c r="B766" s="15" t="str">
        <f t="shared" si="108"/>
        <v>13_2</v>
      </c>
      <c r="C766" t="s">
        <v>83</v>
      </c>
      <c r="D766" t="s">
        <v>312</v>
      </c>
      <c r="E766" t="s">
        <v>89</v>
      </c>
    </row>
    <row r="767" spans="1:6" x14ac:dyDescent="0.55000000000000004">
      <c r="A767">
        <f>A766</f>
        <v>13</v>
      </c>
      <c r="B767" s="15" t="str">
        <f t="shared" si="108"/>
        <v>13_2</v>
      </c>
      <c r="C767" t="str">
        <f>C766</f>
        <v>Chemical</v>
      </c>
      <c r="D767" t="s">
        <v>313</v>
      </c>
      <c r="E767" t="s">
        <v>89</v>
      </c>
    </row>
    <row r="768" spans="1:6" x14ac:dyDescent="0.55000000000000004">
      <c r="A768">
        <v>13</v>
      </c>
      <c r="B768" s="15" t="str">
        <f t="shared" ref="B768:B822" si="109">A768 &amp; "_2"</f>
        <v>13_2</v>
      </c>
      <c r="C768" t="s">
        <v>83</v>
      </c>
      <c r="D768" t="s">
        <v>90</v>
      </c>
    </row>
    <row r="769" spans="1:5" x14ac:dyDescent="0.55000000000000004">
      <c r="A769">
        <v>14</v>
      </c>
      <c r="B769" s="15" t="str">
        <f t="shared" si="109"/>
        <v>14_2</v>
      </c>
      <c r="C769" t="s">
        <v>83</v>
      </c>
      <c r="D769" t="s">
        <v>84</v>
      </c>
      <c r="E769" t="s">
        <v>85</v>
      </c>
    </row>
    <row r="770" spans="1:5" x14ac:dyDescent="0.55000000000000004">
      <c r="A770">
        <v>14</v>
      </c>
      <c r="B770" s="15" t="str">
        <f t="shared" si="109"/>
        <v>14_2</v>
      </c>
      <c r="C770" t="s">
        <v>83</v>
      </c>
      <c r="D770" t="s">
        <v>86</v>
      </c>
      <c r="E770" t="s">
        <v>87</v>
      </c>
    </row>
    <row r="771" spans="1:5" x14ac:dyDescent="0.55000000000000004">
      <c r="A771">
        <v>14</v>
      </c>
      <c r="B771" s="15" t="str">
        <f t="shared" si="109"/>
        <v>14_2</v>
      </c>
      <c r="C771" t="s">
        <v>83</v>
      </c>
      <c r="D771" t="s">
        <v>88</v>
      </c>
      <c r="E771" t="s">
        <v>68</v>
      </c>
    </row>
    <row r="772" spans="1:5" x14ac:dyDescent="0.55000000000000004">
      <c r="A772">
        <v>14</v>
      </c>
      <c r="B772" s="15" t="str">
        <f t="shared" si="109"/>
        <v>14_2</v>
      </c>
      <c r="C772" t="s">
        <v>83</v>
      </c>
      <c r="D772" t="s">
        <v>312</v>
      </c>
      <c r="E772" t="s">
        <v>89</v>
      </c>
    </row>
    <row r="773" spans="1:5" x14ac:dyDescent="0.55000000000000004">
      <c r="A773">
        <f>A772</f>
        <v>14</v>
      </c>
      <c r="B773" s="15" t="str">
        <f t="shared" si="109"/>
        <v>14_2</v>
      </c>
      <c r="C773" t="str">
        <f>C772</f>
        <v>Chemical</v>
      </c>
      <c r="D773" t="s">
        <v>313</v>
      </c>
      <c r="E773" t="s">
        <v>89</v>
      </c>
    </row>
    <row r="774" spans="1:5" x14ac:dyDescent="0.55000000000000004">
      <c r="A774">
        <v>14</v>
      </c>
      <c r="B774" s="15" t="str">
        <f t="shared" si="109"/>
        <v>14_2</v>
      </c>
      <c r="C774" t="s">
        <v>83</v>
      </c>
      <c r="D774" t="s">
        <v>90</v>
      </c>
    </row>
    <row r="775" spans="1:5" x14ac:dyDescent="0.55000000000000004">
      <c r="A775">
        <v>15</v>
      </c>
      <c r="B775" s="15" t="str">
        <f t="shared" si="109"/>
        <v>15_2</v>
      </c>
      <c r="C775" t="s">
        <v>83</v>
      </c>
      <c r="D775" t="s">
        <v>84</v>
      </c>
      <c r="E775" t="s">
        <v>85</v>
      </c>
    </row>
    <row r="776" spans="1:5" x14ac:dyDescent="0.55000000000000004">
      <c r="A776">
        <v>15</v>
      </c>
      <c r="B776" s="15" t="str">
        <f t="shared" si="109"/>
        <v>15_2</v>
      </c>
      <c r="C776" t="s">
        <v>83</v>
      </c>
      <c r="D776" t="s">
        <v>86</v>
      </c>
      <c r="E776" t="s">
        <v>87</v>
      </c>
    </row>
    <row r="777" spans="1:5" x14ac:dyDescent="0.55000000000000004">
      <c r="A777">
        <v>15</v>
      </c>
      <c r="B777" s="15" t="str">
        <f t="shared" si="109"/>
        <v>15_2</v>
      </c>
      <c r="C777" t="s">
        <v>83</v>
      </c>
      <c r="D777" t="s">
        <v>88</v>
      </c>
      <c r="E777" t="s">
        <v>68</v>
      </c>
    </row>
    <row r="778" spans="1:5" x14ac:dyDescent="0.55000000000000004">
      <c r="A778">
        <v>15</v>
      </c>
      <c r="B778" s="15" t="str">
        <f t="shared" si="109"/>
        <v>15_2</v>
      </c>
      <c r="C778" t="s">
        <v>83</v>
      </c>
      <c r="D778" t="s">
        <v>312</v>
      </c>
      <c r="E778" t="s">
        <v>89</v>
      </c>
    </row>
    <row r="779" spans="1:5" x14ac:dyDescent="0.55000000000000004">
      <c r="A779">
        <f>A778</f>
        <v>15</v>
      </c>
      <c r="B779" s="15" t="str">
        <f t="shared" si="109"/>
        <v>15_2</v>
      </c>
      <c r="C779" t="str">
        <f>C778</f>
        <v>Chemical</v>
      </c>
      <c r="D779" t="s">
        <v>313</v>
      </c>
      <c r="E779" t="s">
        <v>89</v>
      </c>
    </row>
    <row r="780" spans="1:5" x14ac:dyDescent="0.55000000000000004">
      <c r="A780">
        <v>15</v>
      </c>
      <c r="B780" s="15" t="str">
        <f t="shared" si="109"/>
        <v>15_2</v>
      </c>
      <c r="C780" t="s">
        <v>83</v>
      </c>
      <c r="D780" t="s">
        <v>90</v>
      </c>
    </row>
    <row r="781" spans="1:5" x14ac:dyDescent="0.55000000000000004">
      <c r="A781">
        <v>16</v>
      </c>
      <c r="B781" s="15" t="str">
        <f t="shared" si="109"/>
        <v>16_2</v>
      </c>
      <c r="C781" t="s">
        <v>83</v>
      </c>
      <c r="D781" t="s">
        <v>84</v>
      </c>
      <c r="E781" t="s">
        <v>85</v>
      </c>
    </row>
    <row r="782" spans="1:5" x14ac:dyDescent="0.55000000000000004">
      <c r="A782">
        <v>16</v>
      </c>
      <c r="B782" s="15" t="str">
        <f t="shared" si="109"/>
        <v>16_2</v>
      </c>
      <c r="C782" t="s">
        <v>83</v>
      </c>
      <c r="D782" t="s">
        <v>86</v>
      </c>
      <c r="E782" t="s">
        <v>87</v>
      </c>
    </row>
    <row r="783" spans="1:5" x14ac:dyDescent="0.55000000000000004">
      <c r="A783">
        <v>16</v>
      </c>
      <c r="B783" s="15" t="str">
        <f t="shared" si="109"/>
        <v>16_2</v>
      </c>
      <c r="C783" t="s">
        <v>83</v>
      </c>
      <c r="D783" t="s">
        <v>88</v>
      </c>
      <c r="E783" t="s">
        <v>68</v>
      </c>
    </row>
    <row r="784" spans="1:5" x14ac:dyDescent="0.55000000000000004">
      <c r="A784">
        <v>16</v>
      </c>
      <c r="B784" s="15" t="str">
        <f t="shared" si="109"/>
        <v>16_2</v>
      </c>
      <c r="C784" t="s">
        <v>83</v>
      </c>
      <c r="D784" t="s">
        <v>312</v>
      </c>
      <c r="E784" t="s">
        <v>89</v>
      </c>
    </row>
    <row r="785" spans="1:5" x14ac:dyDescent="0.55000000000000004">
      <c r="A785">
        <f>A784</f>
        <v>16</v>
      </c>
      <c r="B785" s="15" t="str">
        <f t="shared" si="109"/>
        <v>16_2</v>
      </c>
      <c r="C785" t="str">
        <f>C784</f>
        <v>Chemical</v>
      </c>
      <c r="D785" t="s">
        <v>313</v>
      </c>
      <c r="E785" t="s">
        <v>89</v>
      </c>
    </row>
    <row r="786" spans="1:5" x14ac:dyDescent="0.55000000000000004">
      <c r="A786">
        <v>16</v>
      </c>
      <c r="B786" s="15" t="str">
        <f t="shared" si="109"/>
        <v>16_2</v>
      </c>
      <c r="C786" t="s">
        <v>83</v>
      </c>
      <c r="D786" t="s">
        <v>90</v>
      </c>
    </row>
    <row r="787" spans="1:5" x14ac:dyDescent="0.55000000000000004">
      <c r="A787">
        <v>17</v>
      </c>
      <c r="B787" s="15" t="str">
        <f t="shared" si="109"/>
        <v>17_2</v>
      </c>
      <c r="C787" t="s">
        <v>83</v>
      </c>
      <c r="D787" t="s">
        <v>84</v>
      </c>
      <c r="E787" t="s">
        <v>85</v>
      </c>
    </row>
    <row r="788" spans="1:5" x14ac:dyDescent="0.55000000000000004">
      <c r="A788">
        <v>17</v>
      </c>
      <c r="B788" s="15" t="str">
        <f t="shared" si="109"/>
        <v>17_2</v>
      </c>
      <c r="C788" t="s">
        <v>83</v>
      </c>
      <c r="D788" t="s">
        <v>86</v>
      </c>
      <c r="E788" t="s">
        <v>87</v>
      </c>
    </row>
    <row r="789" spans="1:5" x14ac:dyDescent="0.55000000000000004">
      <c r="A789">
        <v>17</v>
      </c>
      <c r="B789" s="15" t="str">
        <f t="shared" si="109"/>
        <v>17_2</v>
      </c>
      <c r="C789" t="s">
        <v>83</v>
      </c>
      <c r="D789" t="s">
        <v>88</v>
      </c>
      <c r="E789" t="s">
        <v>68</v>
      </c>
    </row>
    <row r="790" spans="1:5" x14ac:dyDescent="0.55000000000000004">
      <c r="A790">
        <v>17</v>
      </c>
      <c r="B790" s="15" t="str">
        <f t="shared" si="109"/>
        <v>17_2</v>
      </c>
      <c r="C790" t="s">
        <v>83</v>
      </c>
      <c r="D790" t="s">
        <v>312</v>
      </c>
      <c r="E790" t="s">
        <v>89</v>
      </c>
    </row>
    <row r="791" spans="1:5" x14ac:dyDescent="0.55000000000000004">
      <c r="A791">
        <f>A790</f>
        <v>17</v>
      </c>
      <c r="B791" s="15" t="str">
        <f t="shared" si="109"/>
        <v>17_2</v>
      </c>
      <c r="C791" t="str">
        <f>C790</f>
        <v>Chemical</v>
      </c>
      <c r="D791" t="s">
        <v>313</v>
      </c>
      <c r="E791" t="s">
        <v>89</v>
      </c>
    </row>
    <row r="792" spans="1:5" x14ac:dyDescent="0.55000000000000004">
      <c r="A792">
        <v>17</v>
      </c>
      <c r="B792" s="15" t="str">
        <f t="shared" si="109"/>
        <v>17_2</v>
      </c>
      <c r="C792" t="s">
        <v>83</v>
      </c>
      <c r="D792" t="s">
        <v>90</v>
      </c>
    </row>
    <row r="793" spans="1:5" x14ac:dyDescent="0.55000000000000004">
      <c r="A793">
        <v>18</v>
      </c>
      <c r="B793" s="15" t="str">
        <f t="shared" si="109"/>
        <v>18_2</v>
      </c>
      <c r="C793" t="s">
        <v>83</v>
      </c>
      <c r="D793" t="s">
        <v>84</v>
      </c>
      <c r="E793" t="s">
        <v>85</v>
      </c>
    </row>
    <row r="794" spans="1:5" x14ac:dyDescent="0.55000000000000004">
      <c r="A794">
        <v>18</v>
      </c>
      <c r="B794" s="15" t="str">
        <f t="shared" si="109"/>
        <v>18_2</v>
      </c>
      <c r="C794" t="s">
        <v>83</v>
      </c>
      <c r="D794" t="s">
        <v>86</v>
      </c>
      <c r="E794" t="s">
        <v>87</v>
      </c>
    </row>
    <row r="795" spans="1:5" x14ac:dyDescent="0.55000000000000004">
      <c r="A795">
        <v>18</v>
      </c>
      <c r="B795" s="15" t="str">
        <f t="shared" si="109"/>
        <v>18_2</v>
      </c>
      <c r="C795" t="s">
        <v>83</v>
      </c>
      <c r="D795" t="s">
        <v>88</v>
      </c>
      <c r="E795" t="s">
        <v>68</v>
      </c>
    </row>
    <row r="796" spans="1:5" x14ac:dyDescent="0.55000000000000004">
      <c r="A796">
        <v>18</v>
      </c>
      <c r="B796" s="15" t="str">
        <f t="shared" si="109"/>
        <v>18_2</v>
      </c>
      <c r="C796" t="s">
        <v>83</v>
      </c>
      <c r="D796" t="s">
        <v>312</v>
      </c>
      <c r="E796" t="s">
        <v>89</v>
      </c>
    </row>
    <row r="797" spans="1:5" x14ac:dyDescent="0.55000000000000004">
      <c r="A797">
        <f>A796</f>
        <v>18</v>
      </c>
      <c r="B797" s="15" t="str">
        <f t="shared" si="109"/>
        <v>18_2</v>
      </c>
      <c r="C797" t="str">
        <f>C796</f>
        <v>Chemical</v>
      </c>
      <c r="D797" t="s">
        <v>313</v>
      </c>
      <c r="E797" t="s">
        <v>89</v>
      </c>
    </row>
    <row r="798" spans="1:5" x14ac:dyDescent="0.55000000000000004">
      <c r="A798">
        <v>18</v>
      </c>
      <c r="B798" s="15" t="str">
        <f t="shared" si="109"/>
        <v>18_2</v>
      </c>
      <c r="C798" t="s">
        <v>83</v>
      </c>
      <c r="D798" t="s">
        <v>90</v>
      </c>
    </row>
    <row r="799" spans="1:5" x14ac:dyDescent="0.55000000000000004">
      <c r="A799">
        <v>19</v>
      </c>
      <c r="B799" s="15" t="str">
        <f t="shared" si="109"/>
        <v>19_2</v>
      </c>
      <c r="C799" t="s">
        <v>83</v>
      </c>
      <c r="D799" t="s">
        <v>84</v>
      </c>
      <c r="E799" t="s">
        <v>85</v>
      </c>
    </row>
    <row r="800" spans="1:5" x14ac:dyDescent="0.55000000000000004">
      <c r="A800">
        <v>19</v>
      </c>
      <c r="B800" s="15" t="str">
        <f t="shared" si="109"/>
        <v>19_2</v>
      </c>
      <c r="C800" t="s">
        <v>83</v>
      </c>
      <c r="D800" t="s">
        <v>86</v>
      </c>
      <c r="E800" t="s">
        <v>87</v>
      </c>
    </row>
    <row r="801" spans="1:5" x14ac:dyDescent="0.55000000000000004">
      <c r="A801">
        <v>19</v>
      </c>
      <c r="B801" s="15" t="str">
        <f t="shared" si="109"/>
        <v>19_2</v>
      </c>
      <c r="C801" t="s">
        <v>83</v>
      </c>
      <c r="D801" t="s">
        <v>88</v>
      </c>
      <c r="E801" t="s">
        <v>68</v>
      </c>
    </row>
    <row r="802" spans="1:5" x14ac:dyDescent="0.55000000000000004">
      <c r="A802">
        <v>19</v>
      </c>
      <c r="B802" s="15" t="str">
        <f t="shared" si="109"/>
        <v>19_2</v>
      </c>
      <c r="C802" t="s">
        <v>83</v>
      </c>
      <c r="D802" t="s">
        <v>312</v>
      </c>
      <c r="E802" t="s">
        <v>89</v>
      </c>
    </row>
    <row r="803" spans="1:5" x14ac:dyDescent="0.55000000000000004">
      <c r="A803">
        <f>A802</f>
        <v>19</v>
      </c>
      <c r="B803" s="15" t="str">
        <f t="shared" si="109"/>
        <v>19_2</v>
      </c>
      <c r="C803" t="str">
        <f>C802</f>
        <v>Chemical</v>
      </c>
      <c r="D803" t="s">
        <v>313</v>
      </c>
      <c r="E803" t="s">
        <v>89</v>
      </c>
    </row>
    <row r="804" spans="1:5" x14ac:dyDescent="0.55000000000000004">
      <c r="A804">
        <v>19</v>
      </c>
      <c r="B804" s="15" t="str">
        <f t="shared" si="109"/>
        <v>19_2</v>
      </c>
      <c r="C804" t="s">
        <v>83</v>
      </c>
      <c r="D804" t="s">
        <v>90</v>
      </c>
    </row>
    <row r="805" spans="1:5" x14ac:dyDescent="0.55000000000000004">
      <c r="A805">
        <v>20</v>
      </c>
      <c r="B805" s="15" t="str">
        <f t="shared" si="109"/>
        <v>20_2</v>
      </c>
      <c r="C805" t="s">
        <v>83</v>
      </c>
      <c r="D805" t="s">
        <v>84</v>
      </c>
      <c r="E805" t="s">
        <v>85</v>
      </c>
    </row>
    <row r="806" spans="1:5" x14ac:dyDescent="0.55000000000000004">
      <c r="A806">
        <v>20</v>
      </c>
      <c r="B806" s="15" t="str">
        <f t="shared" si="109"/>
        <v>20_2</v>
      </c>
      <c r="C806" t="s">
        <v>83</v>
      </c>
      <c r="D806" t="s">
        <v>86</v>
      </c>
      <c r="E806" t="s">
        <v>87</v>
      </c>
    </row>
    <row r="807" spans="1:5" x14ac:dyDescent="0.55000000000000004">
      <c r="A807">
        <v>20</v>
      </c>
      <c r="B807" s="15" t="str">
        <f t="shared" si="109"/>
        <v>20_2</v>
      </c>
      <c r="C807" t="s">
        <v>83</v>
      </c>
      <c r="D807" t="s">
        <v>88</v>
      </c>
      <c r="E807" t="s">
        <v>68</v>
      </c>
    </row>
    <row r="808" spans="1:5" x14ac:dyDescent="0.55000000000000004">
      <c r="A808">
        <v>20</v>
      </c>
      <c r="B808" s="15" t="str">
        <f t="shared" si="109"/>
        <v>20_2</v>
      </c>
      <c r="C808" t="s">
        <v>83</v>
      </c>
      <c r="D808" t="s">
        <v>312</v>
      </c>
      <c r="E808" t="s">
        <v>89</v>
      </c>
    </row>
    <row r="809" spans="1:5" x14ac:dyDescent="0.55000000000000004">
      <c r="A809">
        <f>A808</f>
        <v>20</v>
      </c>
      <c r="B809" s="15" t="str">
        <f t="shared" si="109"/>
        <v>20_2</v>
      </c>
      <c r="C809" t="str">
        <f>C808</f>
        <v>Chemical</v>
      </c>
      <c r="D809" t="s">
        <v>313</v>
      </c>
      <c r="E809" t="s">
        <v>89</v>
      </c>
    </row>
    <row r="810" spans="1:5" x14ac:dyDescent="0.55000000000000004">
      <c r="A810">
        <v>20</v>
      </c>
      <c r="B810" s="15" t="str">
        <f t="shared" si="109"/>
        <v>20_2</v>
      </c>
      <c r="C810" t="s">
        <v>83</v>
      </c>
      <c r="D810" t="s">
        <v>90</v>
      </c>
    </row>
    <row r="811" spans="1:5" x14ac:dyDescent="0.55000000000000004">
      <c r="A811">
        <v>21</v>
      </c>
      <c r="B811" s="15" t="str">
        <f t="shared" si="109"/>
        <v>21_2</v>
      </c>
      <c r="C811" t="s">
        <v>83</v>
      </c>
      <c r="D811" t="s">
        <v>84</v>
      </c>
      <c r="E811" t="s">
        <v>85</v>
      </c>
    </row>
    <row r="812" spans="1:5" x14ac:dyDescent="0.55000000000000004">
      <c r="A812">
        <v>21</v>
      </c>
      <c r="B812" s="15" t="str">
        <f t="shared" si="109"/>
        <v>21_2</v>
      </c>
      <c r="C812" t="s">
        <v>83</v>
      </c>
      <c r="D812" t="s">
        <v>86</v>
      </c>
      <c r="E812" t="s">
        <v>87</v>
      </c>
    </row>
    <row r="813" spans="1:5" x14ac:dyDescent="0.55000000000000004">
      <c r="A813">
        <v>21</v>
      </c>
      <c r="B813" s="15" t="str">
        <f t="shared" si="109"/>
        <v>21_2</v>
      </c>
      <c r="C813" t="s">
        <v>83</v>
      </c>
      <c r="D813" t="s">
        <v>88</v>
      </c>
      <c r="E813" t="s">
        <v>68</v>
      </c>
    </row>
    <row r="814" spans="1:5" x14ac:dyDescent="0.55000000000000004">
      <c r="A814">
        <v>21</v>
      </c>
      <c r="B814" s="15" t="str">
        <f t="shared" si="109"/>
        <v>21_2</v>
      </c>
      <c r="C814" t="s">
        <v>83</v>
      </c>
      <c r="D814" t="s">
        <v>312</v>
      </c>
      <c r="E814" t="s">
        <v>89</v>
      </c>
    </row>
    <row r="815" spans="1:5" x14ac:dyDescent="0.55000000000000004">
      <c r="A815">
        <f>A814</f>
        <v>21</v>
      </c>
      <c r="B815" s="15" t="str">
        <f t="shared" si="109"/>
        <v>21_2</v>
      </c>
      <c r="C815" t="str">
        <f>C814</f>
        <v>Chemical</v>
      </c>
      <c r="D815" t="s">
        <v>313</v>
      </c>
      <c r="E815" t="s">
        <v>89</v>
      </c>
    </row>
    <row r="816" spans="1:5" x14ac:dyDescent="0.55000000000000004">
      <c r="A816">
        <v>21</v>
      </c>
      <c r="B816" s="15" t="str">
        <f t="shared" si="109"/>
        <v>21_2</v>
      </c>
      <c r="C816" t="s">
        <v>83</v>
      </c>
      <c r="D816" t="s">
        <v>90</v>
      </c>
    </row>
    <row r="817" spans="1:5" x14ac:dyDescent="0.55000000000000004">
      <c r="A817">
        <v>22</v>
      </c>
      <c r="B817" s="15" t="str">
        <f t="shared" si="109"/>
        <v>22_2</v>
      </c>
      <c r="C817" t="s">
        <v>83</v>
      </c>
      <c r="D817" t="s">
        <v>84</v>
      </c>
      <c r="E817" t="s">
        <v>85</v>
      </c>
    </row>
    <row r="818" spans="1:5" x14ac:dyDescent="0.55000000000000004">
      <c r="A818">
        <v>22</v>
      </c>
      <c r="B818" s="15" t="str">
        <f t="shared" si="109"/>
        <v>22_2</v>
      </c>
      <c r="C818" t="s">
        <v>83</v>
      </c>
      <c r="D818" t="s">
        <v>86</v>
      </c>
      <c r="E818" t="s">
        <v>87</v>
      </c>
    </row>
    <row r="819" spans="1:5" x14ac:dyDescent="0.55000000000000004">
      <c r="A819">
        <v>22</v>
      </c>
      <c r="B819" s="15" t="str">
        <f t="shared" si="109"/>
        <v>22_2</v>
      </c>
      <c r="C819" t="s">
        <v>83</v>
      </c>
      <c r="D819" t="s">
        <v>88</v>
      </c>
      <c r="E819" t="s">
        <v>68</v>
      </c>
    </row>
    <row r="820" spans="1:5" x14ac:dyDescent="0.55000000000000004">
      <c r="A820">
        <v>22</v>
      </c>
      <c r="B820" s="15" t="str">
        <f t="shared" si="109"/>
        <v>22_2</v>
      </c>
      <c r="C820" t="s">
        <v>83</v>
      </c>
      <c r="D820" t="s">
        <v>312</v>
      </c>
      <c r="E820" t="s">
        <v>89</v>
      </c>
    </row>
    <row r="821" spans="1:5" x14ac:dyDescent="0.55000000000000004">
      <c r="A821">
        <f>A820</f>
        <v>22</v>
      </c>
      <c r="B821" s="15" t="str">
        <f t="shared" si="109"/>
        <v>22_2</v>
      </c>
      <c r="C821" t="str">
        <f>C820</f>
        <v>Chemical</v>
      </c>
      <c r="D821" t="s">
        <v>313</v>
      </c>
      <c r="E821" t="s">
        <v>89</v>
      </c>
    </row>
    <row r="822" spans="1:5" x14ac:dyDescent="0.55000000000000004">
      <c r="A822">
        <v>22</v>
      </c>
      <c r="B822" s="15" t="str">
        <f t="shared" si="109"/>
        <v>22_2</v>
      </c>
      <c r="C822" t="s">
        <v>83</v>
      </c>
      <c r="D822" t="s">
        <v>90</v>
      </c>
    </row>
  </sheetData>
  <autoFilter ref="A1:G702" xr:uid="{AF7C1A78-0DCA-41F0-A0C7-FEDE2235E6EF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00F8-E702-4648-B567-9C75361F3407}">
  <dimension ref="A1:G196"/>
  <sheetViews>
    <sheetView zoomScaleNormal="100"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4.4" x14ac:dyDescent="0.55000000000000004"/>
  <cols>
    <col min="1" max="1" width="6.7890625" bestFit="1" customWidth="1"/>
    <col min="2" max="2" width="12.578125" customWidth="1"/>
    <col min="3" max="3" width="7.41796875" bestFit="1" customWidth="1"/>
    <col min="4" max="4" width="20.83984375" bestFit="1" customWidth="1"/>
  </cols>
  <sheetData>
    <row r="1" spans="1:7" x14ac:dyDescent="0.55000000000000004">
      <c r="A1" s="1" t="s">
        <v>9</v>
      </c>
      <c r="B1" s="1" t="s">
        <v>10</v>
      </c>
      <c r="C1" s="1" t="s">
        <v>246</v>
      </c>
      <c r="D1" s="1" t="s">
        <v>52</v>
      </c>
      <c r="E1" s="1" t="s">
        <v>53</v>
      </c>
      <c r="F1" s="1" t="s">
        <v>54</v>
      </c>
      <c r="G1" s="1" t="s">
        <v>32</v>
      </c>
    </row>
    <row r="2" spans="1:7" x14ac:dyDescent="0.55000000000000004">
      <c r="A2">
        <v>3</v>
      </c>
      <c r="B2" s="15" t="str">
        <f>A2 &amp; "_0"</f>
        <v>3_0</v>
      </c>
      <c r="C2">
        <v>1</v>
      </c>
      <c r="D2" t="s">
        <v>191</v>
      </c>
      <c r="E2" t="s">
        <v>192</v>
      </c>
      <c r="F2" t="s">
        <v>206</v>
      </c>
    </row>
    <row r="3" spans="1:7" x14ac:dyDescent="0.55000000000000004">
      <c r="A3">
        <v>3</v>
      </c>
      <c r="B3" s="15" t="str">
        <f t="shared" ref="B3:B78" si="0">A3 &amp; "_0"</f>
        <v>3_0</v>
      </c>
      <c r="C3">
        <v>1</v>
      </c>
      <c r="D3" t="s">
        <v>193</v>
      </c>
      <c r="E3" t="s">
        <v>82</v>
      </c>
      <c r="F3">
        <v>1600</v>
      </c>
    </row>
    <row r="4" spans="1:7" x14ac:dyDescent="0.55000000000000004">
      <c r="A4">
        <v>3</v>
      </c>
      <c r="B4" s="15" t="str">
        <f t="shared" si="0"/>
        <v>3_0</v>
      </c>
      <c r="C4">
        <v>1</v>
      </c>
      <c r="D4" t="s">
        <v>194</v>
      </c>
      <c r="E4" t="s">
        <v>82</v>
      </c>
      <c r="F4">
        <v>2500</v>
      </c>
    </row>
    <row r="5" spans="1:7" x14ac:dyDescent="0.55000000000000004">
      <c r="A5">
        <v>3</v>
      </c>
      <c r="B5" s="15" t="str">
        <f t="shared" si="0"/>
        <v>3_0</v>
      </c>
      <c r="C5">
        <v>1</v>
      </c>
      <c r="D5" t="s">
        <v>195</v>
      </c>
      <c r="E5" t="s">
        <v>82</v>
      </c>
      <c r="F5">
        <v>2200</v>
      </c>
    </row>
    <row r="6" spans="1:7" x14ac:dyDescent="0.55000000000000004">
      <c r="A6">
        <v>3</v>
      </c>
      <c r="B6" s="15" t="str">
        <f t="shared" ref="B6" si="1">A6 &amp; "_0"</f>
        <v>3_0</v>
      </c>
      <c r="C6">
        <v>1</v>
      </c>
      <c r="D6" t="s">
        <v>273</v>
      </c>
      <c r="E6" t="s">
        <v>274</v>
      </c>
      <c r="F6">
        <f>F4*F5/1000000</f>
        <v>5.5</v>
      </c>
      <c r="G6" t="s">
        <v>200</v>
      </c>
    </row>
    <row r="7" spans="1:7" x14ac:dyDescent="0.55000000000000004">
      <c r="A7">
        <v>3</v>
      </c>
      <c r="B7" s="15" t="str">
        <f t="shared" ref="B7" si="2">A7 &amp; "_0"</f>
        <v>3_0</v>
      </c>
      <c r="C7">
        <v>1</v>
      </c>
      <c r="D7" t="s">
        <v>185</v>
      </c>
      <c r="E7" t="s">
        <v>272</v>
      </c>
      <c r="F7">
        <f>Building_reefs!$B$16/3</f>
        <v>1013.3333333333334</v>
      </c>
      <c r="G7" t="s">
        <v>200</v>
      </c>
    </row>
    <row r="8" spans="1:7" x14ac:dyDescent="0.55000000000000004">
      <c r="A8">
        <v>3</v>
      </c>
      <c r="B8" s="15" t="str">
        <f t="shared" si="0"/>
        <v>3_0</v>
      </c>
      <c r="C8">
        <v>1</v>
      </c>
      <c r="D8" t="s">
        <v>196</v>
      </c>
      <c r="E8" t="s">
        <v>82</v>
      </c>
      <c r="F8">
        <v>420</v>
      </c>
    </row>
    <row r="9" spans="1:7" x14ac:dyDescent="0.55000000000000004">
      <c r="A9">
        <v>3</v>
      </c>
      <c r="B9" s="15" t="str">
        <f t="shared" si="0"/>
        <v>3_0</v>
      </c>
      <c r="C9">
        <v>1</v>
      </c>
      <c r="D9" t="s">
        <v>197</v>
      </c>
      <c r="E9" t="s">
        <v>82</v>
      </c>
      <c r="F9">
        <v>450</v>
      </c>
    </row>
    <row r="10" spans="1:7" x14ac:dyDescent="0.55000000000000004">
      <c r="A10">
        <v>3</v>
      </c>
      <c r="B10" s="15" t="str">
        <f t="shared" si="0"/>
        <v>3_0</v>
      </c>
      <c r="C10">
        <v>1</v>
      </c>
      <c r="D10" t="s">
        <v>207</v>
      </c>
      <c r="E10" t="s">
        <v>82</v>
      </c>
      <c r="F10">
        <v>170</v>
      </c>
    </row>
    <row r="11" spans="1:7" x14ac:dyDescent="0.55000000000000004">
      <c r="A11">
        <v>3</v>
      </c>
      <c r="B11" s="15" t="str">
        <f t="shared" si="0"/>
        <v>3_0</v>
      </c>
      <c r="C11">
        <v>1</v>
      </c>
      <c r="D11" t="s">
        <v>198</v>
      </c>
      <c r="E11" t="s">
        <v>82</v>
      </c>
      <c r="F11">
        <v>580</v>
      </c>
    </row>
    <row r="12" spans="1:7" x14ac:dyDescent="0.55000000000000004">
      <c r="A12">
        <v>3</v>
      </c>
      <c r="B12" s="15" t="str">
        <f t="shared" si="0"/>
        <v>3_0</v>
      </c>
      <c r="C12">
        <v>1</v>
      </c>
      <c r="D12" t="s">
        <v>187</v>
      </c>
      <c r="E12" t="s">
        <v>199</v>
      </c>
      <c r="F12">
        <f>0.5*F4*F5*((F8+F9+(F11-F10))/3)/1000000000</f>
        <v>1.1733333333333336</v>
      </c>
      <c r="G12" t="s">
        <v>200</v>
      </c>
    </row>
    <row r="13" spans="1:7" x14ac:dyDescent="0.55000000000000004">
      <c r="A13">
        <v>3</v>
      </c>
      <c r="B13" s="15" t="str">
        <f t="shared" si="0"/>
        <v>3_0</v>
      </c>
      <c r="C13">
        <v>1</v>
      </c>
      <c r="D13" t="s">
        <v>201</v>
      </c>
      <c r="E13" t="s">
        <v>82</v>
      </c>
      <c r="F13">
        <f>AVERAGE(300,295,285,300)</f>
        <v>295</v>
      </c>
      <c r="G13" t="s">
        <v>208</v>
      </c>
    </row>
    <row r="14" spans="1:7" x14ac:dyDescent="0.55000000000000004">
      <c r="A14">
        <v>3</v>
      </c>
      <c r="B14" s="15" t="str">
        <f t="shared" si="0"/>
        <v>3_0</v>
      </c>
      <c r="C14">
        <v>1</v>
      </c>
      <c r="D14" t="s">
        <v>202</v>
      </c>
      <c r="E14" t="s">
        <v>68</v>
      </c>
      <c r="F14">
        <v>0</v>
      </c>
    </row>
    <row r="15" spans="1:7" x14ac:dyDescent="0.55000000000000004">
      <c r="A15">
        <v>3</v>
      </c>
      <c r="B15" s="15" t="str">
        <f t="shared" si="0"/>
        <v>3_0</v>
      </c>
      <c r="C15">
        <v>2</v>
      </c>
      <c r="D15" t="s">
        <v>191</v>
      </c>
      <c r="E15" t="s">
        <v>192</v>
      </c>
      <c r="F15" t="s">
        <v>206</v>
      </c>
    </row>
    <row r="16" spans="1:7" x14ac:dyDescent="0.55000000000000004">
      <c r="A16">
        <v>3</v>
      </c>
      <c r="B16" s="15" t="str">
        <f t="shared" si="0"/>
        <v>3_0</v>
      </c>
      <c r="C16">
        <v>2</v>
      </c>
      <c r="D16" t="s">
        <v>193</v>
      </c>
      <c r="E16" t="s">
        <v>82</v>
      </c>
      <c r="F16">
        <v>2100</v>
      </c>
    </row>
    <row r="17" spans="1:7" x14ac:dyDescent="0.55000000000000004">
      <c r="A17">
        <v>3</v>
      </c>
      <c r="B17" s="15" t="str">
        <f t="shared" si="0"/>
        <v>3_0</v>
      </c>
      <c r="C17">
        <v>2</v>
      </c>
      <c r="D17" t="s">
        <v>194</v>
      </c>
      <c r="E17" t="s">
        <v>82</v>
      </c>
      <c r="F17">
        <v>2400</v>
      </c>
    </row>
    <row r="18" spans="1:7" x14ac:dyDescent="0.55000000000000004">
      <c r="A18">
        <v>3</v>
      </c>
      <c r="B18" s="15" t="str">
        <f t="shared" si="0"/>
        <v>3_0</v>
      </c>
      <c r="C18">
        <v>2</v>
      </c>
      <c r="D18" t="s">
        <v>195</v>
      </c>
      <c r="E18" t="s">
        <v>82</v>
      </c>
      <c r="F18">
        <v>2200</v>
      </c>
    </row>
    <row r="19" spans="1:7" x14ac:dyDescent="0.55000000000000004">
      <c r="A19">
        <v>3</v>
      </c>
      <c r="B19" s="15" t="str">
        <f t="shared" si="0"/>
        <v>3_0</v>
      </c>
      <c r="C19">
        <v>2</v>
      </c>
      <c r="D19" t="s">
        <v>273</v>
      </c>
      <c r="E19" t="s">
        <v>274</v>
      </c>
      <c r="F19">
        <f>F17*F18/1000000</f>
        <v>5.28</v>
      </c>
      <c r="G19" t="s">
        <v>200</v>
      </c>
    </row>
    <row r="20" spans="1:7" x14ac:dyDescent="0.55000000000000004">
      <c r="A20">
        <v>3</v>
      </c>
      <c r="B20" s="15" t="str">
        <f t="shared" si="0"/>
        <v>3_0</v>
      </c>
      <c r="C20">
        <v>2</v>
      </c>
      <c r="D20" t="s">
        <v>185</v>
      </c>
      <c r="E20" t="s">
        <v>272</v>
      </c>
      <c r="F20">
        <f>Building_reefs!$B$16/3</f>
        <v>1013.3333333333334</v>
      </c>
      <c r="G20" t="s">
        <v>200</v>
      </c>
    </row>
    <row r="21" spans="1:7" x14ac:dyDescent="0.55000000000000004">
      <c r="A21">
        <v>3</v>
      </c>
      <c r="B21" s="15" t="str">
        <f t="shared" si="0"/>
        <v>3_0</v>
      </c>
      <c r="C21">
        <v>2</v>
      </c>
      <c r="D21" t="s">
        <v>196</v>
      </c>
      <c r="E21" t="s">
        <v>82</v>
      </c>
      <c r="F21">
        <v>480</v>
      </c>
    </row>
    <row r="22" spans="1:7" x14ac:dyDescent="0.55000000000000004">
      <c r="A22">
        <v>3</v>
      </c>
      <c r="B22" s="15" t="str">
        <f t="shared" si="0"/>
        <v>3_0</v>
      </c>
      <c r="C22">
        <v>2</v>
      </c>
      <c r="D22" t="s">
        <v>197</v>
      </c>
      <c r="E22" t="s">
        <v>82</v>
      </c>
      <c r="F22">
        <v>440</v>
      </c>
    </row>
    <row r="23" spans="1:7" x14ac:dyDescent="0.55000000000000004">
      <c r="A23">
        <v>3</v>
      </c>
      <c r="B23" s="15" t="str">
        <f t="shared" si="0"/>
        <v>3_0</v>
      </c>
      <c r="C23">
        <v>2</v>
      </c>
      <c r="D23" t="s">
        <v>207</v>
      </c>
      <c r="E23" t="s">
        <v>82</v>
      </c>
      <c r="F23">
        <v>120</v>
      </c>
    </row>
    <row r="24" spans="1:7" x14ac:dyDescent="0.55000000000000004">
      <c r="A24">
        <v>3</v>
      </c>
      <c r="B24" s="15" t="str">
        <f t="shared" si="0"/>
        <v>3_0</v>
      </c>
      <c r="C24">
        <v>2</v>
      </c>
      <c r="D24" t="s">
        <v>198</v>
      </c>
      <c r="E24" t="s">
        <v>82</v>
      </c>
      <c r="F24">
        <v>570</v>
      </c>
    </row>
    <row r="25" spans="1:7" x14ac:dyDescent="0.55000000000000004">
      <c r="A25">
        <v>3</v>
      </c>
      <c r="B25" s="15" t="str">
        <f t="shared" si="0"/>
        <v>3_0</v>
      </c>
      <c r="C25">
        <v>2</v>
      </c>
      <c r="D25" t="s">
        <v>187</v>
      </c>
      <c r="E25" t="s">
        <v>199</v>
      </c>
      <c r="F25">
        <f>0.5*F17*F18*((F21+F22+(F24-F23))/3)/1000000000</f>
        <v>1.2056</v>
      </c>
      <c r="G25" t="s">
        <v>200</v>
      </c>
    </row>
    <row r="26" spans="1:7" x14ac:dyDescent="0.55000000000000004">
      <c r="A26">
        <v>3</v>
      </c>
      <c r="B26" s="15" t="str">
        <f t="shared" si="0"/>
        <v>3_0</v>
      </c>
      <c r="C26">
        <v>2</v>
      </c>
      <c r="D26" t="s">
        <v>201</v>
      </c>
      <c r="E26" t="s">
        <v>82</v>
      </c>
      <c r="F26">
        <f>AVERAGE(320,285,280,298)</f>
        <v>295.75</v>
      </c>
      <c r="G26" t="s">
        <v>209</v>
      </c>
    </row>
    <row r="27" spans="1:7" x14ac:dyDescent="0.55000000000000004">
      <c r="A27">
        <v>3</v>
      </c>
      <c r="B27" s="15" t="str">
        <f t="shared" si="0"/>
        <v>3_0</v>
      </c>
      <c r="C27">
        <v>2</v>
      </c>
      <c r="D27" t="s">
        <v>202</v>
      </c>
      <c r="E27" t="s">
        <v>68</v>
      </c>
      <c r="F27">
        <v>0</v>
      </c>
    </row>
    <row r="28" spans="1:7" x14ac:dyDescent="0.55000000000000004">
      <c r="A28">
        <v>3</v>
      </c>
      <c r="B28" s="15" t="str">
        <f t="shared" si="0"/>
        <v>3_0</v>
      </c>
      <c r="C28">
        <v>3</v>
      </c>
      <c r="D28" t="s">
        <v>191</v>
      </c>
      <c r="E28" t="s">
        <v>192</v>
      </c>
      <c r="F28" t="s">
        <v>206</v>
      </c>
    </row>
    <row r="29" spans="1:7" x14ac:dyDescent="0.55000000000000004">
      <c r="A29">
        <v>3</v>
      </c>
      <c r="B29" s="15" t="str">
        <f t="shared" si="0"/>
        <v>3_0</v>
      </c>
      <c r="C29">
        <v>3</v>
      </c>
      <c r="D29" t="s">
        <v>193</v>
      </c>
      <c r="E29" t="s">
        <v>82</v>
      </c>
      <c r="F29">
        <v>3000</v>
      </c>
    </row>
    <row r="30" spans="1:7" x14ac:dyDescent="0.55000000000000004">
      <c r="A30">
        <v>3</v>
      </c>
      <c r="B30" s="15" t="str">
        <f t="shared" si="0"/>
        <v>3_0</v>
      </c>
      <c r="C30">
        <v>3</v>
      </c>
      <c r="D30" t="s">
        <v>194</v>
      </c>
      <c r="E30" t="s">
        <v>82</v>
      </c>
      <c r="F30">
        <v>2400</v>
      </c>
    </row>
    <row r="31" spans="1:7" x14ac:dyDescent="0.55000000000000004">
      <c r="A31">
        <v>3</v>
      </c>
      <c r="B31" s="15" t="str">
        <f t="shared" si="0"/>
        <v>3_0</v>
      </c>
      <c r="C31">
        <v>3</v>
      </c>
      <c r="D31" t="s">
        <v>195</v>
      </c>
      <c r="E31" t="s">
        <v>82</v>
      </c>
      <c r="F31">
        <v>2500</v>
      </c>
    </row>
    <row r="32" spans="1:7" x14ac:dyDescent="0.55000000000000004">
      <c r="A32">
        <v>3</v>
      </c>
      <c r="B32" s="15" t="str">
        <f t="shared" ref="B32:B33" si="3">A32 &amp; "_0"</f>
        <v>3_0</v>
      </c>
      <c r="C32">
        <v>3</v>
      </c>
      <c r="D32" t="s">
        <v>273</v>
      </c>
      <c r="E32" t="s">
        <v>274</v>
      </c>
      <c r="F32">
        <f>F30*F31/1000000</f>
        <v>6</v>
      </c>
      <c r="G32" t="s">
        <v>200</v>
      </c>
    </row>
    <row r="33" spans="1:7" x14ac:dyDescent="0.55000000000000004">
      <c r="A33">
        <v>3</v>
      </c>
      <c r="B33" s="15" t="str">
        <f t="shared" si="3"/>
        <v>3_0</v>
      </c>
      <c r="C33">
        <v>3</v>
      </c>
      <c r="D33" t="s">
        <v>185</v>
      </c>
      <c r="E33" t="s">
        <v>272</v>
      </c>
      <c r="F33">
        <f>Building_reefs!$B$16/3</f>
        <v>1013.3333333333334</v>
      </c>
      <c r="G33" t="s">
        <v>200</v>
      </c>
    </row>
    <row r="34" spans="1:7" x14ac:dyDescent="0.55000000000000004">
      <c r="A34">
        <v>3</v>
      </c>
      <c r="B34" s="15" t="str">
        <f t="shared" si="0"/>
        <v>3_0</v>
      </c>
      <c r="C34">
        <v>3</v>
      </c>
      <c r="D34" t="s">
        <v>196</v>
      </c>
      <c r="E34" t="s">
        <v>82</v>
      </c>
      <c r="F34">
        <v>530</v>
      </c>
    </row>
    <row r="35" spans="1:7" x14ac:dyDescent="0.55000000000000004">
      <c r="A35">
        <v>3</v>
      </c>
      <c r="B35" s="15" t="str">
        <f t="shared" si="0"/>
        <v>3_0</v>
      </c>
      <c r="C35">
        <v>3</v>
      </c>
      <c r="D35" t="s">
        <v>197</v>
      </c>
      <c r="E35" t="s">
        <v>82</v>
      </c>
      <c r="F35">
        <v>500</v>
      </c>
    </row>
    <row r="36" spans="1:7" x14ac:dyDescent="0.55000000000000004">
      <c r="A36">
        <v>3</v>
      </c>
      <c r="B36" s="15" t="str">
        <f t="shared" si="0"/>
        <v>3_0</v>
      </c>
      <c r="C36">
        <v>3</v>
      </c>
      <c r="D36" t="s">
        <v>207</v>
      </c>
      <c r="E36" t="s">
        <v>82</v>
      </c>
      <c r="F36">
        <v>190</v>
      </c>
    </row>
    <row r="37" spans="1:7" x14ac:dyDescent="0.55000000000000004">
      <c r="A37">
        <v>3</v>
      </c>
      <c r="B37" s="15" t="str">
        <f t="shared" si="0"/>
        <v>3_0</v>
      </c>
      <c r="C37">
        <v>3</v>
      </c>
      <c r="D37" t="s">
        <v>198</v>
      </c>
      <c r="E37" t="s">
        <v>82</v>
      </c>
      <c r="F37">
        <v>620</v>
      </c>
    </row>
    <row r="38" spans="1:7" x14ac:dyDescent="0.55000000000000004">
      <c r="A38">
        <v>3</v>
      </c>
      <c r="B38" s="15" t="str">
        <f t="shared" si="0"/>
        <v>3_0</v>
      </c>
      <c r="C38">
        <v>3</v>
      </c>
      <c r="D38" t="s">
        <v>187</v>
      </c>
      <c r="E38" t="s">
        <v>199</v>
      </c>
      <c r="F38">
        <f>0.5*F30*F31*((F34+F35+(F37-F36))/3)/1000000000</f>
        <v>1.46</v>
      </c>
      <c r="G38" t="s">
        <v>200</v>
      </c>
    </row>
    <row r="39" spans="1:7" x14ac:dyDescent="0.55000000000000004">
      <c r="A39">
        <v>3</v>
      </c>
      <c r="B39" s="15" t="str">
        <f t="shared" si="0"/>
        <v>3_0</v>
      </c>
      <c r="C39">
        <v>3</v>
      </c>
      <c r="D39" t="s">
        <v>201</v>
      </c>
      <c r="E39" t="s">
        <v>82</v>
      </c>
      <c r="F39">
        <f>AVERAGE(380,390,395,368)</f>
        <v>383.25</v>
      </c>
      <c r="G39" t="s">
        <v>147</v>
      </c>
    </row>
    <row r="40" spans="1:7" x14ac:dyDescent="0.55000000000000004">
      <c r="A40">
        <v>3</v>
      </c>
      <c r="B40" s="15" t="str">
        <f t="shared" si="0"/>
        <v>3_0</v>
      </c>
      <c r="C40">
        <v>3</v>
      </c>
      <c r="D40" t="s">
        <v>202</v>
      </c>
      <c r="E40" t="s">
        <v>68</v>
      </c>
      <c r="F40">
        <v>0</v>
      </c>
    </row>
    <row r="41" spans="1:7" x14ac:dyDescent="0.55000000000000004">
      <c r="A41">
        <v>5</v>
      </c>
      <c r="B41" s="15" t="str">
        <f t="shared" si="0"/>
        <v>5_0</v>
      </c>
      <c r="C41">
        <v>1</v>
      </c>
      <c r="D41" t="s">
        <v>191</v>
      </c>
      <c r="E41" t="s">
        <v>192</v>
      </c>
      <c r="F41" t="s">
        <v>206</v>
      </c>
    </row>
    <row r="42" spans="1:7" x14ac:dyDescent="0.55000000000000004">
      <c r="A42">
        <v>5</v>
      </c>
      <c r="B42" s="15" t="str">
        <f t="shared" si="0"/>
        <v>5_0</v>
      </c>
      <c r="C42">
        <v>1</v>
      </c>
      <c r="D42" t="s">
        <v>193</v>
      </c>
      <c r="E42" t="s">
        <v>82</v>
      </c>
      <c r="F42">
        <v>4700</v>
      </c>
    </row>
    <row r="43" spans="1:7" x14ac:dyDescent="0.55000000000000004">
      <c r="A43">
        <v>5</v>
      </c>
      <c r="B43" s="15" t="str">
        <f t="shared" si="0"/>
        <v>5_0</v>
      </c>
      <c r="C43">
        <v>1</v>
      </c>
      <c r="D43" t="s">
        <v>194</v>
      </c>
      <c r="E43" t="s">
        <v>82</v>
      </c>
      <c r="F43">
        <v>2200</v>
      </c>
    </row>
    <row r="44" spans="1:7" x14ac:dyDescent="0.55000000000000004">
      <c r="A44">
        <v>5</v>
      </c>
      <c r="B44" s="15" t="str">
        <f t="shared" si="0"/>
        <v>5_0</v>
      </c>
      <c r="C44">
        <v>1</v>
      </c>
      <c r="D44" t="s">
        <v>195</v>
      </c>
      <c r="E44" t="s">
        <v>82</v>
      </c>
      <c r="F44">
        <v>1900</v>
      </c>
    </row>
    <row r="45" spans="1:7" x14ac:dyDescent="0.55000000000000004">
      <c r="A45">
        <v>5</v>
      </c>
      <c r="B45" s="15" t="str">
        <f t="shared" si="0"/>
        <v>5_0</v>
      </c>
      <c r="C45">
        <v>1</v>
      </c>
      <c r="D45" t="s">
        <v>273</v>
      </c>
      <c r="E45" t="s">
        <v>274</v>
      </c>
      <c r="F45">
        <f>F43*F44/1000000</f>
        <v>4.18</v>
      </c>
      <c r="G45" t="s">
        <v>200</v>
      </c>
    </row>
    <row r="46" spans="1:7" x14ac:dyDescent="0.55000000000000004">
      <c r="A46">
        <v>5</v>
      </c>
      <c r="B46" s="15" t="str">
        <f t="shared" si="0"/>
        <v>5_0</v>
      </c>
      <c r="C46">
        <v>1</v>
      </c>
      <c r="D46" t="s">
        <v>185</v>
      </c>
      <c r="E46" t="s">
        <v>272</v>
      </c>
      <c r="F46">
        <f>Building_reefs!$B$17/3</f>
        <v>660</v>
      </c>
      <c r="G46" t="s">
        <v>200</v>
      </c>
    </row>
    <row r="47" spans="1:7" x14ac:dyDescent="0.55000000000000004">
      <c r="A47">
        <v>5</v>
      </c>
      <c r="B47" s="15" t="str">
        <f t="shared" si="0"/>
        <v>5_0</v>
      </c>
      <c r="C47">
        <v>1</v>
      </c>
      <c r="D47" t="s">
        <v>196</v>
      </c>
      <c r="E47" t="s">
        <v>82</v>
      </c>
      <c r="F47">
        <v>360</v>
      </c>
    </row>
    <row r="48" spans="1:7" x14ac:dyDescent="0.55000000000000004">
      <c r="A48">
        <v>5</v>
      </c>
      <c r="B48" s="15" t="str">
        <f t="shared" si="0"/>
        <v>5_0</v>
      </c>
      <c r="C48">
        <v>1</v>
      </c>
      <c r="D48" t="s">
        <v>197</v>
      </c>
      <c r="E48" t="s">
        <v>82</v>
      </c>
      <c r="F48">
        <v>345</v>
      </c>
    </row>
    <row r="49" spans="1:7" x14ac:dyDescent="0.55000000000000004">
      <c r="A49">
        <v>5</v>
      </c>
      <c r="B49" s="15" t="str">
        <f t="shared" si="0"/>
        <v>5_0</v>
      </c>
      <c r="C49">
        <v>1</v>
      </c>
      <c r="D49" t="s">
        <v>207</v>
      </c>
      <c r="E49" t="s">
        <v>82</v>
      </c>
      <c r="F49">
        <v>85</v>
      </c>
    </row>
    <row r="50" spans="1:7" x14ac:dyDescent="0.55000000000000004">
      <c r="A50">
        <v>5</v>
      </c>
      <c r="B50" s="15" t="str">
        <f t="shared" si="0"/>
        <v>5_0</v>
      </c>
      <c r="C50">
        <v>1</v>
      </c>
      <c r="D50" t="s">
        <v>198</v>
      </c>
      <c r="E50" t="s">
        <v>82</v>
      </c>
      <c r="F50">
        <v>365</v>
      </c>
    </row>
    <row r="51" spans="1:7" x14ac:dyDescent="0.55000000000000004">
      <c r="A51">
        <v>5</v>
      </c>
      <c r="B51" s="15" t="str">
        <f t="shared" si="0"/>
        <v>5_0</v>
      </c>
      <c r="C51">
        <v>1</v>
      </c>
      <c r="D51" t="s">
        <v>187</v>
      </c>
      <c r="E51" t="s">
        <v>199</v>
      </c>
      <c r="F51">
        <f>0.5*F43*F44*((F47+F48+(F50-F49))/3)/1000000000</f>
        <v>0.68621666666666659</v>
      </c>
      <c r="G51" t="s">
        <v>200</v>
      </c>
    </row>
    <row r="52" spans="1:7" x14ac:dyDescent="0.55000000000000004">
      <c r="A52">
        <v>5</v>
      </c>
      <c r="B52" s="15" t="str">
        <f t="shared" si="0"/>
        <v>5_0</v>
      </c>
      <c r="C52">
        <v>1</v>
      </c>
      <c r="D52" t="s">
        <v>201</v>
      </c>
      <c r="E52" t="s">
        <v>82</v>
      </c>
      <c r="F52">
        <f>AVERAGE(360,360,365,355)</f>
        <v>360</v>
      </c>
      <c r="G52" t="s">
        <v>210</v>
      </c>
    </row>
    <row r="53" spans="1:7" x14ac:dyDescent="0.55000000000000004">
      <c r="A53">
        <v>5</v>
      </c>
      <c r="B53" s="15" t="str">
        <f t="shared" si="0"/>
        <v>5_0</v>
      </c>
      <c r="C53">
        <v>1</v>
      </c>
      <c r="D53" t="s">
        <v>202</v>
      </c>
      <c r="E53" t="s">
        <v>68</v>
      </c>
      <c r="F53">
        <v>2</v>
      </c>
    </row>
    <row r="54" spans="1:7" x14ac:dyDescent="0.55000000000000004">
      <c r="A54">
        <v>5</v>
      </c>
      <c r="B54" s="15" t="str">
        <f t="shared" si="0"/>
        <v>5_0</v>
      </c>
      <c r="C54">
        <v>2</v>
      </c>
      <c r="D54" t="s">
        <v>191</v>
      </c>
      <c r="E54" t="s">
        <v>192</v>
      </c>
      <c r="F54" t="s">
        <v>206</v>
      </c>
    </row>
    <row r="55" spans="1:7" x14ac:dyDescent="0.55000000000000004">
      <c r="A55">
        <v>5</v>
      </c>
      <c r="B55" s="15" t="str">
        <f t="shared" si="0"/>
        <v>5_0</v>
      </c>
      <c r="C55">
        <v>2</v>
      </c>
      <c r="D55" t="s">
        <v>193</v>
      </c>
      <c r="E55" t="s">
        <v>82</v>
      </c>
      <c r="F55">
        <v>5700</v>
      </c>
    </row>
    <row r="56" spans="1:7" x14ac:dyDescent="0.55000000000000004">
      <c r="A56">
        <v>5</v>
      </c>
      <c r="B56" s="15" t="str">
        <f t="shared" si="0"/>
        <v>5_0</v>
      </c>
      <c r="C56">
        <v>2</v>
      </c>
      <c r="D56" t="s">
        <v>194</v>
      </c>
      <c r="E56" t="s">
        <v>82</v>
      </c>
      <c r="F56">
        <v>1500</v>
      </c>
    </row>
    <row r="57" spans="1:7" x14ac:dyDescent="0.55000000000000004">
      <c r="A57">
        <v>5</v>
      </c>
      <c r="B57" s="15" t="str">
        <f t="shared" si="0"/>
        <v>5_0</v>
      </c>
      <c r="C57">
        <v>2</v>
      </c>
      <c r="D57" t="s">
        <v>195</v>
      </c>
      <c r="E57" t="s">
        <v>82</v>
      </c>
      <c r="F57">
        <v>1600</v>
      </c>
    </row>
    <row r="58" spans="1:7" x14ac:dyDescent="0.55000000000000004">
      <c r="A58">
        <v>5</v>
      </c>
      <c r="B58" s="15" t="str">
        <f t="shared" ref="B58:B59" si="4">A58 &amp; "_0"</f>
        <v>5_0</v>
      </c>
      <c r="C58">
        <v>2</v>
      </c>
      <c r="D58" t="s">
        <v>273</v>
      </c>
      <c r="E58" t="s">
        <v>274</v>
      </c>
      <c r="F58">
        <f>F56*F57/1000000</f>
        <v>2.4</v>
      </c>
      <c r="G58" t="s">
        <v>200</v>
      </c>
    </row>
    <row r="59" spans="1:7" x14ac:dyDescent="0.55000000000000004">
      <c r="A59">
        <v>5</v>
      </c>
      <c r="B59" s="15" t="str">
        <f t="shared" si="4"/>
        <v>5_0</v>
      </c>
      <c r="C59">
        <v>2</v>
      </c>
      <c r="D59" t="s">
        <v>185</v>
      </c>
      <c r="E59" t="s">
        <v>272</v>
      </c>
      <c r="F59">
        <f>Building_reefs!$B$17/3</f>
        <v>660</v>
      </c>
      <c r="G59" t="s">
        <v>200</v>
      </c>
    </row>
    <row r="60" spans="1:7" x14ac:dyDescent="0.55000000000000004">
      <c r="A60">
        <v>5</v>
      </c>
      <c r="B60" s="15" t="str">
        <f t="shared" si="0"/>
        <v>5_0</v>
      </c>
      <c r="C60">
        <v>2</v>
      </c>
      <c r="D60" t="s">
        <v>196</v>
      </c>
      <c r="E60" t="s">
        <v>82</v>
      </c>
      <c r="F60">
        <v>360</v>
      </c>
    </row>
    <row r="61" spans="1:7" x14ac:dyDescent="0.55000000000000004">
      <c r="A61">
        <v>5</v>
      </c>
      <c r="B61" s="15" t="str">
        <f t="shared" si="0"/>
        <v>5_0</v>
      </c>
      <c r="C61">
        <v>2</v>
      </c>
      <c r="D61" t="s">
        <v>197</v>
      </c>
      <c r="E61" t="s">
        <v>82</v>
      </c>
      <c r="F61">
        <v>365</v>
      </c>
    </row>
    <row r="62" spans="1:7" x14ac:dyDescent="0.55000000000000004">
      <c r="A62">
        <v>5</v>
      </c>
      <c r="B62" s="15" t="str">
        <f t="shared" si="0"/>
        <v>5_0</v>
      </c>
      <c r="C62">
        <v>2</v>
      </c>
      <c r="D62" t="s">
        <v>207</v>
      </c>
      <c r="E62" t="s">
        <v>82</v>
      </c>
      <c r="F62">
        <v>75</v>
      </c>
    </row>
    <row r="63" spans="1:7" x14ac:dyDescent="0.55000000000000004">
      <c r="A63">
        <v>5</v>
      </c>
      <c r="B63" s="15" t="str">
        <f t="shared" si="0"/>
        <v>5_0</v>
      </c>
      <c r="C63">
        <v>2</v>
      </c>
      <c r="D63" t="s">
        <v>198</v>
      </c>
      <c r="E63" t="s">
        <v>82</v>
      </c>
      <c r="F63">
        <v>390</v>
      </c>
    </row>
    <row r="64" spans="1:7" x14ac:dyDescent="0.55000000000000004">
      <c r="A64">
        <v>5</v>
      </c>
      <c r="B64" s="15" t="str">
        <f t="shared" si="0"/>
        <v>5_0</v>
      </c>
      <c r="C64">
        <v>2</v>
      </c>
      <c r="D64" t="s">
        <v>187</v>
      </c>
      <c r="E64" t="s">
        <v>199</v>
      </c>
      <c r="F64">
        <f>0.5*F56*F57*((F60+F61+(F63-F62))/3)/1000000000</f>
        <v>0.41599999999999998</v>
      </c>
      <c r="G64" t="s">
        <v>200</v>
      </c>
    </row>
    <row r="65" spans="1:7" x14ac:dyDescent="0.55000000000000004">
      <c r="A65">
        <v>5</v>
      </c>
      <c r="B65" s="15" t="str">
        <f t="shared" si="0"/>
        <v>5_0</v>
      </c>
      <c r="C65">
        <v>2</v>
      </c>
      <c r="D65" t="s">
        <v>201</v>
      </c>
      <c r="E65" t="s">
        <v>82</v>
      </c>
      <c r="F65">
        <f>AVERAGE(340,350,342,340)</f>
        <v>343</v>
      </c>
      <c r="G65" t="s">
        <v>209</v>
      </c>
    </row>
    <row r="66" spans="1:7" x14ac:dyDescent="0.55000000000000004">
      <c r="A66">
        <v>5</v>
      </c>
      <c r="B66" s="15" t="str">
        <f t="shared" si="0"/>
        <v>5_0</v>
      </c>
      <c r="C66">
        <v>2</v>
      </c>
      <c r="D66" t="s">
        <v>202</v>
      </c>
      <c r="E66" t="s">
        <v>68</v>
      </c>
      <c r="F66">
        <v>0</v>
      </c>
    </row>
    <row r="67" spans="1:7" x14ac:dyDescent="0.55000000000000004">
      <c r="A67">
        <v>5</v>
      </c>
      <c r="B67" s="15" t="str">
        <f t="shared" si="0"/>
        <v>5_0</v>
      </c>
      <c r="C67">
        <v>3</v>
      </c>
      <c r="D67" t="s">
        <v>191</v>
      </c>
      <c r="E67" t="s">
        <v>192</v>
      </c>
      <c r="F67" t="s">
        <v>206</v>
      </c>
    </row>
    <row r="68" spans="1:7" x14ac:dyDescent="0.55000000000000004">
      <c r="A68">
        <v>5</v>
      </c>
      <c r="B68" s="15" t="str">
        <f t="shared" si="0"/>
        <v>5_0</v>
      </c>
      <c r="C68">
        <v>3</v>
      </c>
      <c r="D68" t="s">
        <v>193</v>
      </c>
      <c r="E68" t="s">
        <v>82</v>
      </c>
      <c r="F68">
        <v>4200</v>
      </c>
    </row>
    <row r="69" spans="1:7" x14ac:dyDescent="0.55000000000000004">
      <c r="A69">
        <v>5</v>
      </c>
      <c r="B69" s="15" t="str">
        <f t="shared" si="0"/>
        <v>5_0</v>
      </c>
      <c r="C69">
        <v>3</v>
      </c>
      <c r="D69" t="s">
        <v>194</v>
      </c>
      <c r="E69" t="s">
        <v>82</v>
      </c>
      <c r="F69">
        <v>1900</v>
      </c>
    </row>
    <row r="70" spans="1:7" x14ac:dyDescent="0.55000000000000004">
      <c r="A70">
        <v>5</v>
      </c>
      <c r="B70" s="15" t="str">
        <f t="shared" si="0"/>
        <v>5_0</v>
      </c>
      <c r="C70">
        <v>3</v>
      </c>
      <c r="D70" t="s">
        <v>195</v>
      </c>
      <c r="E70" t="s">
        <v>82</v>
      </c>
      <c r="F70">
        <v>2000</v>
      </c>
    </row>
    <row r="71" spans="1:7" x14ac:dyDescent="0.55000000000000004">
      <c r="A71">
        <v>5</v>
      </c>
      <c r="B71" s="15" t="str">
        <f t="shared" ref="B71:B72" si="5">A71 &amp; "_0"</f>
        <v>5_0</v>
      </c>
      <c r="C71">
        <v>3</v>
      </c>
      <c r="D71" t="s">
        <v>273</v>
      </c>
      <c r="E71" t="s">
        <v>274</v>
      </c>
      <c r="F71">
        <f>F69*F70/1000000</f>
        <v>3.8</v>
      </c>
      <c r="G71" t="s">
        <v>200</v>
      </c>
    </row>
    <row r="72" spans="1:7" x14ac:dyDescent="0.55000000000000004">
      <c r="A72">
        <v>5</v>
      </c>
      <c r="B72" s="15" t="str">
        <f t="shared" si="5"/>
        <v>5_0</v>
      </c>
      <c r="C72">
        <v>3</v>
      </c>
      <c r="D72" t="s">
        <v>185</v>
      </c>
      <c r="E72" t="s">
        <v>272</v>
      </c>
      <c r="F72">
        <f>Building_reefs!$B$17/3</f>
        <v>660</v>
      </c>
      <c r="G72" t="s">
        <v>200</v>
      </c>
    </row>
    <row r="73" spans="1:7" x14ac:dyDescent="0.55000000000000004">
      <c r="A73">
        <v>5</v>
      </c>
      <c r="B73" s="15" t="str">
        <f t="shared" si="0"/>
        <v>5_0</v>
      </c>
      <c r="C73">
        <v>3</v>
      </c>
      <c r="D73" t="s">
        <v>196</v>
      </c>
      <c r="E73" t="s">
        <v>82</v>
      </c>
      <c r="F73">
        <v>330</v>
      </c>
    </row>
    <row r="74" spans="1:7" x14ac:dyDescent="0.55000000000000004">
      <c r="A74">
        <v>5</v>
      </c>
      <c r="B74" s="15" t="str">
        <f t="shared" si="0"/>
        <v>5_0</v>
      </c>
      <c r="C74">
        <v>3</v>
      </c>
      <c r="D74" t="s">
        <v>197</v>
      </c>
      <c r="E74" t="s">
        <v>82</v>
      </c>
      <c r="F74">
        <v>330</v>
      </c>
    </row>
    <row r="75" spans="1:7" x14ac:dyDescent="0.55000000000000004">
      <c r="A75">
        <v>5</v>
      </c>
      <c r="B75" s="15" t="str">
        <f t="shared" si="0"/>
        <v>5_0</v>
      </c>
      <c r="C75">
        <v>3</v>
      </c>
      <c r="D75" t="s">
        <v>207</v>
      </c>
      <c r="E75" t="s">
        <v>82</v>
      </c>
      <c r="F75">
        <v>75</v>
      </c>
    </row>
    <row r="76" spans="1:7" x14ac:dyDescent="0.55000000000000004">
      <c r="A76">
        <v>5</v>
      </c>
      <c r="B76" s="15" t="str">
        <f t="shared" si="0"/>
        <v>5_0</v>
      </c>
      <c r="C76">
        <v>3</v>
      </c>
      <c r="D76" t="s">
        <v>198</v>
      </c>
      <c r="E76" t="s">
        <v>82</v>
      </c>
      <c r="F76">
        <v>380</v>
      </c>
    </row>
    <row r="77" spans="1:7" x14ac:dyDescent="0.55000000000000004">
      <c r="A77">
        <v>5</v>
      </c>
      <c r="B77" s="15" t="str">
        <f t="shared" si="0"/>
        <v>5_0</v>
      </c>
      <c r="C77">
        <v>3</v>
      </c>
      <c r="D77" t="s">
        <v>187</v>
      </c>
      <c r="E77" t="s">
        <v>199</v>
      </c>
      <c r="F77">
        <f>0.5*F69*F70*((F73+F74+(F76-F75))/3)/1000000000</f>
        <v>0.61116666666666675</v>
      </c>
      <c r="G77" t="s">
        <v>200</v>
      </c>
    </row>
    <row r="78" spans="1:7" x14ac:dyDescent="0.55000000000000004">
      <c r="A78">
        <v>5</v>
      </c>
      <c r="B78" s="15" t="str">
        <f t="shared" si="0"/>
        <v>5_0</v>
      </c>
      <c r="C78">
        <v>3</v>
      </c>
      <c r="D78" t="s">
        <v>201</v>
      </c>
      <c r="E78" t="s">
        <v>82</v>
      </c>
      <c r="F78">
        <f>AVERAGE(309,320,350,295)</f>
        <v>318.5</v>
      </c>
      <c r="G78" t="s">
        <v>147</v>
      </c>
    </row>
    <row r="79" spans="1:7" x14ac:dyDescent="0.55000000000000004">
      <c r="A79">
        <v>5</v>
      </c>
      <c r="B79" s="15" t="str">
        <f t="shared" ref="B79:B154" si="6">A79 &amp; "_0"</f>
        <v>5_0</v>
      </c>
      <c r="C79">
        <v>3</v>
      </c>
      <c r="D79" t="s">
        <v>202</v>
      </c>
      <c r="E79" t="s">
        <v>68</v>
      </c>
      <c r="F79">
        <v>0</v>
      </c>
    </row>
    <row r="80" spans="1:7" x14ac:dyDescent="0.55000000000000004">
      <c r="A80">
        <v>7</v>
      </c>
      <c r="B80" s="15" t="str">
        <f t="shared" si="6"/>
        <v>7_0</v>
      </c>
      <c r="C80">
        <v>1</v>
      </c>
      <c r="D80" t="s">
        <v>191</v>
      </c>
      <c r="E80" t="s">
        <v>192</v>
      </c>
      <c r="F80" t="s">
        <v>206</v>
      </c>
    </row>
    <row r="81" spans="1:7" x14ac:dyDescent="0.55000000000000004">
      <c r="A81">
        <v>7</v>
      </c>
      <c r="B81" s="15" t="str">
        <f t="shared" si="6"/>
        <v>7_0</v>
      </c>
      <c r="C81">
        <v>1</v>
      </c>
      <c r="D81" t="s">
        <v>193</v>
      </c>
      <c r="E81" t="s">
        <v>82</v>
      </c>
      <c r="F81">
        <v>3500</v>
      </c>
    </row>
    <row r="82" spans="1:7" x14ac:dyDescent="0.55000000000000004">
      <c r="A82">
        <v>7</v>
      </c>
      <c r="B82" s="15" t="str">
        <f t="shared" si="6"/>
        <v>7_0</v>
      </c>
      <c r="C82">
        <v>1</v>
      </c>
      <c r="D82" t="s">
        <v>194</v>
      </c>
      <c r="E82" t="s">
        <v>82</v>
      </c>
      <c r="F82">
        <v>2300</v>
      </c>
    </row>
    <row r="83" spans="1:7" x14ac:dyDescent="0.55000000000000004">
      <c r="A83">
        <v>7</v>
      </c>
      <c r="B83" s="15" t="str">
        <f t="shared" si="6"/>
        <v>7_0</v>
      </c>
      <c r="C83">
        <v>1</v>
      </c>
      <c r="D83" t="s">
        <v>195</v>
      </c>
      <c r="E83" t="s">
        <v>82</v>
      </c>
      <c r="F83">
        <v>1700</v>
      </c>
    </row>
    <row r="84" spans="1:7" x14ac:dyDescent="0.55000000000000004">
      <c r="A84">
        <v>7</v>
      </c>
      <c r="B84" s="15" t="str">
        <f t="shared" si="6"/>
        <v>7_0</v>
      </c>
      <c r="C84">
        <v>1</v>
      </c>
      <c r="D84" t="s">
        <v>273</v>
      </c>
      <c r="E84" t="s">
        <v>274</v>
      </c>
      <c r="F84">
        <f>F82*F83/1000000</f>
        <v>3.91</v>
      </c>
      <c r="G84" t="s">
        <v>200</v>
      </c>
    </row>
    <row r="85" spans="1:7" x14ac:dyDescent="0.55000000000000004">
      <c r="A85">
        <v>7</v>
      </c>
      <c r="B85" s="15" t="str">
        <f t="shared" si="6"/>
        <v>7_0</v>
      </c>
      <c r="C85">
        <v>1</v>
      </c>
      <c r="D85" t="s">
        <v>185</v>
      </c>
      <c r="E85" t="s">
        <v>272</v>
      </c>
      <c r="F85">
        <f>Building_reefs!$B$18/3</f>
        <v>1233.3333333333333</v>
      </c>
      <c r="G85" t="s">
        <v>200</v>
      </c>
    </row>
    <row r="86" spans="1:7" x14ac:dyDescent="0.55000000000000004">
      <c r="A86">
        <v>7</v>
      </c>
      <c r="B86" s="15" t="str">
        <f t="shared" si="6"/>
        <v>7_0</v>
      </c>
      <c r="C86">
        <v>1</v>
      </c>
      <c r="D86" t="s">
        <v>196</v>
      </c>
      <c r="E86" t="s">
        <v>82</v>
      </c>
      <c r="F86">
        <v>450</v>
      </c>
    </row>
    <row r="87" spans="1:7" x14ac:dyDescent="0.55000000000000004">
      <c r="A87">
        <v>7</v>
      </c>
      <c r="B87" s="15" t="str">
        <f t="shared" si="6"/>
        <v>7_0</v>
      </c>
      <c r="C87">
        <v>1</v>
      </c>
      <c r="D87" t="s">
        <v>197</v>
      </c>
      <c r="E87" t="s">
        <v>82</v>
      </c>
      <c r="F87">
        <v>430</v>
      </c>
    </row>
    <row r="88" spans="1:7" x14ac:dyDescent="0.55000000000000004">
      <c r="A88">
        <v>7</v>
      </c>
      <c r="B88" s="15" t="str">
        <f t="shared" si="6"/>
        <v>7_0</v>
      </c>
      <c r="C88">
        <v>1</v>
      </c>
      <c r="D88" t="s">
        <v>207</v>
      </c>
      <c r="E88" t="s">
        <v>82</v>
      </c>
      <c r="F88">
        <v>135</v>
      </c>
    </row>
    <row r="89" spans="1:7" x14ac:dyDescent="0.55000000000000004">
      <c r="A89">
        <v>7</v>
      </c>
      <c r="B89" s="15" t="str">
        <f t="shared" si="6"/>
        <v>7_0</v>
      </c>
      <c r="C89">
        <v>1</v>
      </c>
      <c r="D89" t="s">
        <v>198</v>
      </c>
      <c r="E89" t="s">
        <v>82</v>
      </c>
      <c r="F89">
        <v>420</v>
      </c>
    </row>
    <row r="90" spans="1:7" x14ac:dyDescent="0.55000000000000004">
      <c r="A90">
        <v>7</v>
      </c>
      <c r="B90" s="15" t="str">
        <f t="shared" si="6"/>
        <v>7_0</v>
      </c>
      <c r="C90">
        <v>1</v>
      </c>
      <c r="D90" t="s">
        <v>187</v>
      </c>
      <c r="E90" t="s">
        <v>199</v>
      </c>
      <c r="F90">
        <f>0.5*F82*F83*((F86+F87+(F89-F88))/3)/1000000000</f>
        <v>0.7591916666666666</v>
      </c>
      <c r="G90" t="s">
        <v>200</v>
      </c>
    </row>
    <row r="91" spans="1:7" x14ac:dyDescent="0.55000000000000004">
      <c r="A91">
        <v>7</v>
      </c>
      <c r="B91" s="15" t="str">
        <f t="shared" si="6"/>
        <v>7_0</v>
      </c>
      <c r="C91">
        <v>1</v>
      </c>
      <c r="D91" t="s">
        <v>201</v>
      </c>
      <c r="E91" t="s">
        <v>82</v>
      </c>
      <c r="F91">
        <f>AVERAGE(345,455,345,337)</f>
        <v>370.5</v>
      </c>
      <c r="G91" t="s">
        <v>147</v>
      </c>
    </row>
    <row r="92" spans="1:7" x14ac:dyDescent="0.55000000000000004">
      <c r="A92">
        <v>7</v>
      </c>
      <c r="B92" s="15" t="str">
        <f t="shared" si="6"/>
        <v>7_0</v>
      </c>
      <c r="C92">
        <v>1</v>
      </c>
      <c r="D92" t="s">
        <v>202</v>
      </c>
      <c r="E92" t="s">
        <v>68</v>
      </c>
      <c r="F92">
        <v>10</v>
      </c>
    </row>
    <row r="93" spans="1:7" x14ac:dyDescent="0.55000000000000004">
      <c r="A93">
        <v>7</v>
      </c>
      <c r="B93" s="15" t="str">
        <f t="shared" si="6"/>
        <v>7_0</v>
      </c>
      <c r="C93">
        <v>2</v>
      </c>
      <c r="D93" t="s">
        <v>191</v>
      </c>
      <c r="E93" t="s">
        <v>192</v>
      </c>
      <c r="F93" t="s">
        <v>206</v>
      </c>
    </row>
    <row r="94" spans="1:7" x14ac:dyDescent="0.55000000000000004">
      <c r="A94">
        <v>7</v>
      </c>
      <c r="B94" s="15" t="str">
        <f t="shared" si="6"/>
        <v>7_0</v>
      </c>
      <c r="C94">
        <v>2</v>
      </c>
      <c r="D94" t="s">
        <v>193</v>
      </c>
      <c r="E94" t="s">
        <v>82</v>
      </c>
      <c r="F94">
        <v>3500</v>
      </c>
    </row>
    <row r="95" spans="1:7" x14ac:dyDescent="0.55000000000000004">
      <c r="A95">
        <v>7</v>
      </c>
      <c r="B95" s="15" t="str">
        <f t="shared" si="6"/>
        <v>7_0</v>
      </c>
      <c r="C95">
        <v>2</v>
      </c>
      <c r="D95" t="s">
        <v>194</v>
      </c>
      <c r="E95" t="s">
        <v>82</v>
      </c>
      <c r="F95">
        <v>2300</v>
      </c>
    </row>
    <row r="96" spans="1:7" x14ac:dyDescent="0.55000000000000004">
      <c r="A96">
        <v>7</v>
      </c>
      <c r="B96" s="15" t="str">
        <f t="shared" si="6"/>
        <v>7_0</v>
      </c>
      <c r="C96">
        <v>2</v>
      </c>
      <c r="D96" t="s">
        <v>195</v>
      </c>
      <c r="E96" t="s">
        <v>82</v>
      </c>
      <c r="F96">
        <v>1900</v>
      </c>
    </row>
    <row r="97" spans="1:7" x14ac:dyDescent="0.55000000000000004">
      <c r="A97">
        <v>7</v>
      </c>
      <c r="B97" s="15" t="str">
        <f t="shared" ref="B97:B98" si="7">A97 &amp; "_0"</f>
        <v>7_0</v>
      </c>
      <c r="C97">
        <v>2</v>
      </c>
      <c r="D97" t="s">
        <v>273</v>
      </c>
      <c r="E97" t="s">
        <v>274</v>
      </c>
      <c r="F97">
        <f>F95*F96/1000000</f>
        <v>4.37</v>
      </c>
      <c r="G97" t="s">
        <v>200</v>
      </c>
    </row>
    <row r="98" spans="1:7" x14ac:dyDescent="0.55000000000000004">
      <c r="A98">
        <v>7</v>
      </c>
      <c r="B98" s="15" t="str">
        <f t="shared" si="7"/>
        <v>7_0</v>
      </c>
      <c r="C98">
        <v>2</v>
      </c>
      <c r="D98" t="s">
        <v>185</v>
      </c>
      <c r="E98" t="s">
        <v>272</v>
      </c>
      <c r="F98">
        <f>Building_reefs!$B$18/3</f>
        <v>1233.3333333333333</v>
      </c>
      <c r="G98" t="s">
        <v>200</v>
      </c>
    </row>
    <row r="99" spans="1:7" x14ac:dyDescent="0.55000000000000004">
      <c r="A99">
        <v>7</v>
      </c>
      <c r="B99" s="15" t="str">
        <f t="shared" si="6"/>
        <v>7_0</v>
      </c>
      <c r="C99">
        <v>2</v>
      </c>
      <c r="D99" t="s">
        <v>196</v>
      </c>
      <c r="E99" t="s">
        <v>82</v>
      </c>
      <c r="F99">
        <v>500</v>
      </c>
    </row>
    <row r="100" spans="1:7" x14ac:dyDescent="0.55000000000000004">
      <c r="A100">
        <v>7</v>
      </c>
      <c r="B100" s="15" t="str">
        <f t="shared" si="6"/>
        <v>7_0</v>
      </c>
      <c r="C100">
        <v>2</v>
      </c>
      <c r="D100" t="s">
        <v>197</v>
      </c>
      <c r="E100" t="s">
        <v>82</v>
      </c>
      <c r="F100">
        <v>490</v>
      </c>
    </row>
    <row r="101" spans="1:7" x14ac:dyDescent="0.55000000000000004">
      <c r="A101">
        <v>7</v>
      </c>
      <c r="B101" s="15" t="str">
        <f t="shared" si="6"/>
        <v>7_0</v>
      </c>
      <c r="C101">
        <v>2</v>
      </c>
      <c r="D101" t="s">
        <v>207</v>
      </c>
      <c r="E101" t="s">
        <v>82</v>
      </c>
      <c r="F101">
        <v>230</v>
      </c>
    </row>
    <row r="102" spans="1:7" x14ac:dyDescent="0.55000000000000004">
      <c r="A102">
        <v>7</v>
      </c>
      <c r="B102" s="15" t="str">
        <f t="shared" si="6"/>
        <v>7_0</v>
      </c>
      <c r="C102">
        <v>2</v>
      </c>
      <c r="D102" t="s">
        <v>198</v>
      </c>
      <c r="E102" t="s">
        <v>82</v>
      </c>
      <c r="F102">
        <v>505</v>
      </c>
    </row>
    <row r="103" spans="1:7" x14ac:dyDescent="0.55000000000000004">
      <c r="A103">
        <v>7</v>
      </c>
      <c r="B103" s="15" t="str">
        <f t="shared" si="6"/>
        <v>7_0</v>
      </c>
      <c r="C103">
        <v>2</v>
      </c>
      <c r="D103" t="s">
        <v>187</v>
      </c>
      <c r="E103" t="s">
        <v>199</v>
      </c>
      <c r="F103">
        <f>0.5*F95*F96*((F99+F100+(F102-F101))/3)/1000000000</f>
        <v>0.92134166666666673</v>
      </c>
      <c r="G103" t="s">
        <v>200</v>
      </c>
    </row>
    <row r="104" spans="1:7" x14ac:dyDescent="0.55000000000000004">
      <c r="A104">
        <v>7</v>
      </c>
      <c r="B104" s="15" t="str">
        <f t="shared" si="6"/>
        <v>7_0</v>
      </c>
      <c r="C104">
        <v>2</v>
      </c>
      <c r="D104" t="s">
        <v>201</v>
      </c>
      <c r="E104" t="s">
        <v>82</v>
      </c>
      <c r="F104">
        <f>AVERAGE(335,325,320,390)</f>
        <v>342.5</v>
      </c>
      <c r="G104" t="s">
        <v>209</v>
      </c>
    </row>
    <row r="105" spans="1:7" x14ac:dyDescent="0.55000000000000004">
      <c r="A105">
        <v>7</v>
      </c>
      <c r="B105" s="15" t="str">
        <f t="shared" si="6"/>
        <v>7_0</v>
      </c>
      <c r="C105">
        <v>2</v>
      </c>
      <c r="D105" t="s">
        <v>202</v>
      </c>
      <c r="E105" t="s">
        <v>68</v>
      </c>
      <c r="F105">
        <v>5</v>
      </c>
    </row>
    <row r="106" spans="1:7" x14ac:dyDescent="0.55000000000000004">
      <c r="A106">
        <v>7</v>
      </c>
      <c r="B106" s="15" t="str">
        <f t="shared" si="6"/>
        <v>7_0</v>
      </c>
      <c r="C106">
        <v>3</v>
      </c>
      <c r="D106" t="s">
        <v>191</v>
      </c>
      <c r="E106" t="s">
        <v>192</v>
      </c>
      <c r="F106" t="s">
        <v>206</v>
      </c>
    </row>
    <row r="107" spans="1:7" x14ac:dyDescent="0.55000000000000004">
      <c r="A107">
        <v>7</v>
      </c>
      <c r="B107" s="15" t="str">
        <f t="shared" si="6"/>
        <v>7_0</v>
      </c>
      <c r="C107">
        <v>3</v>
      </c>
      <c r="D107" t="s">
        <v>193</v>
      </c>
      <c r="E107" t="s">
        <v>82</v>
      </c>
      <c r="F107">
        <v>3440</v>
      </c>
    </row>
    <row r="108" spans="1:7" x14ac:dyDescent="0.55000000000000004">
      <c r="A108">
        <v>7</v>
      </c>
      <c r="B108" s="15" t="str">
        <f t="shared" si="6"/>
        <v>7_0</v>
      </c>
      <c r="C108">
        <v>3</v>
      </c>
      <c r="D108" t="s">
        <v>194</v>
      </c>
      <c r="E108" t="s">
        <v>82</v>
      </c>
      <c r="F108">
        <v>2300</v>
      </c>
    </row>
    <row r="109" spans="1:7" x14ac:dyDescent="0.55000000000000004">
      <c r="A109">
        <v>7</v>
      </c>
      <c r="B109" s="15" t="str">
        <f t="shared" si="6"/>
        <v>7_0</v>
      </c>
      <c r="C109">
        <v>3</v>
      </c>
      <c r="D109" t="s">
        <v>195</v>
      </c>
      <c r="E109" t="s">
        <v>82</v>
      </c>
      <c r="F109">
        <v>1800</v>
      </c>
    </row>
    <row r="110" spans="1:7" x14ac:dyDescent="0.55000000000000004">
      <c r="A110">
        <v>7</v>
      </c>
      <c r="B110" s="15" t="str">
        <f t="shared" si="6"/>
        <v>7_0</v>
      </c>
      <c r="C110">
        <v>3</v>
      </c>
      <c r="D110" t="s">
        <v>273</v>
      </c>
      <c r="E110" t="s">
        <v>274</v>
      </c>
      <c r="F110">
        <f>F108*F109/1000000</f>
        <v>4.1399999999999997</v>
      </c>
      <c r="G110" t="s">
        <v>200</v>
      </c>
    </row>
    <row r="111" spans="1:7" x14ac:dyDescent="0.55000000000000004">
      <c r="A111">
        <v>7</v>
      </c>
      <c r="B111" s="15" t="str">
        <f t="shared" si="6"/>
        <v>7_0</v>
      </c>
      <c r="C111">
        <v>3</v>
      </c>
      <c r="D111" t="s">
        <v>185</v>
      </c>
      <c r="E111" t="s">
        <v>272</v>
      </c>
      <c r="F111">
        <f>Building_reefs!$B$18/3</f>
        <v>1233.3333333333333</v>
      </c>
      <c r="G111" t="s">
        <v>200</v>
      </c>
    </row>
    <row r="112" spans="1:7" x14ac:dyDescent="0.55000000000000004">
      <c r="A112">
        <v>7</v>
      </c>
      <c r="B112" s="15" t="str">
        <f t="shared" si="6"/>
        <v>7_0</v>
      </c>
      <c r="C112">
        <v>3</v>
      </c>
      <c r="D112" t="s">
        <v>196</v>
      </c>
      <c r="E112" t="s">
        <v>82</v>
      </c>
      <c r="F112">
        <v>455</v>
      </c>
    </row>
    <row r="113" spans="1:7" x14ac:dyDescent="0.55000000000000004">
      <c r="A113">
        <v>7</v>
      </c>
      <c r="B113" s="15" t="str">
        <f t="shared" si="6"/>
        <v>7_0</v>
      </c>
      <c r="C113">
        <v>3</v>
      </c>
      <c r="D113" t="s">
        <v>197</v>
      </c>
      <c r="E113" t="s">
        <v>82</v>
      </c>
      <c r="F113">
        <v>480</v>
      </c>
    </row>
    <row r="114" spans="1:7" x14ac:dyDescent="0.55000000000000004">
      <c r="A114">
        <v>7</v>
      </c>
      <c r="B114" s="15" t="str">
        <f t="shared" si="6"/>
        <v>7_0</v>
      </c>
      <c r="C114">
        <v>3</v>
      </c>
      <c r="D114" t="s">
        <v>207</v>
      </c>
      <c r="E114" t="s">
        <v>82</v>
      </c>
      <c r="F114">
        <v>175</v>
      </c>
    </row>
    <row r="115" spans="1:7" x14ac:dyDescent="0.55000000000000004">
      <c r="A115">
        <v>7</v>
      </c>
      <c r="B115" s="15" t="str">
        <f t="shared" si="6"/>
        <v>7_0</v>
      </c>
      <c r="C115">
        <v>3</v>
      </c>
      <c r="D115" t="s">
        <v>198</v>
      </c>
      <c r="E115" t="s">
        <v>82</v>
      </c>
      <c r="F115">
        <v>500</v>
      </c>
    </row>
    <row r="116" spans="1:7" x14ac:dyDescent="0.55000000000000004">
      <c r="A116">
        <v>7</v>
      </c>
      <c r="B116" s="15" t="str">
        <f t="shared" si="6"/>
        <v>7_0</v>
      </c>
      <c r="C116">
        <v>3</v>
      </c>
      <c r="D116" t="s">
        <v>187</v>
      </c>
      <c r="E116" t="s">
        <v>199</v>
      </c>
      <c r="F116">
        <f>0.5*F108*F109*((F112+F113+(F115-F114))/3)/1000000000</f>
        <v>0.86939999999999995</v>
      </c>
      <c r="G116" t="s">
        <v>200</v>
      </c>
    </row>
    <row r="117" spans="1:7" x14ac:dyDescent="0.55000000000000004">
      <c r="A117">
        <v>7</v>
      </c>
      <c r="B117" s="15" t="str">
        <f t="shared" si="6"/>
        <v>7_0</v>
      </c>
      <c r="C117">
        <v>3</v>
      </c>
      <c r="D117" t="s">
        <v>201</v>
      </c>
      <c r="E117" t="s">
        <v>82</v>
      </c>
      <c r="F117">
        <f>AVERAGE(360,341,341,345)</f>
        <v>346.75</v>
      </c>
      <c r="G117" t="s">
        <v>208</v>
      </c>
    </row>
    <row r="118" spans="1:7" x14ac:dyDescent="0.55000000000000004">
      <c r="A118">
        <v>7</v>
      </c>
      <c r="B118" s="15" t="str">
        <f t="shared" si="6"/>
        <v>7_0</v>
      </c>
      <c r="C118">
        <v>3</v>
      </c>
      <c r="D118" t="s">
        <v>202</v>
      </c>
      <c r="E118" t="s">
        <v>68</v>
      </c>
      <c r="F118">
        <v>0</v>
      </c>
    </row>
    <row r="119" spans="1:7" x14ac:dyDescent="0.55000000000000004">
      <c r="A119">
        <v>9</v>
      </c>
      <c r="B119" s="15" t="str">
        <f t="shared" si="6"/>
        <v>9_0</v>
      </c>
      <c r="C119">
        <v>1</v>
      </c>
      <c r="D119" t="s">
        <v>191</v>
      </c>
      <c r="E119" t="s">
        <v>192</v>
      </c>
      <c r="F119" t="s">
        <v>206</v>
      </c>
    </row>
    <row r="120" spans="1:7" x14ac:dyDescent="0.55000000000000004">
      <c r="A120">
        <v>9</v>
      </c>
      <c r="B120" s="15" t="str">
        <f t="shared" si="6"/>
        <v>9_0</v>
      </c>
      <c r="C120">
        <v>1</v>
      </c>
      <c r="D120" t="s">
        <v>193</v>
      </c>
      <c r="E120" t="s">
        <v>82</v>
      </c>
      <c r="F120">
        <v>3900</v>
      </c>
    </row>
    <row r="121" spans="1:7" x14ac:dyDescent="0.55000000000000004">
      <c r="A121">
        <v>9</v>
      </c>
      <c r="B121" s="15" t="str">
        <f t="shared" si="6"/>
        <v>9_0</v>
      </c>
      <c r="C121">
        <v>1</v>
      </c>
      <c r="D121" t="s">
        <v>194</v>
      </c>
      <c r="E121" t="s">
        <v>82</v>
      </c>
      <c r="F121">
        <v>1700</v>
      </c>
    </row>
    <row r="122" spans="1:7" x14ac:dyDescent="0.55000000000000004">
      <c r="A122">
        <v>9</v>
      </c>
      <c r="B122" s="15" t="str">
        <f t="shared" si="6"/>
        <v>9_0</v>
      </c>
      <c r="C122">
        <v>1</v>
      </c>
      <c r="D122" t="s">
        <v>195</v>
      </c>
      <c r="E122" t="s">
        <v>82</v>
      </c>
      <c r="F122">
        <v>1500</v>
      </c>
    </row>
    <row r="123" spans="1:7" x14ac:dyDescent="0.55000000000000004">
      <c r="A123">
        <v>9</v>
      </c>
      <c r="B123" s="15" t="str">
        <f t="shared" ref="B123:B124" si="8">A123 &amp; "_0"</f>
        <v>9_0</v>
      </c>
      <c r="C123">
        <v>1</v>
      </c>
      <c r="D123" t="s">
        <v>273</v>
      </c>
      <c r="E123" t="s">
        <v>274</v>
      </c>
      <c r="F123">
        <f>F121*F122/1000000</f>
        <v>2.5499999999999998</v>
      </c>
      <c r="G123" t="s">
        <v>200</v>
      </c>
    </row>
    <row r="124" spans="1:7" x14ac:dyDescent="0.55000000000000004">
      <c r="A124">
        <v>9</v>
      </c>
      <c r="B124" s="15" t="str">
        <f t="shared" si="8"/>
        <v>9_0</v>
      </c>
      <c r="C124">
        <v>1</v>
      </c>
      <c r="D124" t="s">
        <v>185</v>
      </c>
      <c r="E124" t="s">
        <v>272</v>
      </c>
      <c r="F124">
        <f>Building_reefs!$B$19/3</f>
        <v>640</v>
      </c>
      <c r="G124" t="s">
        <v>200</v>
      </c>
    </row>
    <row r="125" spans="1:7" x14ac:dyDescent="0.55000000000000004">
      <c r="A125">
        <v>9</v>
      </c>
      <c r="B125" s="15" t="str">
        <f t="shared" si="6"/>
        <v>9_0</v>
      </c>
      <c r="C125">
        <v>1</v>
      </c>
      <c r="D125" t="s">
        <v>196</v>
      </c>
      <c r="E125" t="s">
        <v>82</v>
      </c>
      <c r="F125">
        <v>470</v>
      </c>
    </row>
    <row r="126" spans="1:7" x14ac:dyDescent="0.55000000000000004">
      <c r="A126">
        <v>9</v>
      </c>
      <c r="B126" s="15" t="str">
        <f t="shared" si="6"/>
        <v>9_0</v>
      </c>
      <c r="C126">
        <v>1</v>
      </c>
      <c r="D126" t="s">
        <v>197</v>
      </c>
      <c r="E126" t="s">
        <v>82</v>
      </c>
      <c r="F126">
        <v>490</v>
      </c>
    </row>
    <row r="127" spans="1:7" x14ac:dyDescent="0.55000000000000004">
      <c r="A127">
        <v>9</v>
      </c>
      <c r="B127" s="15" t="str">
        <f t="shared" si="6"/>
        <v>9_0</v>
      </c>
      <c r="C127">
        <v>1</v>
      </c>
      <c r="D127" t="s">
        <v>207</v>
      </c>
      <c r="E127" t="s">
        <v>82</v>
      </c>
      <c r="F127">
        <v>200</v>
      </c>
    </row>
    <row r="128" spans="1:7" x14ac:dyDescent="0.55000000000000004">
      <c r="A128">
        <v>9</v>
      </c>
      <c r="B128" s="15" t="str">
        <f t="shared" si="6"/>
        <v>9_0</v>
      </c>
      <c r="C128">
        <v>1</v>
      </c>
      <c r="D128" t="s">
        <v>198</v>
      </c>
      <c r="E128" t="s">
        <v>82</v>
      </c>
      <c r="F128">
        <v>500</v>
      </c>
    </row>
    <row r="129" spans="1:7" x14ac:dyDescent="0.55000000000000004">
      <c r="A129">
        <v>9</v>
      </c>
      <c r="B129" s="15" t="str">
        <f t="shared" si="6"/>
        <v>9_0</v>
      </c>
      <c r="C129">
        <v>1</v>
      </c>
      <c r="D129" t="s">
        <v>187</v>
      </c>
      <c r="E129" t="s">
        <v>199</v>
      </c>
      <c r="F129">
        <f>0.5*F121*F122*((F125+F126+(F128-F127))/3)/1000000000</f>
        <v>0.53549999999999998</v>
      </c>
      <c r="G129" t="s">
        <v>200</v>
      </c>
    </row>
    <row r="130" spans="1:7" x14ac:dyDescent="0.55000000000000004">
      <c r="A130">
        <v>9</v>
      </c>
      <c r="B130" s="15" t="str">
        <f t="shared" si="6"/>
        <v>9_0</v>
      </c>
      <c r="C130">
        <v>1</v>
      </c>
      <c r="D130" t="s">
        <v>201</v>
      </c>
      <c r="E130" t="s">
        <v>82</v>
      </c>
      <c r="F130">
        <f>AVERAGE(400,415,440,435)</f>
        <v>422.5</v>
      </c>
      <c r="G130" t="s">
        <v>151</v>
      </c>
    </row>
    <row r="131" spans="1:7" x14ac:dyDescent="0.55000000000000004">
      <c r="A131">
        <v>9</v>
      </c>
      <c r="B131" s="15" t="str">
        <f t="shared" si="6"/>
        <v>9_0</v>
      </c>
      <c r="C131">
        <v>1</v>
      </c>
      <c r="D131" t="s">
        <v>202</v>
      </c>
      <c r="E131" t="s">
        <v>68</v>
      </c>
      <c r="F131">
        <v>0</v>
      </c>
    </row>
    <row r="132" spans="1:7" x14ac:dyDescent="0.55000000000000004">
      <c r="A132">
        <v>9</v>
      </c>
      <c r="B132" s="15" t="str">
        <f t="shared" si="6"/>
        <v>9_0</v>
      </c>
      <c r="C132">
        <v>2</v>
      </c>
      <c r="D132" t="s">
        <v>191</v>
      </c>
      <c r="E132" t="s">
        <v>192</v>
      </c>
      <c r="F132" t="s">
        <v>206</v>
      </c>
    </row>
    <row r="133" spans="1:7" x14ac:dyDescent="0.55000000000000004">
      <c r="A133">
        <v>9</v>
      </c>
      <c r="B133" s="15" t="str">
        <f t="shared" si="6"/>
        <v>9_0</v>
      </c>
      <c r="C133">
        <v>2</v>
      </c>
      <c r="D133" t="s">
        <v>193</v>
      </c>
      <c r="E133" t="s">
        <v>82</v>
      </c>
      <c r="F133">
        <v>4200</v>
      </c>
    </row>
    <row r="134" spans="1:7" x14ac:dyDescent="0.55000000000000004">
      <c r="A134">
        <v>9</v>
      </c>
      <c r="B134" s="15" t="str">
        <f t="shared" si="6"/>
        <v>9_0</v>
      </c>
      <c r="C134">
        <v>2</v>
      </c>
      <c r="D134" t="s">
        <v>194</v>
      </c>
      <c r="E134" t="s">
        <v>82</v>
      </c>
      <c r="F134">
        <v>2000</v>
      </c>
    </row>
    <row r="135" spans="1:7" x14ac:dyDescent="0.55000000000000004">
      <c r="A135">
        <v>9</v>
      </c>
      <c r="B135" s="15" t="str">
        <f t="shared" si="6"/>
        <v>9_0</v>
      </c>
      <c r="C135">
        <v>2</v>
      </c>
      <c r="D135" t="s">
        <v>195</v>
      </c>
      <c r="E135" t="s">
        <v>82</v>
      </c>
      <c r="F135">
        <v>1700</v>
      </c>
    </row>
    <row r="136" spans="1:7" x14ac:dyDescent="0.55000000000000004">
      <c r="A136">
        <v>9</v>
      </c>
      <c r="B136" s="15" t="str">
        <f t="shared" si="6"/>
        <v>9_0</v>
      </c>
      <c r="C136">
        <v>2</v>
      </c>
      <c r="D136" t="s">
        <v>273</v>
      </c>
      <c r="E136" t="s">
        <v>274</v>
      </c>
      <c r="F136">
        <f>F134*F135/1000000</f>
        <v>3.4</v>
      </c>
      <c r="G136" t="s">
        <v>200</v>
      </c>
    </row>
    <row r="137" spans="1:7" x14ac:dyDescent="0.55000000000000004">
      <c r="A137">
        <v>9</v>
      </c>
      <c r="B137" s="15" t="str">
        <f t="shared" si="6"/>
        <v>9_0</v>
      </c>
      <c r="C137">
        <v>2</v>
      </c>
      <c r="D137" t="s">
        <v>185</v>
      </c>
      <c r="E137" t="s">
        <v>272</v>
      </c>
      <c r="F137">
        <f>Building_reefs!$B$19/3</f>
        <v>640</v>
      </c>
      <c r="G137" t="s">
        <v>200</v>
      </c>
    </row>
    <row r="138" spans="1:7" x14ac:dyDescent="0.55000000000000004">
      <c r="A138">
        <v>9</v>
      </c>
      <c r="B138" s="15" t="str">
        <f t="shared" si="6"/>
        <v>9_0</v>
      </c>
      <c r="C138">
        <v>2</v>
      </c>
      <c r="D138" t="s">
        <v>196</v>
      </c>
      <c r="E138" t="s">
        <v>82</v>
      </c>
      <c r="F138">
        <v>420</v>
      </c>
    </row>
    <row r="139" spans="1:7" x14ac:dyDescent="0.55000000000000004">
      <c r="A139">
        <v>9</v>
      </c>
      <c r="B139" s="15" t="str">
        <f t="shared" si="6"/>
        <v>9_0</v>
      </c>
      <c r="C139">
        <v>2</v>
      </c>
      <c r="D139" t="s">
        <v>197</v>
      </c>
      <c r="E139" t="s">
        <v>82</v>
      </c>
      <c r="F139">
        <v>460</v>
      </c>
    </row>
    <row r="140" spans="1:7" x14ac:dyDescent="0.55000000000000004">
      <c r="A140">
        <v>9</v>
      </c>
      <c r="B140" s="15" t="str">
        <f t="shared" si="6"/>
        <v>9_0</v>
      </c>
      <c r="C140">
        <v>2</v>
      </c>
      <c r="D140" t="s">
        <v>207</v>
      </c>
      <c r="E140" t="s">
        <v>82</v>
      </c>
      <c r="F140">
        <v>160</v>
      </c>
    </row>
    <row r="141" spans="1:7" x14ac:dyDescent="0.55000000000000004">
      <c r="A141">
        <v>9</v>
      </c>
      <c r="B141" s="15" t="str">
        <f t="shared" si="6"/>
        <v>9_0</v>
      </c>
      <c r="C141">
        <v>2</v>
      </c>
      <c r="D141" t="s">
        <v>198</v>
      </c>
      <c r="E141" t="s">
        <v>82</v>
      </c>
      <c r="F141">
        <v>410</v>
      </c>
    </row>
    <row r="142" spans="1:7" x14ac:dyDescent="0.55000000000000004">
      <c r="A142">
        <v>9</v>
      </c>
      <c r="B142" s="15" t="str">
        <f t="shared" si="6"/>
        <v>9_0</v>
      </c>
      <c r="C142">
        <v>2</v>
      </c>
      <c r="D142" t="s">
        <v>187</v>
      </c>
      <c r="E142" t="s">
        <v>199</v>
      </c>
      <c r="F142">
        <f>0.5*F134*F135*((F138+F139+(F141-F140))/3)/1000000000</f>
        <v>0.64033333333333342</v>
      </c>
      <c r="G142" t="s">
        <v>200</v>
      </c>
    </row>
    <row r="143" spans="1:7" x14ac:dyDescent="0.55000000000000004">
      <c r="A143">
        <v>9</v>
      </c>
      <c r="B143" s="15" t="str">
        <f t="shared" si="6"/>
        <v>9_0</v>
      </c>
      <c r="C143">
        <v>2</v>
      </c>
      <c r="D143" t="s">
        <v>201</v>
      </c>
      <c r="E143" t="s">
        <v>82</v>
      </c>
      <c r="F143">
        <f>AVERAGE(390,410,410,395)</f>
        <v>401.25</v>
      </c>
      <c r="G143" t="s">
        <v>208</v>
      </c>
    </row>
    <row r="144" spans="1:7" x14ac:dyDescent="0.55000000000000004">
      <c r="A144">
        <v>9</v>
      </c>
      <c r="B144" s="15" t="str">
        <f t="shared" si="6"/>
        <v>9_0</v>
      </c>
      <c r="C144">
        <v>2</v>
      </c>
      <c r="D144" t="s">
        <v>202</v>
      </c>
      <c r="E144" t="s">
        <v>68</v>
      </c>
      <c r="F144">
        <v>0</v>
      </c>
    </row>
    <row r="145" spans="1:7" x14ac:dyDescent="0.55000000000000004">
      <c r="A145">
        <v>9</v>
      </c>
      <c r="B145" s="15" t="str">
        <f t="shared" si="6"/>
        <v>9_0</v>
      </c>
      <c r="C145">
        <v>3</v>
      </c>
      <c r="D145" t="s">
        <v>191</v>
      </c>
      <c r="E145" t="s">
        <v>192</v>
      </c>
      <c r="F145" t="s">
        <v>206</v>
      </c>
    </row>
    <row r="146" spans="1:7" x14ac:dyDescent="0.55000000000000004">
      <c r="A146">
        <v>9</v>
      </c>
      <c r="B146" s="15" t="str">
        <f t="shared" si="6"/>
        <v>9_0</v>
      </c>
      <c r="C146">
        <v>3</v>
      </c>
      <c r="D146" t="s">
        <v>193</v>
      </c>
      <c r="E146" t="s">
        <v>82</v>
      </c>
      <c r="F146">
        <v>4400</v>
      </c>
    </row>
    <row r="147" spans="1:7" x14ac:dyDescent="0.55000000000000004">
      <c r="A147">
        <v>9</v>
      </c>
      <c r="B147" s="15" t="str">
        <f t="shared" si="6"/>
        <v>9_0</v>
      </c>
      <c r="C147">
        <v>3</v>
      </c>
      <c r="D147" t="s">
        <v>194</v>
      </c>
      <c r="E147" t="s">
        <v>82</v>
      </c>
      <c r="F147">
        <v>2000</v>
      </c>
    </row>
    <row r="148" spans="1:7" x14ac:dyDescent="0.55000000000000004">
      <c r="A148">
        <v>9</v>
      </c>
      <c r="B148" s="15" t="str">
        <f t="shared" si="6"/>
        <v>9_0</v>
      </c>
      <c r="C148">
        <v>3</v>
      </c>
      <c r="D148" t="s">
        <v>195</v>
      </c>
      <c r="E148" t="s">
        <v>82</v>
      </c>
      <c r="F148">
        <v>1800</v>
      </c>
    </row>
    <row r="149" spans="1:7" x14ac:dyDescent="0.55000000000000004">
      <c r="A149">
        <v>9</v>
      </c>
      <c r="B149" s="15" t="str">
        <f t="shared" ref="B149:B150" si="9">A149 &amp; "_0"</f>
        <v>9_0</v>
      </c>
      <c r="C149">
        <v>3</v>
      </c>
      <c r="D149" t="s">
        <v>273</v>
      </c>
      <c r="E149" t="s">
        <v>274</v>
      </c>
      <c r="F149">
        <f>F147*F148/1000000</f>
        <v>3.6</v>
      </c>
      <c r="G149" t="s">
        <v>200</v>
      </c>
    </row>
    <row r="150" spans="1:7" x14ac:dyDescent="0.55000000000000004">
      <c r="A150">
        <v>9</v>
      </c>
      <c r="B150" s="15" t="str">
        <f t="shared" si="9"/>
        <v>9_0</v>
      </c>
      <c r="C150">
        <v>3</v>
      </c>
      <c r="D150" t="s">
        <v>185</v>
      </c>
      <c r="E150" t="s">
        <v>272</v>
      </c>
      <c r="F150">
        <f>Building_reefs!$B$19/3</f>
        <v>640</v>
      </c>
      <c r="G150" t="s">
        <v>200</v>
      </c>
    </row>
    <row r="151" spans="1:7" x14ac:dyDescent="0.55000000000000004">
      <c r="A151">
        <v>9</v>
      </c>
      <c r="B151" s="15" t="str">
        <f t="shared" si="6"/>
        <v>9_0</v>
      </c>
      <c r="C151">
        <v>3</v>
      </c>
      <c r="D151" t="s">
        <v>196</v>
      </c>
      <c r="E151" t="s">
        <v>82</v>
      </c>
      <c r="F151">
        <v>450</v>
      </c>
    </row>
    <row r="152" spans="1:7" x14ac:dyDescent="0.55000000000000004">
      <c r="A152">
        <v>9</v>
      </c>
      <c r="B152" s="15" t="str">
        <f t="shared" si="6"/>
        <v>9_0</v>
      </c>
      <c r="C152">
        <v>3</v>
      </c>
      <c r="D152" t="s">
        <v>197</v>
      </c>
      <c r="E152" t="s">
        <v>82</v>
      </c>
      <c r="F152">
        <v>480</v>
      </c>
    </row>
    <row r="153" spans="1:7" x14ac:dyDescent="0.55000000000000004">
      <c r="A153">
        <v>9</v>
      </c>
      <c r="B153" s="15" t="str">
        <f t="shared" si="6"/>
        <v>9_0</v>
      </c>
      <c r="C153">
        <v>3</v>
      </c>
      <c r="D153" t="s">
        <v>207</v>
      </c>
      <c r="E153" t="s">
        <v>82</v>
      </c>
      <c r="F153">
        <v>190</v>
      </c>
    </row>
    <row r="154" spans="1:7" x14ac:dyDescent="0.55000000000000004">
      <c r="A154">
        <v>9</v>
      </c>
      <c r="B154" s="15" t="str">
        <f t="shared" si="6"/>
        <v>9_0</v>
      </c>
      <c r="C154">
        <v>3</v>
      </c>
      <c r="D154" t="s">
        <v>198</v>
      </c>
      <c r="E154" t="s">
        <v>82</v>
      </c>
      <c r="F154">
        <v>490</v>
      </c>
    </row>
    <row r="155" spans="1:7" x14ac:dyDescent="0.55000000000000004">
      <c r="A155">
        <v>9</v>
      </c>
      <c r="B155" s="15" t="str">
        <f t="shared" ref="B155:B196" si="10">A155 &amp; "_0"</f>
        <v>9_0</v>
      </c>
      <c r="C155">
        <v>3</v>
      </c>
      <c r="D155" t="s">
        <v>187</v>
      </c>
      <c r="E155" t="s">
        <v>199</v>
      </c>
      <c r="F155">
        <f>0.5*F147*F148*((F151+F152+(F154-F153))/3)/1000000000</f>
        <v>0.73799999999999999</v>
      </c>
      <c r="G155" t="s">
        <v>200</v>
      </c>
    </row>
    <row r="156" spans="1:7" x14ac:dyDescent="0.55000000000000004">
      <c r="A156">
        <v>9</v>
      </c>
      <c r="B156" s="15" t="str">
        <f t="shared" si="10"/>
        <v>9_0</v>
      </c>
      <c r="C156">
        <v>3</v>
      </c>
      <c r="D156" t="s">
        <v>201</v>
      </c>
      <c r="E156" t="s">
        <v>82</v>
      </c>
      <c r="F156">
        <f>AVERAGE(380,380,355,358)</f>
        <v>368.25</v>
      </c>
      <c r="G156" t="s">
        <v>209</v>
      </c>
    </row>
    <row r="157" spans="1:7" x14ac:dyDescent="0.55000000000000004">
      <c r="A157">
        <v>9</v>
      </c>
      <c r="B157" s="15" t="str">
        <f t="shared" si="10"/>
        <v>9_0</v>
      </c>
      <c r="C157">
        <v>3</v>
      </c>
      <c r="D157" t="s">
        <v>202</v>
      </c>
      <c r="E157" t="s">
        <v>68</v>
      </c>
      <c r="F157">
        <v>0</v>
      </c>
    </row>
    <row r="158" spans="1:7" x14ac:dyDescent="0.55000000000000004">
      <c r="A158">
        <v>11</v>
      </c>
      <c r="B158" s="15" t="str">
        <f t="shared" si="10"/>
        <v>11_0</v>
      </c>
      <c r="C158">
        <v>1</v>
      </c>
      <c r="D158" t="s">
        <v>191</v>
      </c>
      <c r="E158" t="s">
        <v>192</v>
      </c>
      <c r="F158" t="s">
        <v>206</v>
      </c>
    </row>
    <row r="159" spans="1:7" x14ac:dyDescent="0.55000000000000004">
      <c r="A159">
        <v>11</v>
      </c>
      <c r="B159" s="15" t="str">
        <f t="shared" si="10"/>
        <v>11_0</v>
      </c>
      <c r="C159">
        <v>1</v>
      </c>
      <c r="D159" t="s">
        <v>193</v>
      </c>
      <c r="E159" t="s">
        <v>82</v>
      </c>
      <c r="F159">
        <v>6400</v>
      </c>
    </row>
    <row r="160" spans="1:7" x14ac:dyDescent="0.55000000000000004">
      <c r="A160">
        <v>11</v>
      </c>
      <c r="B160" s="15" t="str">
        <f t="shared" si="10"/>
        <v>11_0</v>
      </c>
      <c r="C160">
        <v>1</v>
      </c>
      <c r="D160" t="s">
        <v>194</v>
      </c>
      <c r="E160" t="s">
        <v>82</v>
      </c>
      <c r="F160">
        <v>1800</v>
      </c>
    </row>
    <row r="161" spans="1:7" x14ac:dyDescent="0.55000000000000004">
      <c r="A161">
        <v>11</v>
      </c>
      <c r="B161" s="15" t="str">
        <f t="shared" si="10"/>
        <v>11_0</v>
      </c>
      <c r="C161">
        <v>1</v>
      </c>
      <c r="D161" t="s">
        <v>195</v>
      </c>
      <c r="E161" t="s">
        <v>82</v>
      </c>
      <c r="F161">
        <v>2000</v>
      </c>
    </row>
    <row r="162" spans="1:7" x14ac:dyDescent="0.55000000000000004">
      <c r="A162">
        <v>11</v>
      </c>
      <c r="B162" s="15" t="str">
        <f t="shared" si="10"/>
        <v>11_0</v>
      </c>
      <c r="C162">
        <v>1</v>
      </c>
      <c r="D162" t="s">
        <v>273</v>
      </c>
      <c r="E162" t="s">
        <v>274</v>
      </c>
      <c r="F162">
        <f>F160*F161/1000000</f>
        <v>3.6</v>
      </c>
      <c r="G162" t="s">
        <v>200</v>
      </c>
    </row>
    <row r="163" spans="1:7" x14ac:dyDescent="0.55000000000000004">
      <c r="A163">
        <v>11</v>
      </c>
      <c r="B163" s="15" t="str">
        <f t="shared" si="10"/>
        <v>11_0</v>
      </c>
      <c r="C163">
        <v>1</v>
      </c>
      <c r="D163" t="s">
        <v>185</v>
      </c>
      <c r="E163" t="s">
        <v>272</v>
      </c>
      <c r="F163">
        <f>Building_reefs!$B$20/3</f>
        <v>1003.3333333333334</v>
      </c>
      <c r="G163" t="s">
        <v>200</v>
      </c>
    </row>
    <row r="164" spans="1:7" x14ac:dyDescent="0.55000000000000004">
      <c r="A164">
        <v>11</v>
      </c>
      <c r="B164" s="15" t="str">
        <f t="shared" si="10"/>
        <v>11_0</v>
      </c>
      <c r="C164">
        <v>1</v>
      </c>
      <c r="D164" t="s">
        <v>196</v>
      </c>
      <c r="E164" t="s">
        <v>82</v>
      </c>
      <c r="F164">
        <v>630</v>
      </c>
    </row>
    <row r="165" spans="1:7" x14ac:dyDescent="0.55000000000000004">
      <c r="A165">
        <v>11</v>
      </c>
      <c r="B165" s="15" t="str">
        <f t="shared" si="10"/>
        <v>11_0</v>
      </c>
      <c r="C165">
        <v>1</v>
      </c>
      <c r="D165" t="s">
        <v>197</v>
      </c>
      <c r="E165" t="s">
        <v>82</v>
      </c>
      <c r="F165">
        <v>615</v>
      </c>
    </row>
    <row r="166" spans="1:7" x14ac:dyDescent="0.55000000000000004">
      <c r="A166">
        <v>11</v>
      </c>
      <c r="B166" s="15" t="str">
        <f t="shared" si="10"/>
        <v>11_0</v>
      </c>
      <c r="C166">
        <v>1</v>
      </c>
      <c r="D166" t="s">
        <v>207</v>
      </c>
      <c r="E166" t="s">
        <v>82</v>
      </c>
      <c r="F166">
        <v>280</v>
      </c>
    </row>
    <row r="167" spans="1:7" x14ac:dyDescent="0.55000000000000004">
      <c r="A167">
        <v>11</v>
      </c>
      <c r="B167" s="15" t="str">
        <f t="shared" si="10"/>
        <v>11_0</v>
      </c>
      <c r="C167">
        <v>1</v>
      </c>
      <c r="D167" t="s">
        <v>198</v>
      </c>
      <c r="E167" t="s">
        <v>82</v>
      </c>
      <c r="F167">
        <v>715</v>
      </c>
    </row>
    <row r="168" spans="1:7" x14ac:dyDescent="0.55000000000000004">
      <c r="A168">
        <v>11</v>
      </c>
      <c r="B168" s="15" t="str">
        <f t="shared" si="10"/>
        <v>11_0</v>
      </c>
      <c r="C168">
        <v>1</v>
      </c>
      <c r="D168" t="s">
        <v>187</v>
      </c>
      <c r="E168" t="s">
        <v>199</v>
      </c>
      <c r="F168">
        <f>0.5*F160*F161*((F164+F165+(F167-F166))/3)/1000000000</f>
        <v>1.008</v>
      </c>
      <c r="G168" t="s">
        <v>200</v>
      </c>
    </row>
    <row r="169" spans="1:7" x14ac:dyDescent="0.55000000000000004">
      <c r="A169">
        <v>11</v>
      </c>
      <c r="B169" s="15" t="str">
        <f t="shared" si="10"/>
        <v>11_0</v>
      </c>
      <c r="C169">
        <v>1</v>
      </c>
      <c r="D169" t="s">
        <v>201</v>
      </c>
      <c r="E169" t="s">
        <v>82</v>
      </c>
      <c r="F169">
        <f>AVERAGE(413,410,393,405)</f>
        <v>405.25</v>
      </c>
      <c r="G169" t="s">
        <v>209</v>
      </c>
    </row>
    <row r="170" spans="1:7" x14ac:dyDescent="0.55000000000000004">
      <c r="A170">
        <v>11</v>
      </c>
      <c r="B170" s="15" t="str">
        <f t="shared" si="10"/>
        <v>11_0</v>
      </c>
      <c r="C170">
        <v>1</v>
      </c>
      <c r="D170" t="s">
        <v>202</v>
      </c>
      <c r="E170" t="s">
        <v>68</v>
      </c>
      <c r="F170">
        <v>0</v>
      </c>
    </row>
    <row r="171" spans="1:7" x14ac:dyDescent="0.55000000000000004">
      <c r="A171">
        <v>11</v>
      </c>
      <c r="B171" s="15" t="str">
        <f t="shared" si="10"/>
        <v>11_0</v>
      </c>
      <c r="C171">
        <v>2</v>
      </c>
      <c r="D171" t="s">
        <v>191</v>
      </c>
      <c r="E171" t="s">
        <v>192</v>
      </c>
      <c r="F171" t="s">
        <v>206</v>
      </c>
    </row>
    <row r="172" spans="1:7" x14ac:dyDescent="0.55000000000000004">
      <c r="A172">
        <v>11</v>
      </c>
      <c r="B172" s="15" t="str">
        <f t="shared" si="10"/>
        <v>11_0</v>
      </c>
      <c r="C172">
        <v>2</v>
      </c>
      <c r="D172" t="s">
        <v>193</v>
      </c>
      <c r="E172" t="s">
        <v>82</v>
      </c>
      <c r="F172">
        <v>6700</v>
      </c>
    </row>
    <row r="173" spans="1:7" x14ac:dyDescent="0.55000000000000004">
      <c r="A173">
        <v>11</v>
      </c>
      <c r="B173" s="15" t="str">
        <f t="shared" si="10"/>
        <v>11_0</v>
      </c>
      <c r="C173">
        <v>2</v>
      </c>
      <c r="D173" t="s">
        <v>194</v>
      </c>
      <c r="E173" t="s">
        <v>82</v>
      </c>
      <c r="F173">
        <v>2500</v>
      </c>
    </row>
    <row r="174" spans="1:7" x14ac:dyDescent="0.55000000000000004">
      <c r="A174">
        <v>11</v>
      </c>
      <c r="B174" s="15" t="str">
        <f t="shared" si="10"/>
        <v>11_0</v>
      </c>
      <c r="C174">
        <v>2</v>
      </c>
      <c r="D174" t="s">
        <v>195</v>
      </c>
      <c r="E174" t="s">
        <v>82</v>
      </c>
      <c r="F174">
        <v>2100</v>
      </c>
    </row>
    <row r="175" spans="1:7" x14ac:dyDescent="0.55000000000000004">
      <c r="A175">
        <v>11</v>
      </c>
      <c r="B175" s="15" t="str">
        <f t="shared" ref="B175:B176" si="11">A175 &amp; "_0"</f>
        <v>11_0</v>
      </c>
      <c r="C175">
        <v>2</v>
      </c>
      <c r="D175" t="s">
        <v>273</v>
      </c>
      <c r="E175" t="s">
        <v>274</v>
      </c>
      <c r="F175">
        <f>F173*F174/1000000</f>
        <v>5.25</v>
      </c>
      <c r="G175" t="s">
        <v>200</v>
      </c>
    </row>
    <row r="176" spans="1:7" x14ac:dyDescent="0.55000000000000004">
      <c r="A176">
        <v>11</v>
      </c>
      <c r="B176" s="15" t="str">
        <f t="shared" si="11"/>
        <v>11_0</v>
      </c>
      <c r="C176">
        <v>2</v>
      </c>
      <c r="D176" t="s">
        <v>185</v>
      </c>
      <c r="E176" t="s">
        <v>272</v>
      </c>
      <c r="F176">
        <f>Building_reefs!$B$20/3</f>
        <v>1003.3333333333334</v>
      </c>
      <c r="G176" t="s">
        <v>200</v>
      </c>
    </row>
    <row r="177" spans="1:7" x14ac:dyDescent="0.55000000000000004">
      <c r="A177">
        <v>11</v>
      </c>
      <c r="B177" s="15" t="str">
        <f t="shared" si="10"/>
        <v>11_0</v>
      </c>
      <c r="C177">
        <v>2</v>
      </c>
      <c r="D177" t="s">
        <v>196</v>
      </c>
      <c r="E177" t="s">
        <v>82</v>
      </c>
      <c r="F177">
        <v>740</v>
      </c>
    </row>
    <row r="178" spans="1:7" x14ac:dyDescent="0.55000000000000004">
      <c r="A178">
        <v>11</v>
      </c>
      <c r="B178" s="15" t="str">
        <f t="shared" si="10"/>
        <v>11_0</v>
      </c>
      <c r="C178">
        <v>2</v>
      </c>
      <c r="D178" t="s">
        <v>197</v>
      </c>
      <c r="E178" t="s">
        <v>82</v>
      </c>
      <c r="F178">
        <v>700</v>
      </c>
    </row>
    <row r="179" spans="1:7" x14ac:dyDescent="0.55000000000000004">
      <c r="A179">
        <v>11</v>
      </c>
      <c r="B179" s="15" t="str">
        <f t="shared" si="10"/>
        <v>11_0</v>
      </c>
      <c r="C179">
        <v>2</v>
      </c>
      <c r="D179" t="s">
        <v>207</v>
      </c>
      <c r="E179" t="s">
        <v>82</v>
      </c>
      <c r="F179">
        <v>340</v>
      </c>
    </row>
    <row r="180" spans="1:7" x14ac:dyDescent="0.55000000000000004">
      <c r="A180">
        <v>11</v>
      </c>
      <c r="B180" s="15" t="str">
        <f t="shared" si="10"/>
        <v>11_0</v>
      </c>
      <c r="C180">
        <v>2</v>
      </c>
      <c r="D180" t="s">
        <v>198</v>
      </c>
      <c r="E180" t="s">
        <v>82</v>
      </c>
      <c r="F180">
        <v>770</v>
      </c>
    </row>
    <row r="181" spans="1:7" x14ac:dyDescent="0.55000000000000004">
      <c r="A181">
        <v>11</v>
      </c>
      <c r="B181" s="15" t="str">
        <f t="shared" si="10"/>
        <v>11_0</v>
      </c>
      <c r="C181">
        <v>2</v>
      </c>
      <c r="D181" t="s">
        <v>187</v>
      </c>
      <c r="E181" t="s">
        <v>199</v>
      </c>
      <c r="F181">
        <f>0.5*F173*F174*((F177+F178+(F180-F179))/3)/1000000000</f>
        <v>1.63625</v>
      </c>
      <c r="G181" t="s">
        <v>200</v>
      </c>
    </row>
    <row r="182" spans="1:7" x14ac:dyDescent="0.55000000000000004">
      <c r="A182">
        <v>11</v>
      </c>
      <c r="B182" s="15" t="str">
        <f t="shared" si="10"/>
        <v>11_0</v>
      </c>
      <c r="C182">
        <v>2</v>
      </c>
      <c r="D182" t="s">
        <v>201</v>
      </c>
      <c r="E182" t="s">
        <v>82</v>
      </c>
      <c r="F182">
        <f>AVERAGE(430,445,445,446)</f>
        <v>441.5</v>
      </c>
      <c r="G182" t="s">
        <v>147</v>
      </c>
    </row>
    <row r="183" spans="1:7" x14ac:dyDescent="0.55000000000000004">
      <c r="A183">
        <v>11</v>
      </c>
      <c r="B183" s="15" t="str">
        <f t="shared" si="10"/>
        <v>11_0</v>
      </c>
      <c r="C183">
        <v>2</v>
      </c>
      <c r="D183" t="s">
        <v>202</v>
      </c>
      <c r="E183" t="s">
        <v>68</v>
      </c>
      <c r="F183">
        <v>0</v>
      </c>
    </row>
    <row r="184" spans="1:7" x14ac:dyDescent="0.55000000000000004">
      <c r="A184">
        <v>11</v>
      </c>
      <c r="B184" s="15" t="str">
        <f t="shared" si="10"/>
        <v>11_0</v>
      </c>
      <c r="C184">
        <v>3</v>
      </c>
      <c r="D184" t="s">
        <v>191</v>
      </c>
      <c r="E184" t="s">
        <v>192</v>
      </c>
      <c r="F184" t="s">
        <v>206</v>
      </c>
    </row>
    <row r="185" spans="1:7" x14ac:dyDescent="0.55000000000000004">
      <c r="A185">
        <v>11</v>
      </c>
      <c r="B185" s="15" t="str">
        <f t="shared" si="10"/>
        <v>11_0</v>
      </c>
      <c r="C185">
        <v>3</v>
      </c>
      <c r="D185" t="s">
        <v>193</v>
      </c>
      <c r="E185" t="s">
        <v>82</v>
      </c>
      <c r="F185">
        <v>6600</v>
      </c>
    </row>
    <row r="186" spans="1:7" x14ac:dyDescent="0.55000000000000004">
      <c r="A186">
        <v>11</v>
      </c>
      <c r="B186" s="15" t="str">
        <f t="shared" si="10"/>
        <v>11_0</v>
      </c>
      <c r="C186">
        <v>3</v>
      </c>
      <c r="D186" t="s">
        <v>194</v>
      </c>
      <c r="E186" t="s">
        <v>82</v>
      </c>
      <c r="F186">
        <v>2200</v>
      </c>
    </row>
    <row r="187" spans="1:7" x14ac:dyDescent="0.55000000000000004">
      <c r="A187">
        <v>11</v>
      </c>
      <c r="B187" s="15" t="str">
        <f t="shared" si="10"/>
        <v>11_0</v>
      </c>
      <c r="C187">
        <v>3</v>
      </c>
      <c r="D187" t="s">
        <v>195</v>
      </c>
      <c r="E187" t="s">
        <v>82</v>
      </c>
      <c r="F187">
        <v>1600</v>
      </c>
    </row>
    <row r="188" spans="1:7" x14ac:dyDescent="0.55000000000000004">
      <c r="A188">
        <v>11</v>
      </c>
      <c r="B188" s="15" t="str">
        <f t="shared" si="10"/>
        <v>11_0</v>
      </c>
      <c r="C188">
        <v>3</v>
      </c>
      <c r="D188" t="s">
        <v>273</v>
      </c>
      <c r="E188" t="s">
        <v>274</v>
      </c>
      <c r="F188">
        <f>F186*F187/1000000</f>
        <v>3.52</v>
      </c>
      <c r="G188" t="s">
        <v>200</v>
      </c>
    </row>
    <row r="189" spans="1:7" x14ac:dyDescent="0.55000000000000004">
      <c r="A189">
        <v>11</v>
      </c>
      <c r="B189" s="15" t="str">
        <f t="shared" si="10"/>
        <v>11_0</v>
      </c>
      <c r="C189">
        <v>3</v>
      </c>
      <c r="D189" t="s">
        <v>185</v>
      </c>
      <c r="E189" t="s">
        <v>272</v>
      </c>
      <c r="F189">
        <f>Building_reefs!$B$20/3</f>
        <v>1003.3333333333334</v>
      </c>
      <c r="G189" t="s">
        <v>200</v>
      </c>
    </row>
    <row r="190" spans="1:7" x14ac:dyDescent="0.55000000000000004">
      <c r="A190">
        <v>11</v>
      </c>
      <c r="B190" s="15" t="str">
        <f t="shared" si="10"/>
        <v>11_0</v>
      </c>
      <c r="C190">
        <v>3</v>
      </c>
      <c r="D190" t="s">
        <v>196</v>
      </c>
      <c r="E190" t="s">
        <v>82</v>
      </c>
      <c r="F190">
        <v>740</v>
      </c>
    </row>
    <row r="191" spans="1:7" x14ac:dyDescent="0.55000000000000004">
      <c r="A191">
        <v>11</v>
      </c>
      <c r="B191" s="15" t="str">
        <f t="shared" si="10"/>
        <v>11_0</v>
      </c>
      <c r="C191">
        <v>3</v>
      </c>
      <c r="D191" t="s">
        <v>197</v>
      </c>
      <c r="E191" t="s">
        <v>82</v>
      </c>
      <c r="F191">
        <v>750</v>
      </c>
    </row>
    <row r="192" spans="1:7" x14ac:dyDescent="0.55000000000000004">
      <c r="A192">
        <v>11</v>
      </c>
      <c r="B192" s="15" t="str">
        <f t="shared" si="10"/>
        <v>11_0</v>
      </c>
      <c r="C192">
        <v>3</v>
      </c>
      <c r="D192" t="s">
        <v>207</v>
      </c>
      <c r="E192" t="s">
        <v>82</v>
      </c>
      <c r="F192">
        <v>350</v>
      </c>
    </row>
    <row r="193" spans="1:7" x14ac:dyDescent="0.55000000000000004">
      <c r="A193">
        <v>11</v>
      </c>
      <c r="B193" s="15" t="str">
        <f t="shared" si="10"/>
        <v>11_0</v>
      </c>
      <c r="C193">
        <v>3</v>
      </c>
      <c r="D193" t="s">
        <v>198</v>
      </c>
      <c r="E193" t="s">
        <v>82</v>
      </c>
      <c r="F193">
        <v>780</v>
      </c>
    </row>
    <row r="194" spans="1:7" x14ac:dyDescent="0.55000000000000004">
      <c r="A194">
        <v>11</v>
      </c>
      <c r="B194" s="15" t="str">
        <f t="shared" si="10"/>
        <v>11_0</v>
      </c>
      <c r="C194">
        <v>3</v>
      </c>
      <c r="D194" t="s">
        <v>187</v>
      </c>
      <c r="E194" t="s">
        <v>199</v>
      </c>
      <c r="F194">
        <f>0.5*F186*F187*((F190+F191+(F193-F192))/3)/1000000000</f>
        <v>1.1264000000000001</v>
      </c>
      <c r="G194" t="s">
        <v>200</v>
      </c>
    </row>
    <row r="195" spans="1:7" x14ac:dyDescent="0.55000000000000004">
      <c r="A195">
        <v>11</v>
      </c>
      <c r="B195" s="15" t="str">
        <f t="shared" si="10"/>
        <v>11_0</v>
      </c>
      <c r="C195">
        <v>3</v>
      </c>
      <c r="D195" t="s">
        <v>201</v>
      </c>
      <c r="E195" t="s">
        <v>82</v>
      </c>
      <c r="F195">
        <f>AVERAGE(400,400,403,400)</f>
        <v>400.75</v>
      </c>
      <c r="G195" t="s">
        <v>147</v>
      </c>
    </row>
    <row r="196" spans="1:7" x14ac:dyDescent="0.55000000000000004">
      <c r="A196">
        <v>11</v>
      </c>
      <c r="B196" s="15" t="str">
        <f t="shared" si="10"/>
        <v>11_0</v>
      </c>
      <c r="C196">
        <v>3</v>
      </c>
      <c r="D196" t="s">
        <v>202</v>
      </c>
      <c r="E196" t="s">
        <v>68</v>
      </c>
      <c r="F196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D7A9-B031-4043-9502-E2FC04BF86A1}">
  <dimension ref="A1:AB1500"/>
  <sheetViews>
    <sheetView workbookViewId="0">
      <pane xSplit="2" ySplit="1" topLeftCell="C1190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defaultRowHeight="14.4" x14ac:dyDescent="0.55000000000000004"/>
  <cols>
    <col min="2" max="2" width="9.5234375" customWidth="1"/>
    <col min="3" max="3" width="14.89453125" bestFit="1" customWidth="1"/>
    <col min="5" max="5" width="4.9453125" customWidth="1"/>
    <col min="12" max="12" width="7.3125" bestFit="1" customWidth="1"/>
    <col min="13" max="13" width="3.89453125" bestFit="1" customWidth="1"/>
    <col min="14" max="14" width="10.47265625" bestFit="1" customWidth="1"/>
    <col min="15" max="15" width="8.47265625" bestFit="1" customWidth="1"/>
    <col min="16" max="16" width="11.26171875" bestFit="1" customWidth="1"/>
    <col min="21" max="21" width="10.05078125" bestFit="1" customWidth="1"/>
  </cols>
  <sheetData>
    <row r="1" spans="1:28" x14ac:dyDescent="0.55000000000000004">
      <c r="A1" s="1" t="s">
        <v>9</v>
      </c>
      <c r="B1" s="1" t="s">
        <v>10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108</v>
      </c>
      <c r="M1" s="1" t="s">
        <v>105</v>
      </c>
      <c r="N1" s="1" t="s">
        <v>106</v>
      </c>
      <c r="O1" s="1" t="s">
        <v>107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113</v>
      </c>
      <c r="U1" s="1" t="s">
        <v>114</v>
      </c>
      <c r="W1" s="21"/>
      <c r="X1" s="22"/>
      <c r="Y1" s="22"/>
      <c r="Z1" s="20"/>
      <c r="AA1" s="22"/>
      <c r="AB1" s="23"/>
    </row>
    <row r="2" spans="1:28" x14ac:dyDescent="0.55000000000000004">
      <c r="A2">
        <v>3</v>
      </c>
      <c r="B2" s="15" t="str">
        <f t="shared" ref="B2:B65" si="0">A2 &amp; "_0"</f>
        <v>3_0</v>
      </c>
      <c r="C2" s="20">
        <v>45693.652083333334</v>
      </c>
      <c r="D2" t="s">
        <v>174</v>
      </c>
      <c r="E2">
        <v>2</v>
      </c>
      <c r="F2" t="s">
        <v>135</v>
      </c>
      <c r="G2" t="str">
        <f t="shared" ref="G2:G65" si="1">VLOOKUP($F2, $W$1:$AB$10, 2, FALSE)</f>
        <v>Gobiomorphus cotidianus</v>
      </c>
      <c r="H2" t="str">
        <f t="shared" ref="H2:H65" si="2">VLOOKUP($F2, $W$1:$AB$10, 3, FALSE)</f>
        <v>Common_bully</v>
      </c>
      <c r="I2" t="str">
        <f t="shared" ref="I2:I65" si="3">VLOOKUP($F2, $W$1:$AB$10, 4, FALSE)</f>
        <v>Toitoi</v>
      </c>
      <c r="J2" t="str">
        <f t="shared" ref="J2:J65" si="4">VLOOKUP($F2, $W$1:$AC$10, 5, FALSE)</f>
        <v>Native</v>
      </c>
      <c r="K2" t="str">
        <f t="shared" ref="K2:K65" si="5">VLOOKUP($F2, $W$1:$AB$10, 6, FALSE)</f>
        <v>No</v>
      </c>
      <c r="L2">
        <v>2</v>
      </c>
      <c r="T2" t="str">
        <f>IF(S2&lt;&gt;"", S2*236.588, "")</f>
        <v/>
      </c>
      <c r="W2" s="24" t="s">
        <v>115</v>
      </c>
      <c r="X2" t="s">
        <v>116</v>
      </c>
      <c r="Y2" t="s">
        <v>117</v>
      </c>
      <c r="Z2" t="s">
        <v>115</v>
      </c>
      <c r="AA2" t="s">
        <v>118</v>
      </c>
      <c r="AB2" s="25" t="s">
        <v>119</v>
      </c>
    </row>
    <row r="3" spans="1:28" x14ac:dyDescent="0.55000000000000004">
      <c r="A3">
        <v>3</v>
      </c>
      <c r="B3" s="15" t="str">
        <f t="shared" si="0"/>
        <v>3_0</v>
      </c>
      <c r="C3" s="20">
        <v>45693.652083333334</v>
      </c>
      <c r="D3" t="s">
        <v>175</v>
      </c>
      <c r="E3">
        <v>2</v>
      </c>
      <c r="F3" t="s">
        <v>139</v>
      </c>
      <c r="G3" t="str">
        <f t="shared" si="1"/>
        <v>Anguilla dieffenbachii</v>
      </c>
      <c r="H3" t="str">
        <f t="shared" si="2"/>
        <v>Long_fin_eel</v>
      </c>
      <c r="I3" t="str">
        <f t="shared" si="3"/>
        <v>Tuna</v>
      </c>
      <c r="J3" t="str">
        <f t="shared" si="4"/>
        <v>Native</v>
      </c>
      <c r="K3" t="str">
        <f t="shared" si="5"/>
        <v>Yes</v>
      </c>
      <c r="L3">
        <v>1</v>
      </c>
      <c r="N3">
        <v>600</v>
      </c>
      <c r="T3" t="str">
        <f t="shared" ref="T3:T67" si="6">IF(S3&lt;&gt;"", S3*236.588, "")</f>
        <v/>
      </c>
      <c r="W3" s="26" t="s">
        <v>120</v>
      </c>
      <c r="X3" t="s">
        <v>121</v>
      </c>
      <c r="Y3" t="s">
        <v>120</v>
      </c>
      <c r="Z3" t="s">
        <v>120</v>
      </c>
      <c r="AA3" t="s">
        <v>122</v>
      </c>
      <c r="AB3" s="25" t="s">
        <v>123</v>
      </c>
    </row>
    <row r="4" spans="1:28" x14ac:dyDescent="0.55000000000000004">
      <c r="A4">
        <v>3</v>
      </c>
      <c r="B4" s="15" t="str">
        <f t="shared" si="0"/>
        <v>3_0</v>
      </c>
      <c r="C4" s="20">
        <v>45693.652083333334</v>
      </c>
      <c r="D4" t="s">
        <v>175</v>
      </c>
      <c r="E4">
        <v>2</v>
      </c>
      <c r="F4" t="s">
        <v>124</v>
      </c>
      <c r="G4" t="str">
        <f t="shared" si="1"/>
        <v>Carassius auratus</v>
      </c>
      <c r="H4" t="str">
        <f t="shared" si="2"/>
        <v>Goldfish</v>
      </c>
      <c r="I4" t="str">
        <f t="shared" si="3"/>
        <v>Morihana</v>
      </c>
      <c r="J4" t="str">
        <f t="shared" si="4"/>
        <v>Nonnative</v>
      </c>
      <c r="K4" t="str">
        <f t="shared" si="5"/>
        <v>No</v>
      </c>
      <c r="L4">
        <v>1</v>
      </c>
      <c r="N4">
        <v>204</v>
      </c>
      <c r="O4">
        <v>22</v>
      </c>
      <c r="T4" t="str">
        <f t="shared" si="6"/>
        <v/>
      </c>
      <c r="W4" s="24" t="s">
        <v>124</v>
      </c>
      <c r="X4" t="s">
        <v>125</v>
      </c>
      <c r="Y4" t="s">
        <v>126</v>
      </c>
      <c r="Z4" t="s">
        <v>124</v>
      </c>
      <c r="AA4" t="s">
        <v>122</v>
      </c>
      <c r="AB4" s="25" t="s">
        <v>123</v>
      </c>
    </row>
    <row r="5" spans="1:28" x14ac:dyDescent="0.55000000000000004">
      <c r="A5">
        <v>3</v>
      </c>
      <c r="B5" s="15" t="str">
        <f t="shared" si="0"/>
        <v>3_0</v>
      </c>
      <c r="C5" s="20">
        <v>45693.652083333334</v>
      </c>
      <c r="D5" t="s">
        <v>175</v>
      </c>
      <c r="E5">
        <v>2</v>
      </c>
      <c r="F5" t="s">
        <v>133</v>
      </c>
      <c r="G5" t="str">
        <f t="shared" si="1"/>
        <v>Retropinna retropinna</v>
      </c>
      <c r="H5" t="str">
        <f t="shared" si="2"/>
        <v>Common_smelt</v>
      </c>
      <c r="I5" t="str">
        <f t="shared" si="3"/>
        <v>Common_smelt</v>
      </c>
      <c r="J5" t="str">
        <f t="shared" si="4"/>
        <v>Native</v>
      </c>
      <c r="K5" t="str">
        <f t="shared" si="5"/>
        <v>No</v>
      </c>
      <c r="L5">
        <v>19</v>
      </c>
      <c r="O5">
        <v>25</v>
      </c>
      <c r="T5" t="str">
        <f t="shared" si="6"/>
        <v/>
      </c>
      <c r="W5" s="26" t="s">
        <v>127</v>
      </c>
      <c r="X5" t="s">
        <v>128</v>
      </c>
      <c r="Y5" t="s">
        <v>129</v>
      </c>
      <c r="Z5" t="s">
        <v>127</v>
      </c>
      <c r="AA5" t="s">
        <v>118</v>
      </c>
      <c r="AB5" s="25" t="s">
        <v>119</v>
      </c>
    </row>
    <row r="6" spans="1:28" x14ac:dyDescent="0.55000000000000004">
      <c r="A6">
        <v>3</v>
      </c>
      <c r="B6" s="15" t="str">
        <f t="shared" si="0"/>
        <v>3_0</v>
      </c>
      <c r="C6" s="20">
        <v>45693.652083333334</v>
      </c>
      <c r="D6" t="s">
        <v>175</v>
      </c>
      <c r="E6">
        <v>2</v>
      </c>
      <c r="F6" t="s">
        <v>135</v>
      </c>
      <c r="G6" t="str">
        <f t="shared" si="1"/>
        <v>Gobiomorphus cotidianus</v>
      </c>
      <c r="H6" t="str">
        <f t="shared" si="2"/>
        <v>Common_bully</v>
      </c>
      <c r="I6" t="str">
        <f t="shared" si="3"/>
        <v>Toitoi</v>
      </c>
      <c r="J6" t="str">
        <f t="shared" si="4"/>
        <v>Native</v>
      </c>
      <c r="K6" t="str">
        <f t="shared" si="5"/>
        <v>No</v>
      </c>
      <c r="O6">
        <v>574</v>
      </c>
      <c r="S6">
        <v>2.5</v>
      </c>
      <c r="T6">
        <f t="shared" si="6"/>
        <v>591.47</v>
      </c>
      <c r="W6" s="24" t="s">
        <v>130</v>
      </c>
      <c r="X6" t="s">
        <v>131</v>
      </c>
      <c r="Y6" t="s">
        <v>132</v>
      </c>
      <c r="Z6" t="s">
        <v>132</v>
      </c>
      <c r="AA6" t="s">
        <v>122</v>
      </c>
      <c r="AB6" s="25" t="s">
        <v>123</v>
      </c>
    </row>
    <row r="7" spans="1:28" x14ac:dyDescent="0.55000000000000004">
      <c r="A7">
        <v>3</v>
      </c>
      <c r="B7" s="15" t="str">
        <f t="shared" si="0"/>
        <v>3_0</v>
      </c>
      <c r="C7" s="20">
        <v>45693.652083333334</v>
      </c>
      <c r="D7" t="s">
        <v>175</v>
      </c>
      <c r="E7">
        <v>2</v>
      </c>
      <c r="F7" t="s">
        <v>135</v>
      </c>
      <c r="G7" t="str">
        <f t="shared" si="1"/>
        <v>Gobiomorphus cotidianus</v>
      </c>
      <c r="H7" t="str">
        <f t="shared" si="2"/>
        <v>Common_bully</v>
      </c>
      <c r="I7" t="str">
        <f t="shared" si="3"/>
        <v>Toitoi</v>
      </c>
      <c r="J7" t="str">
        <f t="shared" si="4"/>
        <v>Native</v>
      </c>
      <c r="K7" t="str">
        <f t="shared" si="5"/>
        <v>No</v>
      </c>
      <c r="O7">
        <v>537</v>
      </c>
      <c r="S7">
        <v>2.5</v>
      </c>
      <c r="T7">
        <f t="shared" si="6"/>
        <v>591.47</v>
      </c>
      <c r="W7" s="24" t="s">
        <v>133</v>
      </c>
      <c r="X7" t="s">
        <v>134</v>
      </c>
      <c r="Y7" t="s">
        <v>133</v>
      </c>
      <c r="Z7" t="s">
        <v>133</v>
      </c>
      <c r="AA7" t="s">
        <v>118</v>
      </c>
      <c r="AB7" s="25" t="s">
        <v>123</v>
      </c>
    </row>
    <row r="8" spans="1:28" x14ac:dyDescent="0.55000000000000004">
      <c r="A8">
        <v>3</v>
      </c>
      <c r="B8" s="15" t="str">
        <f t="shared" si="0"/>
        <v>3_0</v>
      </c>
      <c r="C8" s="20">
        <v>45693.652083333334</v>
      </c>
      <c r="D8" t="s">
        <v>175</v>
      </c>
      <c r="E8">
        <v>2</v>
      </c>
      <c r="F8" t="s">
        <v>135</v>
      </c>
      <c r="G8" t="str">
        <f t="shared" si="1"/>
        <v>Gobiomorphus cotidianus</v>
      </c>
      <c r="H8" t="str">
        <f t="shared" si="2"/>
        <v>Common_bully</v>
      </c>
      <c r="I8" t="str">
        <f t="shared" si="3"/>
        <v>Toitoi</v>
      </c>
      <c r="J8" t="str">
        <f t="shared" si="4"/>
        <v>Native</v>
      </c>
      <c r="K8" t="str">
        <f t="shared" si="5"/>
        <v>No</v>
      </c>
      <c r="O8">
        <v>386</v>
      </c>
      <c r="S8">
        <v>1.75</v>
      </c>
      <c r="T8">
        <f t="shared" si="6"/>
        <v>414.029</v>
      </c>
      <c r="W8" s="24" t="s">
        <v>135</v>
      </c>
      <c r="X8" t="s">
        <v>136</v>
      </c>
      <c r="Y8" t="s">
        <v>137</v>
      </c>
      <c r="Z8" t="s">
        <v>138</v>
      </c>
      <c r="AA8" t="s">
        <v>118</v>
      </c>
      <c r="AB8" s="25" t="s">
        <v>123</v>
      </c>
    </row>
    <row r="9" spans="1:28" x14ac:dyDescent="0.55000000000000004">
      <c r="A9">
        <v>3</v>
      </c>
      <c r="B9" s="15" t="str">
        <f t="shared" si="0"/>
        <v>3_0</v>
      </c>
      <c r="C9" s="20">
        <v>45693.652083333334</v>
      </c>
      <c r="D9" t="s">
        <v>175</v>
      </c>
      <c r="E9">
        <v>2</v>
      </c>
      <c r="F9" t="s">
        <v>135</v>
      </c>
      <c r="G9" t="str">
        <f t="shared" si="1"/>
        <v>Gobiomorphus cotidianus</v>
      </c>
      <c r="H9" t="str">
        <f t="shared" si="2"/>
        <v>Common_bully</v>
      </c>
      <c r="I9" t="str">
        <f t="shared" si="3"/>
        <v>Toitoi</v>
      </c>
      <c r="J9" t="str">
        <f t="shared" si="4"/>
        <v>Native</v>
      </c>
      <c r="K9" t="str">
        <f t="shared" si="5"/>
        <v>No</v>
      </c>
      <c r="O9">
        <v>365</v>
      </c>
      <c r="S9">
        <v>2</v>
      </c>
      <c r="T9">
        <f t="shared" si="6"/>
        <v>473.17599999999999</v>
      </c>
      <c r="W9" s="24" t="s">
        <v>203</v>
      </c>
      <c r="X9" t="s">
        <v>204</v>
      </c>
      <c r="Y9" t="s">
        <v>205</v>
      </c>
      <c r="Z9" t="s">
        <v>203</v>
      </c>
      <c r="AA9" t="s">
        <v>122</v>
      </c>
      <c r="AB9" s="25" t="s">
        <v>123</v>
      </c>
    </row>
    <row r="10" spans="1:28" ht="14.7" thickBot="1" x14ac:dyDescent="0.6">
      <c r="A10">
        <v>3</v>
      </c>
      <c r="B10" s="15" t="str">
        <f t="shared" si="0"/>
        <v>3_0</v>
      </c>
      <c r="C10" s="20">
        <v>45693.652083333334</v>
      </c>
      <c r="D10" t="s">
        <v>175</v>
      </c>
      <c r="E10">
        <v>2</v>
      </c>
      <c r="F10" t="s">
        <v>124</v>
      </c>
      <c r="G10" t="str">
        <f t="shared" si="1"/>
        <v>Carassius auratus</v>
      </c>
      <c r="H10" t="str">
        <f t="shared" si="2"/>
        <v>Goldfish</v>
      </c>
      <c r="I10" t="str">
        <f t="shared" si="3"/>
        <v>Morihana</v>
      </c>
      <c r="J10" t="str">
        <f t="shared" si="4"/>
        <v>Nonnative</v>
      </c>
      <c r="K10" t="str">
        <f t="shared" si="5"/>
        <v>No</v>
      </c>
      <c r="L10">
        <v>1</v>
      </c>
      <c r="N10">
        <v>80</v>
      </c>
      <c r="O10">
        <v>6</v>
      </c>
      <c r="T10" t="str">
        <f t="shared" si="6"/>
        <v/>
      </c>
      <c r="W10" s="27" t="s">
        <v>139</v>
      </c>
      <c r="X10" s="28" t="s">
        <v>140</v>
      </c>
      <c r="Y10" s="28" t="s">
        <v>141</v>
      </c>
      <c r="Z10" s="28" t="s">
        <v>142</v>
      </c>
      <c r="AA10" s="28" t="s">
        <v>118</v>
      </c>
      <c r="AB10" s="29" t="s">
        <v>119</v>
      </c>
    </row>
    <row r="11" spans="1:28" x14ac:dyDescent="0.55000000000000004">
      <c r="A11">
        <v>3</v>
      </c>
      <c r="B11" s="15" t="str">
        <f t="shared" si="0"/>
        <v>3_0</v>
      </c>
      <c r="C11" s="20">
        <v>45693.652083333334</v>
      </c>
      <c r="D11" t="s">
        <v>175</v>
      </c>
      <c r="E11">
        <v>2</v>
      </c>
      <c r="F11" t="s">
        <v>127</v>
      </c>
      <c r="G11" t="str">
        <f t="shared" si="1"/>
        <v>Galaxias brevipinnis</v>
      </c>
      <c r="H11" t="str">
        <f t="shared" si="2"/>
        <v>Climbing_galaxias</v>
      </c>
      <c r="I11" t="str">
        <f t="shared" si="3"/>
        <v>Kōaro</v>
      </c>
      <c r="J11" t="str">
        <f t="shared" si="4"/>
        <v>Native</v>
      </c>
      <c r="K11" t="str">
        <f t="shared" si="5"/>
        <v>Yes</v>
      </c>
      <c r="L11">
        <v>1</v>
      </c>
      <c r="N11">
        <v>73</v>
      </c>
      <c r="O11">
        <v>6</v>
      </c>
      <c r="T11" t="str">
        <f t="shared" si="6"/>
        <v/>
      </c>
    </row>
    <row r="12" spans="1:28" x14ac:dyDescent="0.55000000000000004">
      <c r="A12">
        <v>3</v>
      </c>
      <c r="B12" s="15" t="str">
        <f t="shared" si="0"/>
        <v>3_0</v>
      </c>
      <c r="C12" s="20">
        <v>45693.652083333334</v>
      </c>
      <c r="D12" t="s">
        <v>175</v>
      </c>
      <c r="E12">
        <v>2</v>
      </c>
      <c r="F12" t="s">
        <v>127</v>
      </c>
      <c r="G12" t="str">
        <f t="shared" si="1"/>
        <v>Galaxias brevipinnis</v>
      </c>
      <c r="H12" t="str">
        <f t="shared" si="2"/>
        <v>Climbing_galaxias</v>
      </c>
      <c r="I12" t="str">
        <f t="shared" si="3"/>
        <v>Kōaro</v>
      </c>
      <c r="J12" t="str">
        <f t="shared" si="4"/>
        <v>Native</v>
      </c>
      <c r="K12" t="str">
        <f t="shared" si="5"/>
        <v>Yes</v>
      </c>
      <c r="L12">
        <v>1</v>
      </c>
      <c r="N12">
        <v>75</v>
      </c>
      <c r="O12">
        <v>3</v>
      </c>
      <c r="T12" t="str">
        <f t="shared" si="6"/>
        <v/>
      </c>
    </row>
    <row r="13" spans="1:28" x14ac:dyDescent="0.55000000000000004">
      <c r="A13">
        <v>3</v>
      </c>
      <c r="B13" s="15" t="str">
        <f t="shared" si="0"/>
        <v>3_0</v>
      </c>
      <c r="C13" s="20">
        <v>45693.652083333334</v>
      </c>
      <c r="D13" t="s">
        <v>175</v>
      </c>
      <c r="E13">
        <v>2</v>
      </c>
      <c r="F13" t="s">
        <v>127</v>
      </c>
      <c r="G13" t="str">
        <f t="shared" si="1"/>
        <v>Galaxias brevipinnis</v>
      </c>
      <c r="H13" t="str">
        <f t="shared" si="2"/>
        <v>Climbing_galaxias</v>
      </c>
      <c r="I13" t="str">
        <f t="shared" si="3"/>
        <v>Kōaro</v>
      </c>
      <c r="J13" t="str">
        <f t="shared" si="4"/>
        <v>Native</v>
      </c>
      <c r="K13" t="str">
        <f t="shared" si="5"/>
        <v>Yes</v>
      </c>
      <c r="L13">
        <v>1</v>
      </c>
      <c r="N13">
        <v>75</v>
      </c>
      <c r="O13">
        <v>6</v>
      </c>
      <c r="T13" t="str">
        <f t="shared" si="6"/>
        <v/>
      </c>
    </row>
    <row r="14" spans="1:28" x14ac:dyDescent="0.55000000000000004">
      <c r="A14">
        <v>3</v>
      </c>
      <c r="B14" s="15" t="str">
        <f t="shared" si="0"/>
        <v>3_0</v>
      </c>
      <c r="C14" s="20">
        <v>45693.652083333334</v>
      </c>
      <c r="D14" t="s">
        <v>175</v>
      </c>
      <c r="E14">
        <v>2</v>
      </c>
      <c r="F14" t="s">
        <v>115</v>
      </c>
      <c r="G14" t="str">
        <f t="shared" si="1"/>
        <v>Paranephrops planifrons</v>
      </c>
      <c r="H14" t="str">
        <f t="shared" si="2"/>
        <v>Freshwater_crayfish</v>
      </c>
      <c r="I14" t="str">
        <f t="shared" si="3"/>
        <v>Kōura</v>
      </c>
      <c r="J14" t="str">
        <f t="shared" si="4"/>
        <v>Native</v>
      </c>
      <c r="K14" t="str">
        <f t="shared" si="5"/>
        <v>Yes</v>
      </c>
      <c r="L14">
        <v>1</v>
      </c>
      <c r="M14" t="s">
        <v>176</v>
      </c>
      <c r="N14">
        <v>21.7</v>
      </c>
      <c r="O14">
        <v>5</v>
      </c>
      <c r="T14" t="str">
        <f t="shared" si="6"/>
        <v/>
      </c>
    </row>
    <row r="15" spans="1:28" x14ac:dyDescent="0.55000000000000004">
      <c r="A15">
        <v>3</v>
      </c>
      <c r="B15" s="15" t="str">
        <f t="shared" si="0"/>
        <v>3_0</v>
      </c>
      <c r="C15" s="20">
        <v>45693.652083333334</v>
      </c>
      <c r="D15" t="s">
        <v>175</v>
      </c>
      <c r="E15">
        <v>2</v>
      </c>
      <c r="F15" t="s">
        <v>135</v>
      </c>
      <c r="G15" t="str">
        <f t="shared" si="1"/>
        <v>Gobiomorphus cotidianus</v>
      </c>
      <c r="H15" t="str">
        <f t="shared" si="2"/>
        <v>Common_bully</v>
      </c>
      <c r="I15" t="str">
        <f t="shared" si="3"/>
        <v>Toitoi</v>
      </c>
      <c r="J15" t="str">
        <f t="shared" si="4"/>
        <v>Native</v>
      </c>
      <c r="K15" t="str">
        <f t="shared" si="5"/>
        <v>No</v>
      </c>
      <c r="O15">
        <f>162-117</f>
        <v>45</v>
      </c>
      <c r="S15">
        <v>0.25</v>
      </c>
      <c r="T15">
        <f t="shared" si="6"/>
        <v>59.146999999999998</v>
      </c>
    </row>
    <row r="16" spans="1:28" x14ac:dyDescent="0.55000000000000004">
      <c r="A16">
        <v>3</v>
      </c>
      <c r="B16" s="15" t="str">
        <f t="shared" si="0"/>
        <v>3_0</v>
      </c>
      <c r="C16" s="20">
        <v>45693.652083333334</v>
      </c>
      <c r="D16" t="s">
        <v>175</v>
      </c>
      <c r="E16">
        <v>2</v>
      </c>
      <c r="F16" t="s">
        <v>115</v>
      </c>
      <c r="G16" t="str">
        <f t="shared" si="1"/>
        <v>Paranephrops planifrons</v>
      </c>
      <c r="H16" t="str">
        <f t="shared" si="2"/>
        <v>Freshwater_crayfish</v>
      </c>
      <c r="I16" t="str">
        <f t="shared" si="3"/>
        <v>Kōura</v>
      </c>
      <c r="J16" t="str">
        <f t="shared" si="4"/>
        <v>Native</v>
      </c>
      <c r="K16" t="str">
        <f t="shared" si="5"/>
        <v>Yes</v>
      </c>
      <c r="L16">
        <v>1</v>
      </c>
      <c r="M16" t="s">
        <v>177</v>
      </c>
      <c r="N16">
        <v>40</v>
      </c>
      <c r="O16">
        <v>44</v>
      </c>
      <c r="T16" t="str">
        <f t="shared" si="6"/>
        <v/>
      </c>
    </row>
    <row r="17" spans="1:20" x14ac:dyDescent="0.55000000000000004">
      <c r="A17">
        <v>3</v>
      </c>
      <c r="B17" s="15" t="str">
        <f t="shared" si="0"/>
        <v>3_0</v>
      </c>
      <c r="C17" s="20">
        <v>45693.652083333334</v>
      </c>
      <c r="D17" t="s">
        <v>175</v>
      </c>
      <c r="E17">
        <v>2</v>
      </c>
      <c r="F17" t="s">
        <v>124</v>
      </c>
      <c r="G17" t="str">
        <f t="shared" si="1"/>
        <v>Carassius auratus</v>
      </c>
      <c r="H17" t="str">
        <f t="shared" si="2"/>
        <v>Goldfish</v>
      </c>
      <c r="I17" t="str">
        <f t="shared" si="3"/>
        <v>Morihana</v>
      </c>
      <c r="J17" t="str">
        <f t="shared" si="4"/>
        <v>Nonnative</v>
      </c>
      <c r="K17" t="str">
        <f t="shared" si="5"/>
        <v>No</v>
      </c>
      <c r="L17">
        <v>1</v>
      </c>
      <c r="N17">
        <v>120</v>
      </c>
      <c r="O17">
        <v>45</v>
      </c>
      <c r="T17" t="str">
        <f t="shared" si="6"/>
        <v/>
      </c>
    </row>
    <row r="18" spans="1:20" x14ac:dyDescent="0.55000000000000004">
      <c r="A18">
        <v>3</v>
      </c>
      <c r="B18" s="15" t="str">
        <f t="shared" si="0"/>
        <v>3_0</v>
      </c>
      <c r="C18" s="20">
        <v>45693.652083333334</v>
      </c>
      <c r="D18" t="s">
        <v>175</v>
      </c>
      <c r="E18">
        <v>2</v>
      </c>
      <c r="F18" t="s">
        <v>124</v>
      </c>
      <c r="G18" t="str">
        <f t="shared" si="1"/>
        <v>Carassius auratus</v>
      </c>
      <c r="H18" t="str">
        <f t="shared" si="2"/>
        <v>Goldfish</v>
      </c>
      <c r="I18" t="str">
        <f t="shared" si="3"/>
        <v>Morihana</v>
      </c>
      <c r="J18" t="str">
        <f t="shared" si="4"/>
        <v>Nonnative</v>
      </c>
      <c r="K18" t="str">
        <f t="shared" si="5"/>
        <v>No</v>
      </c>
      <c r="L18">
        <v>1</v>
      </c>
      <c r="N18">
        <v>90</v>
      </c>
      <c r="O18">
        <v>60</v>
      </c>
      <c r="T18" t="str">
        <f t="shared" si="6"/>
        <v/>
      </c>
    </row>
    <row r="19" spans="1:20" x14ac:dyDescent="0.55000000000000004">
      <c r="A19">
        <v>3</v>
      </c>
      <c r="B19" s="15" t="str">
        <f t="shared" si="0"/>
        <v>3_0</v>
      </c>
      <c r="C19" s="20">
        <v>45693.652083333334</v>
      </c>
      <c r="D19" t="s">
        <v>175</v>
      </c>
      <c r="E19">
        <v>2</v>
      </c>
      <c r="F19" t="s">
        <v>124</v>
      </c>
      <c r="G19" t="str">
        <f t="shared" si="1"/>
        <v>Carassius auratus</v>
      </c>
      <c r="H19" t="str">
        <f t="shared" si="2"/>
        <v>Goldfish</v>
      </c>
      <c r="I19" t="str">
        <f t="shared" si="3"/>
        <v>Morihana</v>
      </c>
      <c r="J19" t="str">
        <f t="shared" si="4"/>
        <v>Nonnative</v>
      </c>
      <c r="K19" t="str">
        <f t="shared" si="5"/>
        <v>No</v>
      </c>
      <c r="L19">
        <v>1</v>
      </c>
      <c r="N19">
        <v>120</v>
      </c>
      <c r="O19">
        <v>46</v>
      </c>
      <c r="T19" t="str">
        <f t="shared" si="6"/>
        <v/>
      </c>
    </row>
    <row r="20" spans="1:20" x14ac:dyDescent="0.55000000000000004">
      <c r="A20">
        <v>3</v>
      </c>
      <c r="B20" s="15" t="str">
        <f t="shared" si="0"/>
        <v>3_0</v>
      </c>
      <c r="C20" s="20">
        <v>45693.652083333334</v>
      </c>
      <c r="D20" t="s">
        <v>175</v>
      </c>
      <c r="E20">
        <v>2</v>
      </c>
      <c r="F20" t="s">
        <v>124</v>
      </c>
      <c r="G20" t="str">
        <f t="shared" si="1"/>
        <v>Carassius auratus</v>
      </c>
      <c r="H20" t="str">
        <f t="shared" si="2"/>
        <v>Goldfish</v>
      </c>
      <c r="I20" t="str">
        <f t="shared" si="3"/>
        <v>Morihana</v>
      </c>
      <c r="J20" t="str">
        <f t="shared" si="4"/>
        <v>Nonnative</v>
      </c>
      <c r="K20" t="str">
        <f t="shared" si="5"/>
        <v>No</v>
      </c>
      <c r="L20">
        <v>1</v>
      </c>
      <c r="N20">
        <v>88</v>
      </c>
      <c r="O20">
        <v>40</v>
      </c>
      <c r="T20" t="str">
        <f t="shared" si="6"/>
        <v/>
      </c>
    </row>
    <row r="21" spans="1:20" x14ac:dyDescent="0.55000000000000004">
      <c r="A21">
        <v>3</v>
      </c>
      <c r="B21" s="15" t="str">
        <f t="shared" si="0"/>
        <v>3_0</v>
      </c>
      <c r="C21" s="20">
        <v>45693.652083333334</v>
      </c>
      <c r="D21" t="s">
        <v>175</v>
      </c>
      <c r="E21">
        <v>2</v>
      </c>
      <c r="F21" t="s">
        <v>127</v>
      </c>
      <c r="G21" t="str">
        <f t="shared" si="1"/>
        <v>Galaxias brevipinnis</v>
      </c>
      <c r="H21" t="str">
        <f t="shared" si="2"/>
        <v>Climbing_galaxias</v>
      </c>
      <c r="I21" t="str">
        <f t="shared" si="3"/>
        <v>Kōaro</v>
      </c>
      <c r="J21" t="str">
        <f t="shared" si="4"/>
        <v>Native</v>
      </c>
      <c r="K21" t="str">
        <f t="shared" si="5"/>
        <v>Yes</v>
      </c>
      <c r="L21">
        <v>1</v>
      </c>
      <c r="N21">
        <v>85</v>
      </c>
      <c r="O21">
        <v>6</v>
      </c>
      <c r="T21" t="str">
        <f t="shared" si="6"/>
        <v/>
      </c>
    </row>
    <row r="22" spans="1:20" x14ac:dyDescent="0.55000000000000004">
      <c r="A22">
        <v>3</v>
      </c>
      <c r="B22" s="15" t="str">
        <f t="shared" si="0"/>
        <v>3_0</v>
      </c>
      <c r="C22" s="20">
        <v>45693.652083333334</v>
      </c>
      <c r="D22" t="s">
        <v>175</v>
      </c>
      <c r="E22">
        <v>2</v>
      </c>
      <c r="F22" t="s">
        <v>135</v>
      </c>
      <c r="G22" t="str">
        <f t="shared" si="1"/>
        <v>Gobiomorphus cotidianus</v>
      </c>
      <c r="H22" t="str">
        <f t="shared" si="2"/>
        <v>Common_bully</v>
      </c>
      <c r="I22" t="str">
        <f t="shared" si="3"/>
        <v>Toitoi</v>
      </c>
      <c r="J22" t="str">
        <f t="shared" si="4"/>
        <v>Native</v>
      </c>
      <c r="K22" t="str">
        <f t="shared" si="5"/>
        <v>No</v>
      </c>
      <c r="O22">
        <v>559</v>
      </c>
      <c r="S22">
        <v>2.5</v>
      </c>
      <c r="T22">
        <f t="shared" si="6"/>
        <v>591.47</v>
      </c>
    </row>
    <row r="23" spans="1:20" x14ac:dyDescent="0.55000000000000004">
      <c r="A23">
        <v>3</v>
      </c>
      <c r="B23" s="15" t="str">
        <f t="shared" si="0"/>
        <v>3_0</v>
      </c>
      <c r="C23" s="20">
        <v>45693.652083333334</v>
      </c>
      <c r="D23" t="s">
        <v>175</v>
      </c>
      <c r="E23">
        <v>2</v>
      </c>
      <c r="F23" t="s">
        <v>135</v>
      </c>
      <c r="G23" t="str">
        <f t="shared" si="1"/>
        <v>Gobiomorphus cotidianus</v>
      </c>
      <c r="H23" t="str">
        <f t="shared" si="2"/>
        <v>Common_bully</v>
      </c>
      <c r="I23" t="str">
        <f t="shared" si="3"/>
        <v>Toitoi</v>
      </c>
      <c r="J23" t="str">
        <f t="shared" si="4"/>
        <v>Native</v>
      </c>
      <c r="K23" t="str">
        <f t="shared" si="5"/>
        <v>No</v>
      </c>
      <c r="O23">
        <v>379</v>
      </c>
      <c r="S23">
        <v>1.5</v>
      </c>
      <c r="T23">
        <f t="shared" si="6"/>
        <v>354.88200000000001</v>
      </c>
    </row>
    <row r="24" spans="1:20" x14ac:dyDescent="0.55000000000000004">
      <c r="A24">
        <v>3</v>
      </c>
      <c r="B24" s="15" t="str">
        <f t="shared" si="0"/>
        <v>3_0</v>
      </c>
      <c r="C24" s="20">
        <v>45693.652083333334</v>
      </c>
      <c r="D24" t="s">
        <v>175</v>
      </c>
      <c r="E24">
        <v>2</v>
      </c>
      <c r="F24" t="s">
        <v>135</v>
      </c>
      <c r="G24" t="str">
        <f t="shared" si="1"/>
        <v>Gobiomorphus cotidianus</v>
      </c>
      <c r="H24" t="str">
        <f t="shared" si="2"/>
        <v>Common_bully</v>
      </c>
      <c r="I24" t="str">
        <f t="shared" si="3"/>
        <v>Toitoi</v>
      </c>
      <c r="J24" t="str">
        <f t="shared" si="4"/>
        <v>Native</v>
      </c>
      <c r="K24" t="str">
        <f t="shared" si="5"/>
        <v>No</v>
      </c>
      <c r="O24">
        <v>176</v>
      </c>
      <c r="T24" t="str">
        <f t="shared" si="6"/>
        <v/>
      </c>
    </row>
    <row r="25" spans="1:20" x14ac:dyDescent="0.55000000000000004">
      <c r="A25">
        <v>4</v>
      </c>
      <c r="B25" s="15" t="str">
        <f t="shared" si="0"/>
        <v>4_0</v>
      </c>
      <c r="C25" s="20">
        <v>45693.626388888886</v>
      </c>
      <c r="D25" t="s">
        <v>174</v>
      </c>
      <c r="E25">
        <v>2</v>
      </c>
      <c r="F25" t="s">
        <v>135</v>
      </c>
      <c r="G25" t="str">
        <f t="shared" si="1"/>
        <v>Gobiomorphus cotidianus</v>
      </c>
      <c r="H25" t="str">
        <f t="shared" si="2"/>
        <v>Common_bully</v>
      </c>
      <c r="I25" t="str">
        <f t="shared" si="3"/>
        <v>Toitoi</v>
      </c>
      <c r="J25" t="str">
        <f t="shared" si="4"/>
        <v>Native</v>
      </c>
      <c r="K25" t="str">
        <f t="shared" si="5"/>
        <v>No</v>
      </c>
      <c r="L25">
        <v>2</v>
      </c>
      <c r="T25" t="str">
        <f t="shared" si="6"/>
        <v/>
      </c>
    </row>
    <row r="26" spans="1:20" x14ac:dyDescent="0.55000000000000004">
      <c r="A26">
        <v>4</v>
      </c>
      <c r="B26" s="15" t="str">
        <f t="shared" si="0"/>
        <v>4_0</v>
      </c>
      <c r="C26" s="20">
        <v>45693.626388888886</v>
      </c>
      <c r="D26" t="s">
        <v>175</v>
      </c>
      <c r="E26">
        <v>2</v>
      </c>
      <c r="F26" t="s">
        <v>124</v>
      </c>
      <c r="G26" t="str">
        <f t="shared" si="1"/>
        <v>Carassius auratus</v>
      </c>
      <c r="H26" t="str">
        <f t="shared" si="2"/>
        <v>Goldfish</v>
      </c>
      <c r="I26" t="str">
        <f t="shared" si="3"/>
        <v>Morihana</v>
      </c>
      <c r="J26" t="str">
        <f t="shared" si="4"/>
        <v>Nonnative</v>
      </c>
      <c r="K26" t="str">
        <f t="shared" si="5"/>
        <v>No</v>
      </c>
      <c r="L26">
        <v>1</v>
      </c>
      <c r="N26">
        <v>112</v>
      </c>
      <c r="O26">
        <v>33</v>
      </c>
      <c r="T26" t="str">
        <f t="shared" si="6"/>
        <v/>
      </c>
    </row>
    <row r="27" spans="1:20" x14ac:dyDescent="0.55000000000000004">
      <c r="A27">
        <v>4</v>
      </c>
      <c r="B27" s="15" t="str">
        <f t="shared" si="0"/>
        <v>4_0</v>
      </c>
      <c r="C27" s="20">
        <v>45693.62638883102</v>
      </c>
      <c r="D27" t="s">
        <v>175</v>
      </c>
      <c r="E27">
        <v>2</v>
      </c>
      <c r="F27" t="s">
        <v>115</v>
      </c>
      <c r="G27" t="str">
        <f t="shared" si="1"/>
        <v>Paranephrops planifrons</v>
      </c>
      <c r="H27" t="str">
        <f t="shared" si="2"/>
        <v>Freshwater_crayfish</v>
      </c>
      <c r="I27" t="str">
        <f t="shared" si="3"/>
        <v>Kōura</v>
      </c>
      <c r="J27" t="str">
        <f t="shared" si="4"/>
        <v>Native</v>
      </c>
      <c r="K27" t="str">
        <f t="shared" si="5"/>
        <v>Yes</v>
      </c>
      <c r="L27">
        <v>1</v>
      </c>
      <c r="M27" t="s">
        <v>176</v>
      </c>
      <c r="N27">
        <v>32.479999999999997</v>
      </c>
      <c r="O27">
        <v>28</v>
      </c>
      <c r="T27" t="str">
        <f t="shared" si="6"/>
        <v/>
      </c>
    </row>
    <row r="28" spans="1:20" x14ac:dyDescent="0.55000000000000004">
      <c r="A28">
        <v>4</v>
      </c>
      <c r="B28" s="15" t="str">
        <f t="shared" si="0"/>
        <v>4_0</v>
      </c>
      <c r="C28" s="20">
        <v>45693.62638883102</v>
      </c>
      <c r="D28" t="s">
        <v>175</v>
      </c>
      <c r="E28">
        <v>2</v>
      </c>
      <c r="F28" t="s">
        <v>127</v>
      </c>
      <c r="G28" t="str">
        <f t="shared" si="1"/>
        <v>Galaxias brevipinnis</v>
      </c>
      <c r="H28" t="str">
        <f t="shared" si="2"/>
        <v>Climbing_galaxias</v>
      </c>
      <c r="I28" t="str">
        <f t="shared" si="3"/>
        <v>Kōaro</v>
      </c>
      <c r="J28" t="str">
        <f t="shared" si="4"/>
        <v>Native</v>
      </c>
      <c r="K28" t="str">
        <f t="shared" si="5"/>
        <v>Yes</v>
      </c>
      <c r="L28">
        <v>1</v>
      </c>
      <c r="N28">
        <v>90</v>
      </c>
      <c r="O28">
        <v>6</v>
      </c>
      <c r="T28" t="str">
        <f t="shared" si="6"/>
        <v/>
      </c>
    </row>
    <row r="29" spans="1:20" x14ac:dyDescent="0.55000000000000004">
      <c r="A29">
        <v>4</v>
      </c>
      <c r="B29" s="15" t="str">
        <f t="shared" si="0"/>
        <v>4_0</v>
      </c>
      <c r="C29" s="20">
        <v>45693.62638883102</v>
      </c>
      <c r="D29" t="s">
        <v>175</v>
      </c>
      <c r="E29">
        <v>2</v>
      </c>
      <c r="F29" t="s">
        <v>127</v>
      </c>
      <c r="G29" t="str">
        <f t="shared" si="1"/>
        <v>Galaxias brevipinnis</v>
      </c>
      <c r="H29" t="str">
        <f t="shared" si="2"/>
        <v>Climbing_galaxias</v>
      </c>
      <c r="I29" t="str">
        <f t="shared" si="3"/>
        <v>Kōaro</v>
      </c>
      <c r="J29" t="str">
        <f t="shared" si="4"/>
        <v>Native</v>
      </c>
      <c r="K29" t="str">
        <f t="shared" si="5"/>
        <v>Yes</v>
      </c>
      <c r="L29">
        <v>1</v>
      </c>
      <c r="N29">
        <v>86</v>
      </c>
      <c r="O29">
        <v>6</v>
      </c>
      <c r="T29" t="str">
        <f t="shared" si="6"/>
        <v/>
      </c>
    </row>
    <row r="30" spans="1:20" x14ac:dyDescent="0.55000000000000004">
      <c r="A30">
        <v>4</v>
      </c>
      <c r="B30" s="15" t="str">
        <f t="shared" si="0"/>
        <v>4_0</v>
      </c>
      <c r="C30" s="20">
        <v>45693.62638883102</v>
      </c>
      <c r="D30" t="s">
        <v>175</v>
      </c>
      <c r="E30">
        <v>2</v>
      </c>
      <c r="F30" t="s">
        <v>124</v>
      </c>
      <c r="G30" t="str">
        <f t="shared" si="1"/>
        <v>Carassius auratus</v>
      </c>
      <c r="H30" t="str">
        <f t="shared" si="2"/>
        <v>Goldfish</v>
      </c>
      <c r="I30" t="str">
        <f t="shared" si="3"/>
        <v>Morihana</v>
      </c>
      <c r="J30" t="str">
        <f t="shared" si="4"/>
        <v>Nonnative</v>
      </c>
      <c r="K30" t="str">
        <f t="shared" si="5"/>
        <v>No</v>
      </c>
      <c r="L30">
        <v>1</v>
      </c>
      <c r="N30">
        <v>91</v>
      </c>
      <c r="O30">
        <v>22</v>
      </c>
      <c r="T30" t="str">
        <f t="shared" si="6"/>
        <v/>
      </c>
    </row>
    <row r="31" spans="1:20" x14ac:dyDescent="0.55000000000000004">
      <c r="A31">
        <v>4</v>
      </c>
      <c r="B31" s="15" t="str">
        <f t="shared" si="0"/>
        <v>4_0</v>
      </c>
      <c r="C31" s="20">
        <v>45693.62638883102</v>
      </c>
      <c r="D31" t="s">
        <v>175</v>
      </c>
      <c r="E31">
        <v>2</v>
      </c>
      <c r="F31" t="s">
        <v>127</v>
      </c>
      <c r="G31" t="str">
        <f t="shared" si="1"/>
        <v>Galaxias brevipinnis</v>
      </c>
      <c r="H31" t="str">
        <f t="shared" si="2"/>
        <v>Climbing_galaxias</v>
      </c>
      <c r="I31" t="str">
        <f t="shared" si="3"/>
        <v>Kōaro</v>
      </c>
      <c r="J31" t="str">
        <f t="shared" si="4"/>
        <v>Native</v>
      </c>
      <c r="K31" t="str">
        <f t="shared" si="5"/>
        <v>Yes</v>
      </c>
      <c r="L31">
        <v>1</v>
      </c>
      <c r="N31">
        <v>78</v>
      </c>
      <c r="O31">
        <v>6</v>
      </c>
      <c r="T31" t="str">
        <f t="shared" si="6"/>
        <v/>
      </c>
    </row>
    <row r="32" spans="1:20" x14ac:dyDescent="0.55000000000000004">
      <c r="A32">
        <v>4</v>
      </c>
      <c r="B32" s="15" t="str">
        <f t="shared" si="0"/>
        <v>4_0</v>
      </c>
      <c r="C32" s="20">
        <v>45693.62638883102</v>
      </c>
      <c r="D32" t="s">
        <v>175</v>
      </c>
      <c r="E32">
        <v>2</v>
      </c>
      <c r="F32" t="s">
        <v>124</v>
      </c>
      <c r="G32" t="str">
        <f t="shared" si="1"/>
        <v>Carassius auratus</v>
      </c>
      <c r="H32" t="str">
        <f t="shared" si="2"/>
        <v>Goldfish</v>
      </c>
      <c r="I32" t="str">
        <f t="shared" si="3"/>
        <v>Morihana</v>
      </c>
      <c r="J32" t="str">
        <f t="shared" si="4"/>
        <v>Nonnative</v>
      </c>
      <c r="K32" t="str">
        <f t="shared" si="5"/>
        <v>No</v>
      </c>
      <c r="L32">
        <v>1</v>
      </c>
      <c r="N32">
        <v>100</v>
      </c>
      <c r="O32">
        <v>26</v>
      </c>
      <c r="T32" t="str">
        <f t="shared" si="6"/>
        <v/>
      </c>
    </row>
    <row r="33" spans="1:21" x14ac:dyDescent="0.55000000000000004">
      <c r="A33">
        <v>4</v>
      </c>
      <c r="B33" s="15" t="str">
        <f t="shared" si="0"/>
        <v>4_0</v>
      </c>
      <c r="C33" s="20">
        <v>45693.62638883102</v>
      </c>
      <c r="D33" t="s">
        <v>175</v>
      </c>
      <c r="E33">
        <v>2</v>
      </c>
      <c r="F33" t="s">
        <v>133</v>
      </c>
      <c r="G33" t="str">
        <f t="shared" si="1"/>
        <v>Retropinna retropinna</v>
      </c>
      <c r="H33" t="str">
        <f t="shared" si="2"/>
        <v>Common_smelt</v>
      </c>
      <c r="I33" t="str">
        <f t="shared" si="3"/>
        <v>Common_smelt</v>
      </c>
      <c r="J33" t="str">
        <f t="shared" si="4"/>
        <v>Native</v>
      </c>
      <c r="K33" t="str">
        <f t="shared" si="5"/>
        <v>No</v>
      </c>
      <c r="L33">
        <v>14</v>
      </c>
      <c r="O33">
        <v>11</v>
      </c>
      <c r="T33" t="str">
        <f t="shared" si="6"/>
        <v/>
      </c>
    </row>
    <row r="34" spans="1:21" x14ac:dyDescent="0.55000000000000004">
      <c r="A34">
        <v>4</v>
      </c>
      <c r="B34" s="15" t="str">
        <f t="shared" si="0"/>
        <v>4_0</v>
      </c>
      <c r="C34" s="20">
        <v>45693.62638883102</v>
      </c>
      <c r="D34" t="s">
        <v>175</v>
      </c>
      <c r="E34">
        <v>2</v>
      </c>
      <c r="F34" t="s">
        <v>127</v>
      </c>
      <c r="G34" t="str">
        <f t="shared" si="1"/>
        <v>Galaxias brevipinnis</v>
      </c>
      <c r="H34" t="str">
        <f t="shared" si="2"/>
        <v>Climbing_galaxias</v>
      </c>
      <c r="I34" t="str">
        <f t="shared" si="3"/>
        <v>Kōaro</v>
      </c>
      <c r="J34" t="str">
        <f t="shared" si="4"/>
        <v>Native</v>
      </c>
      <c r="K34" t="str">
        <f t="shared" si="5"/>
        <v>Yes</v>
      </c>
      <c r="L34">
        <v>1</v>
      </c>
      <c r="N34">
        <v>80</v>
      </c>
      <c r="O34">
        <v>4</v>
      </c>
      <c r="T34" t="str">
        <f t="shared" si="6"/>
        <v/>
      </c>
    </row>
    <row r="35" spans="1:21" x14ac:dyDescent="0.55000000000000004">
      <c r="A35">
        <v>4</v>
      </c>
      <c r="B35" s="15" t="str">
        <f t="shared" si="0"/>
        <v>4_0</v>
      </c>
      <c r="C35" s="20">
        <v>45693.62638883102</v>
      </c>
      <c r="D35" t="s">
        <v>175</v>
      </c>
      <c r="E35">
        <v>2</v>
      </c>
      <c r="F35" t="s">
        <v>127</v>
      </c>
      <c r="G35" t="str">
        <f t="shared" si="1"/>
        <v>Galaxias brevipinnis</v>
      </c>
      <c r="H35" t="str">
        <f t="shared" si="2"/>
        <v>Climbing_galaxias</v>
      </c>
      <c r="I35" t="str">
        <f t="shared" si="3"/>
        <v>Kōaro</v>
      </c>
      <c r="J35" t="str">
        <f t="shared" si="4"/>
        <v>Native</v>
      </c>
      <c r="K35" t="str">
        <f t="shared" si="5"/>
        <v>Yes</v>
      </c>
      <c r="L35">
        <v>1</v>
      </c>
      <c r="N35">
        <v>80</v>
      </c>
      <c r="O35">
        <v>5</v>
      </c>
      <c r="T35" t="str">
        <f t="shared" si="6"/>
        <v/>
      </c>
    </row>
    <row r="36" spans="1:21" x14ac:dyDescent="0.55000000000000004">
      <c r="A36">
        <v>4</v>
      </c>
      <c r="B36" s="15" t="str">
        <f t="shared" si="0"/>
        <v>4_0</v>
      </c>
      <c r="C36" s="20">
        <v>45693.62638883102</v>
      </c>
      <c r="D36" t="s">
        <v>175</v>
      </c>
      <c r="E36">
        <v>2</v>
      </c>
      <c r="F36" t="s">
        <v>135</v>
      </c>
      <c r="G36" t="str">
        <f t="shared" si="1"/>
        <v>Gobiomorphus cotidianus</v>
      </c>
      <c r="H36" t="str">
        <f t="shared" si="2"/>
        <v>Common_bully</v>
      </c>
      <c r="I36" t="str">
        <f t="shared" si="3"/>
        <v>Toitoi</v>
      </c>
      <c r="J36" t="str">
        <f t="shared" si="4"/>
        <v>Native</v>
      </c>
      <c r="K36" t="str">
        <f t="shared" si="5"/>
        <v>No</v>
      </c>
      <c r="O36">
        <v>527</v>
      </c>
      <c r="S36">
        <v>2.5</v>
      </c>
      <c r="T36">
        <f t="shared" si="6"/>
        <v>591.47</v>
      </c>
    </row>
    <row r="37" spans="1:21" x14ac:dyDescent="0.55000000000000004">
      <c r="A37">
        <v>4</v>
      </c>
      <c r="B37" s="15" t="str">
        <f t="shared" si="0"/>
        <v>4_0</v>
      </c>
      <c r="C37" s="20">
        <v>45693.62638883102</v>
      </c>
      <c r="D37" t="s">
        <v>175</v>
      </c>
      <c r="E37">
        <v>2</v>
      </c>
      <c r="F37" t="s">
        <v>127</v>
      </c>
      <c r="G37" t="str">
        <f t="shared" si="1"/>
        <v>Galaxias brevipinnis</v>
      </c>
      <c r="H37" t="str">
        <f t="shared" si="2"/>
        <v>Climbing_galaxias</v>
      </c>
      <c r="I37" t="str">
        <f t="shared" si="3"/>
        <v>Kōaro</v>
      </c>
      <c r="J37" t="str">
        <f t="shared" si="4"/>
        <v>Native</v>
      </c>
      <c r="K37" t="str">
        <f t="shared" si="5"/>
        <v>Yes</v>
      </c>
      <c r="L37">
        <v>1</v>
      </c>
      <c r="N37">
        <v>175</v>
      </c>
      <c r="T37" t="str">
        <f t="shared" si="6"/>
        <v/>
      </c>
    </row>
    <row r="38" spans="1:21" x14ac:dyDescent="0.55000000000000004">
      <c r="A38">
        <v>4</v>
      </c>
      <c r="B38" s="15" t="str">
        <f t="shared" si="0"/>
        <v>4_0</v>
      </c>
      <c r="C38" s="20">
        <v>45693.62638883102</v>
      </c>
      <c r="D38" t="s">
        <v>175</v>
      </c>
      <c r="E38">
        <v>2</v>
      </c>
      <c r="F38" t="s">
        <v>135</v>
      </c>
      <c r="G38" t="str">
        <f t="shared" si="1"/>
        <v>Gobiomorphus cotidianus</v>
      </c>
      <c r="H38" t="str">
        <f t="shared" si="2"/>
        <v>Common_bully</v>
      </c>
      <c r="I38" t="str">
        <f t="shared" si="3"/>
        <v>Toitoi</v>
      </c>
      <c r="J38" t="str">
        <f t="shared" si="4"/>
        <v>Native</v>
      </c>
      <c r="K38" t="str">
        <f t="shared" si="5"/>
        <v>No</v>
      </c>
      <c r="O38">
        <v>471</v>
      </c>
      <c r="S38">
        <v>2.5</v>
      </c>
      <c r="T38">
        <f t="shared" si="6"/>
        <v>591.47</v>
      </c>
    </row>
    <row r="39" spans="1:21" x14ac:dyDescent="0.55000000000000004">
      <c r="A39">
        <v>4</v>
      </c>
      <c r="B39" s="15" t="str">
        <f t="shared" si="0"/>
        <v>4_0</v>
      </c>
      <c r="C39" s="20">
        <v>45693.62638883102</v>
      </c>
      <c r="D39" t="s">
        <v>175</v>
      </c>
      <c r="E39">
        <v>2</v>
      </c>
      <c r="F39" t="s">
        <v>135</v>
      </c>
      <c r="G39" t="str">
        <f t="shared" si="1"/>
        <v>Gobiomorphus cotidianus</v>
      </c>
      <c r="H39" t="str">
        <f t="shared" si="2"/>
        <v>Common_bully</v>
      </c>
      <c r="I39" t="str">
        <f t="shared" si="3"/>
        <v>Toitoi</v>
      </c>
      <c r="J39" t="str">
        <f t="shared" si="4"/>
        <v>Native</v>
      </c>
      <c r="K39" t="str">
        <f t="shared" si="5"/>
        <v>No</v>
      </c>
      <c r="O39">
        <v>222</v>
      </c>
      <c r="S39">
        <v>1</v>
      </c>
      <c r="T39">
        <f t="shared" si="6"/>
        <v>236.58799999999999</v>
      </c>
    </row>
    <row r="40" spans="1:21" x14ac:dyDescent="0.55000000000000004">
      <c r="A40">
        <v>4</v>
      </c>
      <c r="B40" s="15" t="str">
        <f t="shared" si="0"/>
        <v>4_0</v>
      </c>
      <c r="C40" s="20">
        <v>45693.62638883102</v>
      </c>
      <c r="D40" t="s">
        <v>175</v>
      </c>
      <c r="E40">
        <v>2</v>
      </c>
      <c r="F40" t="s">
        <v>135</v>
      </c>
      <c r="G40" t="str">
        <f t="shared" si="1"/>
        <v>Gobiomorphus cotidianus</v>
      </c>
      <c r="H40" t="str">
        <f t="shared" si="2"/>
        <v>Common_bully</v>
      </c>
      <c r="I40" t="str">
        <f t="shared" si="3"/>
        <v>Toitoi</v>
      </c>
      <c r="J40" t="str">
        <f t="shared" si="4"/>
        <v>Native</v>
      </c>
      <c r="K40" t="str">
        <f t="shared" si="5"/>
        <v>No</v>
      </c>
      <c r="O40">
        <v>480</v>
      </c>
      <c r="S40">
        <v>2.5</v>
      </c>
      <c r="T40">
        <f t="shared" si="6"/>
        <v>591.47</v>
      </c>
    </row>
    <row r="41" spans="1:21" x14ac:dyDescent="0.55000000000000004">
      <c r="A41">
        <v>4</v>
      </c>
      <c r="B41" s="15" t="str">
        <f t="shared" si="0"/>
        <v>4_0</v>
      </c>
      <c r="C41" s="20">
        <v>45693.62638883102</v>
      </c>
      <c r="D41" t="s">
        <v>175</v>
      </c>
      <c r="E41">
        <v>2</v>
      </c>
      <c r="F41" t="s">
        <v>115</v>
      </c>
      <c r="G41" t="str">
        <f t="shared" si="1"/>
        <v>Paranephrops planifrons</v>
      </c>
      <c r="H41" t="str">
        <f t="shared" si="2"/>
        <v>Freshwater_crayfish</v>
      </c>
      <c r="I41" t="str">
        <f t="shared" si="3"/>
        <v>Kōura</v>
      </c>
      <c r="J41" t="str">
        <f t="shared" si="4"/>
        <v>Native</v>
      </c>
      <c r="K41" t="str">
        <f t="shared" si="5"/>
        <v>Yes</v>
      </c>
      <c r="L41">
        <v>1</v>
      </c>
      <c r="M41" t="s">
        <v>177</v>
      </c>
      <c r="N41">
        <v>12.13</v>
      </c>
      <c r="O41">
        <v>1</v>
      </c>
      <c r="T41" t="str">
        <f t="shared" si="6"/>
        <v/>
      </c>
    </row>
    <row r="42" spans="1:21" x14ac:dyDescent="0.55000000000000004">
      <c r="A42">
        <v>4</v>
      </c>
      <c r="B42" s="15" t="str">
        <f t="shared" si="0"/>
        <v>4_0</v>
      </c>
      <c r="C42" s="20">
        <v>45693.62638883102</v>
      </c>
      <c r="D42" t="s">
        <v>175</v>
      </c>
      <c r="E42">
        <v>2</v>
      </c>
      <c r="F42" t="s">
        <v>127</v>
      </c>
      <c r="G42" t="str">
        <f t="shared" si="1"/>
        <v>Galaxias brevipinnis</v>
      </c>
      <c r="H42" t="str">
        <f t="shared" si="2"/>
        <v>Climbing_galaxias</v>
      </c>
      <c r="I42" t="str">
        <f t="shared" si="3"/>
        <v>Kōaro</v>
      </c>
      <c r="J42" t="str">
        <f t="shared" si="4"/>
        <v>Native</v>
      </c>
      <c r="K42" t="str">
        <f t="shared" si="5"/>
        <v>Yes</v>
      </c>
      <c r="L42">
        <v>1</v>
      </c>
      <c r="N42">
        <v>90</v>
      </c>
      <c r="O42">
        <v>8</v>
      </c>
      <c r="T42" t="str">
        <f t="shared" si="6"/>
        <v/>
      </c>
    </row>
    <row r="43" spans="1:21" x14ac:dyDescent="0.55000000000000004">
      <c r="A43">
        <v>4</v>
      </c>
      <c r="B43" s="15" t="str">
        <f t="shared" si="0"/>
        <v>4_0</v>
      </c>
      <c r="C43" s="20">
        <v>45693.62638883102</v>
      </c>
      <c r="D43" t="s">
        <v>175</v>
      </c>
      <c r="E43">
        <v>2</v>
      </c>
      <c r="F43" t="s">
        <v>135</v>
      </c>
      <c r="G43" t="str">
        <f t="shared" si="1"/>
        <v>Gobiomorphus cotidianus</v>
      </c>
      <c r="H43" t="str">
        <f t="shared" si="2"/>
        <v>Common_bully</v>
      </c>
      <c r="I43" t="str">
        <f t="shared" si="3"/>
        <v>Toitoi</v>
      </c>
      <c r="J43" t="str">
        <f t="shared" si="4"/>
        <v>Native</v>
      </c>
      <c r="K43" t="str">
        <f t="shared" si="5"/>
        <v>No</v>
      </c>
      <c r="O43">
        <v>361</v>
      </c>
      <c r="S43">
        <v>2</v>
      </c>
      <c r="T43">
        <f t="shared" si="6"/>
        <v>473.17599999999999</v>
      </c>
    </row>
    <row r="44" spans="1:21" x14ac:dyDescent="0.55000000000000004">
      <c r="A44">
        <v>5</v>
      </c>
      <c r="B44" s="15" t="str">
        <f t="shared" si="0"/>
        <v>5_0</v>
      </c>
      <c r="C44" s="20">
        <v>45693.534722222219</v>
      </c>
      <c r="D44" t="s">
        <v>174</v>
      </c>
      <c r="E44">
        <v>2</v>
      </c>
      <c r="F44" t="s">
        <v>135</v>
      </c>
      <c r="G44" t="str">
        <f t="shared" si="1"/>
        <v>Gobiomorphus cotidianus</v>
      </c>
      <c r="H44" t="str">
        <f t="shared" si="2"/>
        <v>Common_bully</v>
      </c>
      <c r="I44" t="str">
        <f t="shared" si="3"/>
        <v>Toitoi</v>
      </c>
      <c r="J44" t="str">
        <f t="shared" si="4"/>
        <v>Native</v>
      </c>
      <c r="K44" t="str">
        <f t="shared" si="5"/>
        <v>No</v>
      </c>
      <c r="L44">
        <v>4</v>
      </c>
      <c r="T44" t="str">
        <f t="shared" si="6"/>
        <v/>
      </c>
    </row>
    <row r="45" spans="1:21" x14ac:dyDescent="0.55000000000000004">
      <c r="A45">
        <v>5</v>
      </c>
      <c r="B45" s="15" t="str">
        <f t="shared" si="0"/>
        <v>5_0</v>
      </c>
      <c r="C45" s="20">
        <v>45693.534722222219</v>
      </c>
      <c r="D45" t="s">
        <v>175</v>
      </c>
      <c r="E45">
        <v>2</v>
      </c>
      <c r="F45" t="s">
        <v>135</v>
      </c>
      <c r="G45" t="str">
        <f t="shared" si="1"/>
        <v>Gobiomorphus cotidianus</v>
      </c>
      <c r="H45" t="str">
        <f t="shared" si="2"/>
        <v>Common_bully</v>
      </c>
      <c r="I45" t="str">
        <f t="shared" si="3"/>
        <v>Toitoi</v>
      </c>
      <c r="J45" t="str">
        <f t="shared" si="4"/>
        <v>Native</v>
      </c>
      <c r="K45" t="str">
        <f t="shared" si="5"/>
        <v>No</v>
      </c>
      <c r="L45">
        <v>100</v>
      </c>
      <c r="O45">
        <f>161-117</f>
        <v>44</v>
      </c>
      <c r="S45">
        <v>0.25</v>
      </c>
      <c r="T45">
        <f t="shared" si="6"/>
        <v>59.146999999999998</v>
      </c>
      <c r="U45" t="s">
        <v>179</v>
      </c>
    </row>
    <row r="46" spans="1:21" x14ac:dyDescent="0.55000000000000004">
      <c r="A46">
        <v>5</v>
      </c>
      <c r="B46" s="15" t="str">
        <f t="shared" si="0"/>
        <v>5_0</v>
      </c>
      <c r="C46" s="20">
        <v>45693.534722222219</v>
      </c>
      <c r="D46" t="s">
        <v>175</v>
      </c>
      <c r="E46">
        <v>2</v>
      </c>
      <c r="F46" t="s">
        <v>135</v>
      </c>
      <c r="G46" t="str">
        <f t="shared" si="1"/>
        <v>Gobiomorphus cotidianus</v>
      </c>
      <c r="H46" t="str">
        <f t="shared" si="2"/>
        <v>Common_bully</v>
      </c>
      <c r="I46" t="str">
        <f t="shared" si="3"/>
        <v>Toitoi</v>
      </c>
      <c r="J46" t="str">
        <f t="shared" si="4"/>
        <v>Native</v>
      </c>
      <c r="K46" t="str">
        <f t="shared" si="5"/>
        <v>No</v>
      </c>
      <c r="O46">
        <v>156</v>
      </c>
      <c r="S46">
        <v>0.75</v>
      </c>
      <c r="T46">
        <f t="shared" si="6"/>
        <v>177.441</v>
      </c>
      <c r="U46" t="s">
        <v>179</v>
      </c>
    </row>
    <row r="47" spans="1:21" x14ac:dyDescent="0.55000000000000004">
      <c r="A47">
        <v>5</v>
      </c>
      <c r="B47" s="15" t="str">
        <f t="shared" si="0"/>
        <v>5_0</v>
      </c>
      <c r="C47" s="20">
        <v>45695.447916666664</v>
      </c>
      <c r="D47" t="s">
        <v>174</v>
      </c>
      <c r="E47">
        <v>2</v>
      </c>
      <c r="F47" t="s">
        <v>135</v>
      </c>
      <c r="G47" t="str">
        <f t="shared" si="1"/>
        <v>Gobiomorphus cotidianus</v>
      </c>
      <c r="H47" t="str">
        <f t="shared" si="2"/>
        <v>Common_bully</v>
      </c>
      <c r="I47" t="str">
        <f t="shared" si="3"/>
        <v>Toitoi</v>
      </c>
      <c r="J47" t="str">
        <f t="shared" si="4"/>
        <v>Native</v>
      </c>
      <c r="K47" t="str">
        <f t="shared" si="5"/>
        <v>No</v>
      </c>
      <c r="L47">
        <v>3</v>
      </c>
      <c r="T47" t="str">
        <f t="shared" si="6"/>
        <v/>
      </c>
    </row>
    <row r="48" spans="1:21" x14ac:dyDescent="0.55000000000000004">
      <c r="A48">
        <v>5</v>
      </c>
      <c r="B48" s="15" t="str">
        <f t="shared" si="0"/>
        <v>5_0</v>
      </c>
      <c r="C48" s="20">
        <v>45695.447916666664</v>
      </c>
      <c r="D48" t="s">
        <v>175</v>
      </c>
      <c r="E48">
        <v>2</v>
      </c>
      <c r="F48" t="s">
        <v>124</v>
      </c>
      <c r="G48" t="str">
        <f t="shared" si="1"/>
        <v>Carassius auratus</v>
      </c>
      <c r="H48" t="str">
        <f t="shared" si="2"/>
        <v>Goldfish</v>
      </c>
      <c r="I48" t="str">
        <f t="shared" si="3"/>
        <v>Morihana</v>
      </c>
      <c r="J48" t="str">
        <f t="shared" si="4"/>
        <v>Nonnative</v>
      </c>
      <c r="K48" t="str">
        <f t="shared" si="5"/>
        <v>No</v>
      </c>
      <c r="L48">
        <v>1</v>
      </c>
      <c r="N48">
        <v>145</v>
      </c>
      <c r="O48">
        <v>86</v>
      </c>
      <c r="T48" t="str">
        <f t="shared" si="6"/>
        <v/>
      </c>
    </row>
    <row r="49" spans="1:20" x14ac:dyDescent="0.55000000000000004">
      <c r="A49">
        <v>5</v>
      </c>
      <c r="B49" s="15" t="str">
        <f t="shared" si="0"/>
        <v>5_0</v>
      </c>
      <c r="C49" s="20">
        <v>45695.447916608799</v>
      </c>
      <c r="D49" t="s">
        <v>175</v>
      </c>
      <c r="E49">
        <v>2</v>
      </c>
      <c r="F49" t="s">
        <v>124</v>
      </c>
      <c r="G49" t="str">
        <f t="shared" si="1"/>
        <v>Carassius auratus</v>
      </c>
      <c r="H49" t="str">
        <f t="shared" si="2"/>
        <v>Goldfish</v>
      </c>
      <c r="I49" t="str">
        <f t="shared" si="3"/>
        <v>Morihana</v>
      </c>
      <c r="J49" t="str">
        <f t="shared" si="4"/>
        <v>Nonnative</v>
      </c>
      <c r="K49" t="str">
        <f t="shared" si="5"/>
        <v>No</v>
      </c>
      <c r="L49">
        <v>1</v>
      </c>
      <c r="N49">
        <v>220</v>
      </c>
      <c r="O49">
        <v>284</v>
      </c>
      <c r="T49" t="str">
        <f t="shared" si="6"/>
        <v/>
      </c>
    </row>
    <row r="50" spans="1:20" x14ac:dyDescent="0.55000000000000004">
      <c r="A50">
        <v>5</v>
      </c>
      <c r="B50" s="15" t="str">
        <f t="shared" si="0"/>
        <v>5_0</v>
      </c>
      <c r="C50" s="20">
        <v>45695.447916608799</v>
      </c>
      <c r="D50" t="s">
        <v>175</v>
      </c>
      <c r="E50">
        <v>2</v>
      </c>
      <c r="F50" t="s">
        <v>203</v>
      </c>
      <c r="G50" t="str">
        <f t="shared" si="1"/>
        <v>Gambusia affinis</v>
      </c>
      <c r="H50" t="str">
        <f t="shared" si="2"/>
        <v>Gambusia</v>
      </c>
      <c r="I50" t="str">
        <f t="shared" si="3"/>
        <v>Mosquitofish</v>
      </c>
      <c r="J50" t="str">
        <f t="shared" si="4"/>
        <v>Nonnative</v>
      </c>
      <c r="K50" t="str">
        <f t="shared" si="5"/>
        <v>No</v>
      </c>
      <c r="L50">
        <v>1</v>
      </c>
    </row>
    <row r="51" spans="1:20" x14ac:dyDescent="0.55000000000000004">
      <c r="A51">
        <v>5</v>
      </c>
      <c r="B51" s="15" t="str">
        <f t="shared" si="0"/>
        <v>5_0</v>
      </c>
      <c r="C51" s="20">
        <v>45695.447916608799</v>
      </c>
      <c r="D51" t="s">
        <v>175</v>
      </c>
      <c r="E51">
        <v>2</v>
      </c>
      <c r="F51" t="s">
        <v>135</v>
      </c>
      <c r="G51" t="str">
        <f t="shared" si="1"/>
        <v>Gobiomorphus cotidianus</v>
      </c>
      <c r="H51" t="str">
        <f t="shared" si="2"/>
        <v>Common_bully</v>
      </c>
      <c r="I51" t="str">
        <f t="shared" si="3"/>
        <v>Toitoi</v>
      </c>
      <c r="J51" t="str">
        <f t="shared" si="4"/>
        <v>Native</v>
      </c>
      <c r="K51" t="str">
        <f t="shared" si="5"/>
        <v>No</v>
      </c>
      <c r="O51">
        <v>535</v>
      </c>
      <c r="S51">
        <v>2.5</v>
      </c>
      <c r="T51">
        <f t="shared" si="6"/>
        <v>591.47</v>
      </c>
    </row>
    <row r="52" spans="1:20" x14ac:dyDescent="0.55000000000000004">
      <c r="A52">
        <v>5</v>
      </c>
      <c r="B52" s="15" t="str">
        <f t="shared" si="0"/>
        <v>5_0</v>
      </c>
      <c r="C52" s="20">
        <v>45695.447916608799</v>
      </c>
      <c r="D52" t="s">
        <v>175</v>
      </c>
      <c r="E52">
        <v>2</v>
      </c>
      <c r="F52" t="s">
        <v>135</v>
      </c>
      <c r="G52" t="str">
        <f t="shared" si="1"/>
        <v>Gobiomorphus cotidianus</v>
      </c>
      <c r="H52" t="str">
        <f t="shared" si="2"/>
        <v>Common_bully</v>
      </c>
      <c r="I52" t="str">
        <f t="shared" si="3"/>
        <v>Toitoi</v>
      </c>
      <c r="J52" t="str">
        <f t="shared" si="4"/>
        <v>Native</v>
      </c>
      <c r="K52" t="str">
        <f t="shared" si="5"/>
        <v>No</v>
      </c>
      <c r="O52">
        <v>578</v>
      </c>
      <c r="S52">
        <v>2.5</v>
      </c>
      <c r="T52">
        <f t="shared" si="6"/>
        <v>591.47</v>
      </c>
    </row>
    <row r="53" spans="1:20" x14ac:dyDescent="0.55000000000000004">
      <c r="A53">
        <v>5</v>
      </c>
      <c r="B53" s="15" t="str">
        <f t="shared" si="0"/>
        <v>5_0</v>
      </c>
      <c r="C53" s="20">
        <v>45695.447916608799</v>
      </c>
      <c r="D53" t="s">
        <v>175</v>
      </c>
      <c r="E53">
        <v>2</v>
      </c>
      <c r="F53" t="s">
        <v>135</v>
      </c>
      <c r="G53" t="str">
        <f t="shared" si="1"/>
        <v>Gobiomorphus cotidianus</v>
      </c>
      <c r="H53" t="str">
        <f t="shared" si="2"/>
        <v>Common_bully</v>
      </c>
      <c r="I53" t="str">
        <f t="shared" si="3"/>
        <v>Toitoi</v>
      </c>
      <c r="J53" t="str">
        <f t="shared" si="4"/>
        <v>Native</v>
      </c>
      <c r="K53" t="str">
        <f t="shared" si="5"/>
        <v>No</v>
      </c>
      <c r="O53">
        <v>589</v>
      </c>
      <c r="S53">
        <v>2.5</v>
      </c>
      <c r="T53">
        <f t="shared" si="6"/>
        <v>591.47</v>
      </c>
    </row>
    <row r="54" spans="1:20" x14ac:dyDescent="0.55000000000000004">
      <c r="A54">
        <v>5</v>
      </c>
      <c r="B54" s="15" t="str">
        <f t="shared" si="0"/>
        <v>5_0</v>
      </c>
      <c r="C54" s="20">
        <v>45695.447916608799</v>
      </c>
      <c r="D54" t="s">
        <v>175</v>
      </c>
      <c r="E54">
        <v>2</v>
      </c>
      <c r="F54" t="s">
        <v>135</v>
      </c>
      <c r="G54" t="str">
        <f t="shared" si="1"/>
        <v>Gobiomorphus cotidianus</v>
      </c>
      <c r="H54" t="str">
        <f t="shared" si="2"/>
        <v>Common_bully</v>
      </c>
      <c r="I54" t="str">
        <f t="shared" si="3"/>
        <v>Toitoi</v>
      </c>
      <c r="J54" t="str">
        <f t="shared" si="4"/>
        <v>Native</v>
      </c>
      <c r="K54" t="str">
        <f t="shared" si="5"/>
        <v>No</v>
      </c>
      <c r="O54">
        <f>676-117</f>
        <v>559</v>
      </c>
      <c r="S54">
        <v>2.5</v>
      </c>
      <c r="T54">
        <f t="shared" si="6"/>
        <v>591.47</v>
      </c>
    </row>
    <row r="55" spans="1:20" x14ac:dyDescent="0.55000000000000004">
      <c r="A55">
        <v>5</v>
      </c>
      <c r="B55" s="15" t="str">
        <f t="shared" si="0"/>
        <v>5_0</v>
      </c>
      <c r="C55" s="20">
        <v>45695.447916608799</v>
      </c>
      <c r="D55" t="s">
        <v>175</v>
      </c>
      <c r="E55">
        <v>2</v>
      </c>
      <c r="F55" t="s">
        <v>135</v>
      </c>
      <c r="G55" t="str">
        <f t="shared" si="1"/>
        <v>Gobiomorphus cotidianus</v>
      </c>
      <c r="H55" t="str">
        <f t="shared" si="2"/>
        <v>Common_bully</v>
      </c>
      <c r="I55" t="str">
        <f t="shared" si="3"/>
        <v>Toitoi</v>
      </c>
      <c r="J55" t="str">
        <f t="shared" si="4"/>
        <v>Native</v>
      </c>
      <c r="K55" t="str">
        <f t="shared" si="5"/>
        <v>No</v>
      </c>
      <c r="O55">
        <f>647-117</f>
        <v>530</v>
      </c>
      <c r="S55">
        <v>2.5</v>
      </c>
      <c r="T55">
        <f t="shared" si="6"/>
        <v>591.47</v>
      </c>
    </row>
    <row r="56" spans="1:20" x14ac:dyDescent="0.55000000000000004">
      <c r="A56">
        <v>5</v>
      </c>
      <c r="B56" s="15" t="str">
        <f t="shared" si="0"/>
        <v>5_0</v>
      </c>
      <c r="C56" s="20">
        <v>45695.447916608799</v>
      </c>
      <c r="D56" t="s">
        <v>175</v>
      </c>
      <c r="E56">
        <v>2</v>
      </c>
      <c r="F56" t="s">
        <v>135</v>
      </c>
      <c r="G56" t="str">
        <f t="shared" si="1"/>
        <v>Gobiomorphus cotidianus</v>
      </c>
      <c r="H56" t="str">
        <f t="shared" si="2"/>
        <v>Common_bully</v>
      </c>
      <c r="I56" t="str">
        <f t="shared" si="3"/>
        <v>Toitoi</v>
      </c>
      <c r="J56" t="str">
        <f t="shared" si="4"/>
        <v>Native</v>
      </c>
      <c r="K56" t="str">
        <f t="shared" si="5"/>
        <v>No</v>
      </c>
      <c r="O56">
        <f>646-117</f>
        <v>529</v>
      </c>
      <c r="S56">
        <v>2.5</v>
      </c>
      <c r="T56">
        <f t="shared" si="6"/>
        <v>591.47</v>
      </c>
    </row>
    <row r="57" spans="1:20" x14ac:dyDescent="0.55000000000000004">
      <c r="A57">
        <v>5</v>
      </c>
      <c r="B57" s="15" t="str">
        <f t="shared" si="0"/>
        <v>5_0</v>
      </c>
      <c r="C57" s="20">
        <v>45695.447916608799</v>
      </c>
      <c r="D57" t="s">
        <v>175</v>
      </c>
      <c r="E57">
        <v>2</v>
      </c>
      <c r="F57" t="s">
        <v>135</v>
      </c>
      <c r="G57" t="str">
        <f t="shared" si="1"/>
        <v>Gobiomorphus cotidianus</v>
      </c>
      <c r="H57" t="str">
        <f t="shared" si="2"/>
        <v>Common_bully</v>
      </c>
      <c r="I57" t="str">
        <f t="shared" si="3"/>
        <v>Toitoi</v>
      </c>
      <c r="J57" t="str">
        <f t="shared" si="4"/>
        <v>Native</v>
      </c>
      <c r="K57" t="str">
        <f t="shared" si="5"/>
        <v>No</v>
      </c>
      <c r="O57">
        <f>674-117</f>
        <v>557</v>
      </c>
      <c r="S57">
        <v>2.5</v>
      </c>
      <c r="T57">
        <f t="shared" si="6"/>
        <v>591.47</v>
      </c>
    </row>
    <row r="58" spans="1:20" x14ac:dyDescent="0.55000000000000004">
      <c r="A58">
        <v>5</v>
      </c>
      <c r="B58" s="15" t="str">
        <f t="shared" si="0"/>
        <v>5_0</v>
      </c>
      <c r="C58" s="20">
        <v>45695.447916608799</v>
      </c>
      <c r="D58" t="s">
        <v>175</v>
      </c>
      <c r="E58">
        <v>2</v>
      </c>
      <c r="F58" t="s">
        <v>135</v>
      </c>
      <c r="G58" t="str">
        <f t="shared" si="1"/>
        <v>Gobiomorphus cotidianus</v>
      </c>
      <c r="H58" t="str">
        <f t="shared" si="2"/>
        <v>Common_bully</v>
      </c>
      <c r="I58" t="str">
        <f t="shared" si="3"/>
        <v>Toitoi</v>
      </c>
      <c r="J58" t="str">
        <f t="shared" si="4"/>
        <v>Native</v>
      </c>
      <c r="K58" t="str">
        <f t="shared" si="5"/>
        <v>No</v>
      </c>
      <c r="O58">
        <f>338-117</f>
        <v>221</v>
      </c>
      <c r="S58">
        <v>1</v>
      </c>
      <c r="T58">
        <f t="shared" si="6"/>
        <v>236.58799999999999</v>
      </c>
    </row>
    <row r="59" spans="1:20" x14ac:dyDescent="0.55000000000000004">
      <c r="A59">
        <v>6</v>
      </c>
      <c r="B59" s="15" t="str">
        <f t="shared" si="0"/>
        <v>6_0</v>
      </c>
      <c r="C59" s="20">
        <v>45693.513888888891</v>
      </c>
      <c r="D59" t="s">
        <v>174</v>
      </c>
      <c r="E59">
        <v>2</v>
      </c>
      <c r="F59" t="s">
        <v>135</v>
      </c>
      <c r="G59" t="str">
        <f t="shared" si="1"/>
        <v>Gobiomorphus cotidianus</v>
      </c>
      <c r="H59" t="str">
        <f t="shared" si="2"/>
        <v>Common_bully</v>
      </c>
      <c r="I59" t="str">
        <f t="shared" si="3"/>
        <v>Toitoi</v>
      </c>
      <c r="J59" t="str">
        <f t="shared" si="4"/>
        <v>Native</v>
      </c>
      <c r="K59" t="str">
        <f t="shared" si="5"/>
        <v>No</v>
      </c>
      <c r="O59">
        <f>123-117</f>
        <v>6</v>
      </c>
      <c r="T59" t="str">
        <f t="shared" si="6"/>
        <v/>
      </c>
    </row>
    <row r="60" spans="1:20" x14ac:dyDescent="0.55000000000000004">
      <c r="A60">
        <v>6</v>
      </c>
      <c r="B60" s="15" t="str">
        <f t="shared" si="0"/>
        <v>6_0</v>
      </c>
      <c r="C60" s="20">
        <v>45693.513888888891</v>
      </c>
      <c r="D60" t="s">
        <v>175</v>
      </c>
      <c r="E60">
        <v>2</v>
      </c>
      <c r="F60" t="s">
        <v>124</v>
      </c>
      <c r="G60" t="str">
        <f t="shared" si="1"/>
        <v>Carassius auratus</v>
      </c>
      <c r="H60" t="str">
        <f t="shared" si="2"/>
        <v>Goldfish</v>
      </c>
      <c r="I60" t="str">
        <f t="shared" si="3"/>
        <v>Morihana</v>
      </c>
      <c r="J60" t="str">
        <f t="shared" si="4"/>
        <v>Nonnative</v>
      </c>
      <c r="K60" t="str">
        <f t="shared" si="5"/>
        <v>No</v>
      </c>
      <c r="L60">
        <v>1</v>
      </c>
      <c r="N60">
        <v>24</v>
      </c>
      <c r="O60">
        <v>1</v>
      </c>
      <c r="T60" t="str">
        <f t="shared" si="6"/>
        <v/>
      </c>
    </row>
    <row r="61" spans="1:20" x14ac:dyDescent="0.55000000000000004">
      <c r="A61">
        <v>6</v>
      </c>
      <c r="B61" s="15" t="str">
        <f t="shared" si="0"/>
        <v>6_0</v>
      </c>
      <c r="C61" s="20">
        <v>45693.513888888891</v>
      </c>
      <c r="D61" t="s">
        <v>175</v>
      </c>
      <c r="E61">
        <v>2</v>
      </c>
      <c r="F61" t="s">
        <v>133</v>
      </c>
      <c r="G61" t="str">
        <f t="shared" si="1"/>
        <v>Retropinna retropinna</v>
      </c>
      <c r="H61" t="str">
        <f t="shared" si="2"/>
        <v>Common_smelt</v>
      </c>
      <c r="I61" t="str">
        <f t="shared" si="3"/>
        <v>Common_smelt</v>
      </c>
      <c r="J61" t="str">
        <f t="shared" si="4"/>
        <v>Native</v>
      </c>
      <c r="K61" t="str">
        <f t="shared" si="5"/>
        <v>No</v>
      </c>
      <c r="L61">
        <v>1</v>
      </c>
    </row>
    <row r="62" spans="1:20" x14ac:dyDescent="0.55000000000000004">
      <c r="A62">
        <v>6</v>
      </c>
      <c r="B62" s="15" t="str">
        <f t="shared" si="0"/>
        <v>6_0</v>
      </c>
      <c r="C62" s="20">
        <v>45693.513888888891</v>
      </c>
      <c r="D62" t="s">
        <v>175</v>
      </c>
      <c r="E62">
        <v>2</v>
      </c>
      <c r="F62" t="s">
        <v>135</v>
      </c>
      <c r="G62" t="str">
        <f t="shared" si="1"/>
        <v>Gobiomorphus cotidianus</v>
      </c>
      <c r="H62" t="str">
        <f t="shared" si="2"/>
        <v>Common_bully</v>
      </c>
      <c r="I62" t="str">
        <f t="shared" si="3"/>
        <v>Toitoi</v>
      </c>
      <c r="J62" t="str">
        <f t="shared" si="4"/>
        <v>Native</v>
      </c>
      <c r="K62" t="str">
        <f t="shared" si="5"/>
        <v>No</v>
      </c>
      <c r="L62">
        <v>100</v>
      </c>
      <c r="O62">
        <f>215-117</f>
        <v>98</v>
      </c>
      <c r="S62">
        <v>0.5</v>
      </c>
      <c r="T62">
        <f>IF(S62&lt;&gt;"", S62*236.588, "")</f>
        <v>118.294</v>
      </c>
    </row>
    <row r="63" spans="1:20" x14ac:dyDescent="0.55000000000000004">
      <c r="A63">
        <v>6</v>
      </c>
      <c r="B63" s="15" t="str">
        <f t="shared" si="0"/>
        <v>6_0</v>
      </c>
      <c r="C63" s="20">
        <v>45693.513888888891</v>
      </c>
      <c r="D63" t="s">
        <v>175</v>
      </c>
      <c r="E63">
        <v>2</v>
      </c>
      <c r="F63" t="s">
        <v>135</v>
      </c>
      <c r="G63" t="str">
        <f t="shared" si="1"/>
        <v>Gobiomorphus cotidianus</v>
      </c>
      <c r="H63" t="str">
        <f t="shared" si="2"/>
        <v>Common_bully</v>
      </c>
      <c r="I63" t="str">
        <f t="shared" si="3"/>
        <v>Toitoi</v>
      </c>
      <c r="J63" t="str">
        <f t="shared" si="4"/>
        <v>Native</v>
      </c>
      <c r="K63" t="str">
        <f t="shared" si="5"/>
        <v>No</v>
      </c>
      <c r="O63">
        <f>508-117</f>
        <v>391</v>
      </c>
      <c r="S63">
        <v>2</v>
      </c>
      <c r="T63">
        <f>IF(S63&lt;&gt;"", S63*236.588, "")</f>
        <v>473.17599999999999</v>
      </c>
    </row>
    <row r="64" spans="1:20" x14ac:dyDescent="0.55000000000000004">
      <c r="A64">
        <v>6</v>
      </c>
      <c r="B64" s="15" t="str">
        <f t="shared" si="0"/>
        <v>6_0</v>
      </c>
      <c r="C64" s="20">
        <v>45693.513888888891</v>
      </c>
      <c r="D64" t="s">
        <v>175</v>
      </c>
      <c r="E64">
        <v>2</v>
      </c>
      <c r="F64" t="s">
        <v>135</v>
      </c>
      <c r="G64" t="str">
        <f t="shared" si="1"/>
        <v>Gobiomorphus cotidianus</v>
      </c>
      <c r="H64" t="str">
        <f t="shared" si="2"/>
        <v>Common_bully</v>
      </c>
      <c r="I64" t="str">
        <f t="shared" si="3"/>
        <v>Toitoi</v>
      </c>
      <c r="J64" t="str">
        <f t="shared" si="4"/>
        <v>Native</v>
      </c>
      <c r="K64" t="str">
        <f t="shared" si="5"/>
        <v>No</v>
      </c>
      <c r="O64">
        <f>275-117</f>
        <v>158</v>
      </c>
      <c r="S64">
        <v>0.75</v>
      </c>
      <c r="T64">
        <f>IF(S64&lt;&gt;"", S64*236.588, "")</f>
        <v>177.441</v>
      </c>
    </row>
    <row r="65" spans="1:20" x14ac:dyDescent="0.55000000000000004">
      <c r="A65">
        <v>6</v>
      </c>
      <c r="B65" s="15" t="str">
        <f t="shared" si="0"/>
        <v>6_0</v>
      </c>
      <c r="C65" s="20">
        <v>45695.477083333331</v>
      </c>
      <c r="D65" t="s">
        <v>174</v>
      </c>
      <c r="E65">
        <v>2</v>
      </c>
      <c r="F65" t="s">
        <v>135</v>
      </c>
      <c r="G65" t="str">
        <f t="shared" si="1"/>
        <v>Gobiomorphus cotidianus</v>
      </c>
      <c r="H65" t="str">
        <f t="shared" si="2"/>
        <v>Common_bully</v>
      </c>
      <c r="I65" t="str">
        <f t="shared" si="3"/>
        <v>Toitoi</v>
      </c>
      <c r="J65" t="str">
        <f t="shared" si="4"/>
        <v>Native</v>
      </c>
      <c r="K65" t="str">
        <f t="shared" si="5"/>
        <v>No</v>
      </c>
      <c r="L65">
        <v>5</v>
      </c>
      <c r="T65" t="str">
        <f t="shared" si="6"/>
        <v/>
      </c>
    </row>
    <row r="66" spans="1:20" x14ac:dyDescent="0.55000000000000004">
      <c r="A66">
        <v>6</v>
      </c>
      <c r="B66" s="15" t="str">
        <f t="shared" ref="B66:B129" si="7">A66 &amp; "_0"</f>
        <v>6_0</v>
      </c>
      <c r="C66" s="20">
        <v>45695.477083333331</v>
      </c>
      <c r="D66" t="s">
        <v>175</v>
      </c>
      <c r="E66">
        <v>2</v>
      </c>
      <c r="F66" t="s">
        <v>135</v>
      </c>
      <c r="G66" t="str">
        <f t="shared" ref="G66:G129" si="8">VLOOKUP($F66, $W$1:$AB$10, 2, FALSE)</f>
        <v>Gobiomorphus cotidianus</v>
      </c>
      <c r="H66" t="str">
        <f t="shared" ref="H66:H129" si="9">VLOOKUP($F66, $W$1:$AB$10, 3, FALSE)</f>
        <v>Common_bully</v>
      </c>
      <c r="I66" t="str">
        <f t="shared" ref="I66:I129" si="10">VLOOKUP($F66, $W$1:$AB$10, 4, FALSE)</f>
        <v>Toitoi</v>
      </c>
      <c r="J66" t="str">
        <f t="shared" ref="J66:J129" si="11">VLOOKUP($F66, $W$1:$AC$10, 5, FALSE)</f>
        <v>Native</v>
      </c>
      <c r="K66" t="str">
        <f t="shared" ref="K66:K129" si="12">VLOOKUP($F66, $W$1:$AB$10, 6, FALSE)</f>
        <v>No</v>
      </c>
      <c r="O66">
        <f>302-117</f>
        <v>185</v>
      </c>
      <c r="S66">
        <v>1</v>
      </c>
      <c r="T66">
        <f t="shared" si="6"/>
        <v>236.58799999999999</v>
      </c>
    </row>
    <row r="67" spans="1:20" x14ac:dyDescent="0.55000000000000004">
      <c r="A67">
        <v>6</v>
      </c>
      <c r="B67" s="15" t="str">
        <f t="shared" si="7"/>
        <v>6_0</v>
      </c>
      <c r="C67" s="20">
        <v>45695.477083275466</v>
      </c>
      <c r="D67" t="s">
        <v>175</v>
      </c>
      <c r="E67">
        <v>2</v>
      </c>
      <c r="F67" t="s">
        <v>135</v>
      </c>
      <c r="G67" t="str">
        <f t="shared" si="8"/>
        <v>Gobiomorphus cotidianus</v>
      </c>
      <c r="H67" t="str">
        <f t="shared" si="9"/>
        <v>Common_bully</v>
      </c>
      <c r="I67" t="str">
        <f t="shared" si="10"/>
        <v>Toitoi</v>
      </c>
      <c r="J67" t="str">
        <f t="shared" si="11"/>
        <v>Native</v>
      </c>
      <c r="K67" t="str">
        <f t="shared" si="12"/>
        <v>No</v>
      </c>
      <c r="O67">
        <f>321-117</f>
        <v>204</v>
      </c>
      <c r="S67">
        <v>2.5</v>
      </c>
      <c r="T67">
        <f t="shared" si="6"/>
        <v>591.47</v>
      </c>
    </row>
    <row r="68" spans="1:20" x14ac:dyDescent="0.55000000000000004">
      <c r="A68">
        <v>6</v>
      </c>
      <c r="B68" s="15" t="str">
        <f t="shared" si="7"/>
        <v>6_0</v>
      </c>
      <c r="C68" s="20">
        <v>45695.477083275466</v>
      </c>
      <c r="D68" t="s">
        <v>175</v>
      </c>
      <c r="E68">
        <v>2</v>
      </c>
      <c r="F68" t="s">
        <v>135</v>
      </c>
      <c r="G68" t="str">
        <f t="shared" si="8"/>
        <v>Gobiomorphus cotidianus</v>
      </c>
      <c r="H68" t="str">
        <f t="shared" si="9"/>
        <v>Common_bully</v>
      </c>
      <c r="I68" t="str">
        <f t="shared" si="10"/>
        <v>Toitoi</v>
      </c>
      <c r="J68" t="str">
        <f t="shared" si="11"/>
        <v>Native</v>
      </c>
      <c r="K68" t="str">
        <f t="shared" si="12"/>
        <v>No</v>
      </c>
      <c r="O68">
        <f>698-117</f>
        <v>581</v>
      </c>
      <c r="S68">
        <v>2.5</v>
      </c>
      <c r="T68">
        <f t="shared" ref="T68:T130" si="13">IF(S68&lt;&gt;"", S68*236.588, "")</f>
        <v>591.47</v>
      </c>
    </row>
    <row r="69" spans="1:20" x14ac:dyDescent="0.55000000000000004">
      <c r="A69">
        <v>6</v>
      </c>
      <c r="B69" s="15" t="str">
        <f t="shared" si="7"/>
        <v>6_0</v>
      </c>
      <c r="C69" s="20">
        <v>45695.477083275466</v>
      </c>
      <c r="D69" t="s">
        <v>175</v>
      </c>
      <c r="E69">
        <v>2</v>
      </c>
      <c r="F69" t="s">
        <v>135</v>
      </c>
      <c r="G69" t="str">
        <f t="shared" si="8"/>
        <v>Gobiomorphus cotidianus</v>
      </c>
      <c r="H69" t="str">
        <f t="shared" si="9"/>
        <v>Common_bully</v>
      </c>
      <c r="I69" t="str">
        <f t="shared" si="10"/>
        <v>Toitoi</v>
      </c>
      <c r="J69" t="str">
        <f t="shared" si="11"/>
        <v>Native</v>
      </c>
      <c r="K69" t="str">
        <f t="shared" si="12"/>
        <v>No</v>
      </c>
      <c r="O69">
        <f>636-117</f>
        <v>519</v>
      </c>
      <c r="S69">
        <v>2.5</v>
      </c>
      <c r="T69">
        <f t="shared" si="13"/>
        <v>591.47</v>
      </c>
    </row>
    <row r="70" spans="1:20" x14ac:dyDescent="0.55000000000000004">
      <c r="A70">
        <v>6</v>
      </c>
      <c r="B70" s="15" t="str">
        <f t="shared" si="7"/>
        <v>6_0</v>
      </c>
      <c r="C70" s="20">
        <v>45695.477083275466</v>
      </c>
      <c r="D70" t="s">
        <v>175</v>
      </c>
      <c r="E70">
        <v>2</v>
      </c>
      <c r="F70" t="s">
        <v>135</v>
      </c>
      <c r="G70" t="str">
        <f t="shared" si="8"/>
        <v>Gobiomorphus cotidianus</v>
      </c>
      <c r="H70" t="str">
        <f t="shared" si="9"/>
        <v>Common_bully</v>
      </c>
      <c r="I70" t="str">
        <f t="shared" si="10"/>
        <v>Toitoi</v>
      </c>
      <c r="J70" t="str">
        <f t="shared" si="11"/>
        <v>Native</v>
      </c>
      <c r="K70" t="str">
        <f t="shared" si="12"/>
        <v>No</v>
      </c>
      <c r="O70">
        <f>182-117</f>
        <v>65</v>
      </c>
      <c r="S70">
        <v>0.25</v>
      </c>
      <c r="T70">
        <f t="shared" si="13"/>
        <v>59.146999999999998</v>
      </c>
    </row>
    <row r="71" spans="1:20" x14ac:dyDescent="0.55000000000000004">
      <c r="A71">
        <v>7</v>
      </c>
      <c r="B71" s="15" t="str">
        <f t="shared" si="7"/>
        <v>7_0</v>
      </c>
      <c r="C71" s="20">
        <v>45693.476388888892</v>
      </c>
      <c r="D71" t="s">
        <v>174</v>
      </c>
      <c r="E71">
        <v>2</v>
      </c>
      <c r="F71" t="s">
        <v>135</v>
      </c>
      <c r="G71" t="str">
        <f t="shared" si="8"/>
        <v>Gobiomorphus cotidianus</v>
      </c>
      <c r="H71" t="str">
        <f t="shared" si="9"/>
        <v>Common_bully</v>
      </c>
      <c r="I71" t="str">
        <f t="shared" si="10"/>
        <v>Toitoi</v>
      </c>
      <c r="J71" t="str">
        <f t="shared" si="11"/>
        <v>Native</v>
      </c>
      <c r="K71" t="str">
        <f t="shared" si="12"/>
        <v>No</v>
      </c>
      <c r="L71">
        <v>9</v>
      </c>
      <c r="O71">
        <f>123-117</f>
        <v>6</v>
      </c>
      <c r="T71" t="str">
        <f t="shared" si="13"/>
        <v/>
      </c>
    </row>
    <row r="72" spans="1:20" x14ac:dyDescent="0.55000000000000004">
      <c r="A72">
        <v>7</v>
      </c>
      <c r="B72" s="15" t="str">
        <f t="shared" si="7"/>
        <v>7_0</v>
      </c>
      <c r="C72" s="20">
        <v>45693.476388888892</v>
      </c>
      <c r="D72" t="s">
        <v>174</v>
      </c>
      <c r="E72">
        <v>2</v>
      </c>
      <c r="F72" t="s">
        <v>133</v>
      </c>
      <c r="G72" t="str">
        <f t="shared" si="8"/>
        <v>Retropinna retropinna</v>
      </c>
      <c r="H72" t="str">
        <f t="shared" si="9"/>
        <v>Common_smelt</v>
      </c>
      <c r="I72" t="str">
        <f t="shared" si="10"/>
        <v>Common_smelt</v>
      </c>
      <c r="J72" t="str">
        <f t="shared" si="11"/>
        <v>Native</v>
      </c>
      <c r="K72" t="str">
        <f t="shared" si="12"/>
        <v>No</v>
      </c>
      <c r="L72">
        <v>1</v>
      </c>
      <c r="T72" t="str">
        <f t="shared" si="13"/>
        <v/>
      </c>
    </row>
    <row r="73" spans="1:20" x14ac:dyDescent="0.55000000000000004">
      <c r="A73">
        <v>7</v>
      </c>
      <c r="B73" s="15" t="str">
        <f t="shared" si="7"/>
        <v>7_0</v>
      </c>
      <c r="C73" s="20">
        <v>45693.476388888892</v>
      </c>
      <c r="D73" t="s">
        <v>175</v>
      </c>
      <c r="E73">
        <v>2</v>
      </c>
      <c r="F73" t="s">
        <v>135</v>
      </c>
      <c r="G73" t="str">
        <f t="shared" si="8"/>
        <v>Gobiomorphus cotidianus</v>
      </c>
      <c r="H73" t="str">
        <f t="shared" si="9"/>
        <v>Common_bully</v>
      </c>
      <c r="I73" t="str">
        <f t="shared" si="10"/>
        <v>Toitoi</v>
      </c>
      <c r="J73" t="str">
        <f t="shared" si="11"/>
        <v>Native</v>
      </c>
      <c r="K73" t="str">
        <f t="shared" si="12"/>
        <v>No</v>
      </c>
      <c r="L73">
        <v>100</v>
      </c>
      <c r="O73">
        <f>214-117</f>
        <v>97</v>
      </c>
      <c r="S73">
        <v>0.5</v>
      </c>
      <c r="T73">
        <f t="shared" si="13"/>
        <v>118.294</v>
      </c>
    </row>
    <row r="74" spans="1:20" x14ac:dyDescent="0.55000000000000004">
      <c r="A74">
        <v>7</v>
      </c>
      <c r="B74" s="15" t="str">
        <f t="shared" si="7"/>
        <v>7_0</v>
      </c>
      <c r="C74" s="20">
        <v>45693.476388888892</v>
      </c>
      <c r="D74" t="s">
        <v>175</v>
      </c>
      <c r="E74">
        <v>2</v>
      </c>
      <c r="F74" t="s">
        <v>135</v>
      </c>
      <c r="G74" t="str">
        <f t="shared" si="8"/>
        <v>Gobiomorphus cotidianus</v>
      </c>
      <c r="H74" t="str">
        <f t="shared" si="9"/>
        <v>Common_bully</v>
      </c>
      <c r="I74" t="str">
        <f t="shared" si="10"/>
        <v>Toitoi</v>
      </c>
      <c r="J74" t="str">
        <f t="shared" si="11"/>
        <v>Native</v>
      </c>
      <c r="K74" t="str">
        <f t="shared" si="12"/>
        <v>No</v>
      </c>
      <c r="O74">
        <f>661-117</f>
        <v>544</v>
      </c>
      <c r="S74">
        <v>2.5</v>
      </c>
      <c r="T74">
        <f t="shared" si="13"/>
        <v>591.47</v>
      </c>
    </row>
    <row r="75" spans="1:20" x14ac:dyDescent="0.55000000000000004">
      <c r="A75">
        <v>7</v>
      </c>
      <c r="B75" s="15" t="str">
        <f t="shared" si="7"/>
        <v>7_0</v>
      </c>
      <c r="C75" s="20">
        <v>45693.476388888892</v>
      </c>
      <c r="D75" t="s">
        <v>175</v>
      </c>
      <c r="E75">
        <v>2</v>
      </c>
      <c r="F75" t="s">
        <v>135</v>
      </c>
      <c r="G75" t="str">
        <f t="shared" si="8"/>
        <v>Gobiomorphus cotidianus</v>
      </c>
      <c r="H75" t="str">
        <f t="shared" si="9"/>
        <v>Common_bully</v>
      </c>
      <c r="I75" t="str">
        <f t="shared" si="10"/>
        <v>Toitoi</v>
      </c>
      <c r="J75" t="str">
        <f t="shared" si="11"/>
        <v>Native</v>
      </c>
      <c r="K75" t="str">
        <f t="shared" si="12"/>
        <v>No</v>
      </c>
      <c r="O75">
        <f>682-117</f>
        <v>565</v>
      </c>
      <c r="S75">
        <v>2.5</v>
      </c>
      <c r="T75">
        <f t="shared" si="13"/>
        <v>591.47</v>
      </c>
    </row>
    <row r="76" spans="1:20" x14ac:dyDescent="0.55000000000000004">
      <c r="A76">
        <v>7</v>
      </c>
      <c r="B76" s="15" t="str">
        <f t="shared" si="7"/>
        <v>7_0</v>
      </c>
      <c r="C76" s="20">
        <v>45693.476388888892</v>
      </c>
      <c r="D76" t="s">
        <v>175</v>
      </c>
      <c r="E76">
        <v>2</v>
      </c>
      <c r="F76" t="s">
        <v>135</v>
      </c>
      <c r="G76" t="str">
        <f t="shared" si="8"/>
        <v>Gobiomorphus cotidianus</v>
      </c>
      <c r="H76" t="str">
        <f t="shared" si="9"/>
        <v>Common_bully</v>
      </c>
      <c r="I76" t="str">
        <f t="shared" si="10"/>
        <v>Toitoi</v>
      </c>
      <c r="J76" t="str">
        <f t="shared" si="11"/>
        <v>Native</v>
      </c>
      <c r="K76" t="str">
        <f t="shared" si="12"/>
        <v>No</v>
      </c>
      <c r="O76">
        <f>417-117</f>
        <v>300</v>
      </c>
      <c r="S76">
        <v>1.5</v>
      </c>
      <c r="T76">
        <f t="shared" si="13"/>
        <v>354.88200000000001</v>
      </c>
    </row>
    <row r="77" spans="1:20" x14ac:dyDescent="0.55000000000000004">
      <c r="A77">
        <v>7</v>
      </c>
      <c r="B77" s="15" t="str">
        <f t="shared" si="7"/>
        <v>7_0</v>
      </c>
      <c r="C77" s="20">
        <v>45693.476388888892</v>
      </c>
      <c r="D77" t="s">
        <v>175</v>
      </c>
      <c r="E77">
        <v>2</v>
      </c>
      <c r="F77" t="s">
        <v>124</v>
      </c>
      <c r="G77" t="str">
        <f t="shared" si="8"/>
        <v>Carassius auratus</v>
      </c>
      <c r="H77" t="str">
        <f t="shared" si="9"/>
        <v>Goldfish</v>
      </c>
      <c r="I77" t="str">
        <f t="shared" si="10"/>
        <v>Morihana</v>
      </c>
      <c r="J77" t="str">
        <f t="shared" si="11"/>
        <v>Nonnative</v>
      </c>
      <c r="K77" t="str">
        <f t="shared" si="12"/>
        <v>No</v>
      </c>
      <c r="L77">
        <v>1</v>
      </c>
      <c r="N77">
        <v>142</v>
      </c>
      <c r="O77">
        <v>70</v>
      </c>
      <c r="T77" t="str">
        <f t="shared" si="13"/>
        <v/>
      </c>
    </row>
    <row r="78" spans="1:20" x14ac:dyDescent="0.55000000000000004">
      <c r="A78">
        <v>7</v>
      </c>
      <c r="B78" s="15" t="str">
        <f t="shared" si="7"/>
        <v>7_0</v>
      </c>
      <c r="C78" s="20">
        <v>45693.476388888892</v>
      </c>
      <c r="D78" t="s">
        <v>175</v>
      </c>
      <c r="E78">
        <v>2</v>
      </c>
      <c r="F78" t="s">
        <v>124</v>
      </c>
      <c r="G78" t="str">
        <f t="shared" si="8"/>
        <v>Carassius auratus</v>
      </c>
      <c r="H78" t="str">
        <f t="shared" si="9"/>
        <v>Goldfish</v>
      </c>
      <c r="I78" t="str">
        <f t="shared" si="10"/>
        <v>Morihana</v>
      </c>
      <c r="J78" t="str">
        <f t="shared" si="11"/>
        <v>Nonnative</v>
      </c>
      <c r="K78" t="str">
        <f t="shared" si="12"/>
        <v>No</v>
      </c>
      <c r="L78">
        <v>1</v>
      </c>
      <c r="N78">
        <v>185</v>
      </c>
      <c r="O78">
        <v>154</v>
      </c>
      <c r="T78" t="str">
        <f t="shared" si="13"/>
        <v/>
      </c>
    </row>
    <row r="79" spans="1:20" x14ac:dyDescent="0.55000000000000004">
      <c r="A79">
        <v>7</v>
      </c>
      <c r="B79" s="15" t="str">
        <f t="shared" si="7"/>
        <v>7_0</v>
      </c>
      <c r="C79" s="20">
        <v>45693.476388888892</v>
      </c>
      <c r="D79" t="s">
        <v>175</v>
      </c>
      <c r="E79">
        <v>2</v>
      </c>
      <c r="F79" t="s">
        <v>124</v>
      </c>
      <c r="G79" t="str">
        <f t="shared" si="8"/>
        <v>Carassius auratus</v>
      </c>
      <c r="H79" t="str">
        <f t="shared" si="9"/>
        <v>Goldfish</v>
      </c>
      <c r="I79" t="str">
        <f t="shared" si="10"/>
        <v>Morihana</v>
      </c>
      <c r="J79" t="str">
        <f t="shared" si="11"/>
        <v>Nonnative</v>
      </c>
      <c r="K79" t="str">
        <f t="shared" si="12"/>
        <v>No</v>
      </c>
      <c r="L79">
        <v>1</v>
      </c>
      <c r="N79">
        <v>152</v>
      </c>
      <c r="O79">
        <v>77</v>
      </c>
      <c r="T79" t="str">
        <f t="shared" si="13"/>
        <v/>
      </c>
    </row>
    <row r="80" spans="1:20" x14ac:dyDescent="0.55000000000000004">
      <c r="A80">
        <v>7</v>
      </c>
      <c r="B80" s="15" t="str">
        <f t="shared" si="7"/>
        <v>7_0</v>
      </c>
      <c r="C80" s="20">
        <v>45693.476388888892</v>
      </c>
      <c r="D80" t="s">
        <v>175</v>
      </c>
      <c r="E80">
        <v>2</v>
      </c>
      <c r="F80" t="s">
        <v>124</v>
      </c>
      <c r="G80" t="str">
        <f t="shared" si="8"/>
        <v>Carassius auratus</v>
      </c>
      <c r="H80" t="str">
        <f t="shared" si="9"/>
        <v>Goldfish</v>
      </c>
      <c r="I80" t="str">
        <f t="shared" si="10"/>
        <v>Morihana</v>
      </c>
      <c r="J80" t="str">
        <f t="shared" si="11"/>
        <v>Nonnative</v>
      </c>
      <c r="K80" t="str">
        <f t="shared" si="12"/>
        <v>No</v>
      </c>
      <c r="L80">
        <v>1</v>
      </c>
      <c r="N80">
        <v>121</v>
      </c>
      <c r="O80">
        <v>51</v>
      </c>
      <c r="T80" t="str">
        <f t="shared" si="13"/>
        <v/>
      </c>
    </row>
    <row r="81" spans="1:20" x14ac:dyDescent="0.55000000000000004">
      <c r="A81">
        <v>7</v>
      </c>
      <c r="B81" s="15" t="str">
        <f t="shared" si="7"/>
        <v>7_0</v>
      </c>
      <c r="C81" s="20">
        <v>45693.476388888892</v>
      </c>
      <c r="D81" t="s">
        <v>175</v>
      </c>
      <c r="E81">
        <v>2</v>
      </c>
      <c r="F81" t="s">
        <v>115</v>
      </c>
      <c r="G81" t="str">
        <f t="shared" si="8"/>
        <v>Paranephrops planifrons</v>
      </c>
      <c r="H81" t="str">
        <f t="shared" si="9"/>
        <v>Freshwater_crayfish</v>
      </c>
      <c r="I81" t="str">
        <f t="shared" si="10"/>
        <v>Kōura</v>
      </c>
      <c r="J81" t="str">
        <f t="shared" si="11"/>
        <v>Native</v>
      </c>
      <c r="K81" t="str">
        <f t="shared" si="12"/>
        <v>Yes</v>
      </c>
      <c r="L81">
        <v>1</v>
      </c>
      <c r="M81" t="s">
        <v>176</v>
      </c>
      <c r="N81">
        <v>41.11</v>
      </c>
      <c r="O81">
        <v>44</v>
      </c>
      <c r="T81" t="str">
        <f t="shared" si="13"/>
        <v/>
      </c>
    </row>
    <row r="82" spans="1:20" x14ac:dyDescent="0.55000000000000004">
      <c r="A82">
        <v>7</v>
      </c>
      <c r="B82" s="15" t="str">
        <f t="shared" si="7"/>
        <v>7_0</v>
      </c>
      <c r="C82" s="20">
        <v>45693.476388888892</v>
      </c>
      <c r="D82" t="s">
        <v>175</v>
      </c>
      <c r="E82">
        <v>2</v>
      </c>
      <c r="F82" t="s">
        <v>115</v>
      </c>
      <c r="G82" t="str">
        <f t="shared" si="8"/>
        <v>Paranephrops planifrons</v>
      </c>
      <c r="H82" t="str">
        <f t="shared" si="9"/>
        <v>Freshwater_crayfish</v>
      </c>
      <c r="I82" t="str">
        <f t="shared" si="10"/>
        <v>Kōura</v>
      </c>
      <c r="J82" t="str">
        <f t="shared" si="11"/>
        <v>Native</v>
      </c>
      <c r="K82" t="str">
        <f t="shared" si="12"/>
        <v>Yes</v>
      </c>
      <c r="L82">
        <v>1</v>
      </c>
      <c r="M82" t="s">
        <v>176</v>
      </c>
      <c r="N82">
        <v>47</v>
      </c>
      <c r="O82">
        <v>66</v>
      </c>
      <c r="T82" t="str">
        <f t="shared" si="13"/>
        <v/>
      </c>
    </row>
    <row r="83" spans="1:20" x14ac:dyDescent="0.55000000000000004">
      <c r="A83">
        <v>7</v>
      </c>
      <c r="B83" s="15" t="str">
        <f t="shared" si="7"/>
        <v>7_0</v>
      </c>
      <c r="C83" s="20">
        <v>45693.476388888892</v>
      </c>
      <c r="D83" t="s">
        <v>175</v>
      </c>
      <c r="E83">
        <v>2</v>
      </c>
      <c r="F83" t="s">
        <v>124</v>
      </c>
      <c r="G83" t="str">
        <f t="shared" si="8"/>
        <v>Carassius auratus</v>
      </c>
      <c r="H83" t="str">
        <f t="shared" si="9"/>
        <v>Goldfish</v>
      </c>
      <c r="I83" t="str">
        <f t="shared" si="10"/>
        <v>Morihana</v>
      </c>
      <c r="J83" t="str">
        <f t="shared" si="11"/>
        <v>Nonnative</v>
      </c>
      <c r="K83" t="str">
        <f t="shared" si="12"/>
        <v>No</v>
      </c>
      <c r="L83">
        <v>1</v>
      </c>
      <c r="N83">
        <v>86</v>
      </c>
      <c r="T83" t="str">
        <f t="shared" si="13"/>
        <v/>
      </c>
    </row>
    <row r="84" spans="1:20" x14ac:dyDescent="0.55000000000000004">
      <c r="A84">
        <v>7</v>
      </c>
      <c r="B84" s="15" t="str">
        <f t="shared" si="7"/>
        <v>7_0</v>
      </c>
      <c r="C84" s="20">
        <v>45693.476388888892</v>
      </c>
      <c r="D84" t="s">
        <v>175</v>
      </c>
      <c r="E84">
        <v>2</v>
      </c>
      <c r="F84" t="s">
        <v>120</v>
      </c>
      <c r="G84" t="str">
        <f t="shared" si="8"/>
        <v>Ameiurus nebulosus</v>
      </c>
      <c r="H84" t="str">
        <f t="shared" si="9"/>
        <v>Catfish</v>
      </c>
      <c r="I84" t="str">
        <f t="shared" si="10"/>
        <v>Catfish</v>
      </c>
      <c r="J84" t="str">
        <f t="shared" si="11"/>
        <v>Nonnative</v>
      </c>
      <c r="K84" t="str">
        <f t="shared" si="12"/>
        <v>No</v>
      </c>
      <c r="L84">
        <v>1</v>
      </c>
      <c r="N84">
        <v>59</v>
      </c>
      <c r="O84">
        <v>3</v>
      </c>
    </row>
    <row r="85" spans="1:20" x14ac:dyDescent="0.55000000000000004">
      <c r="A85">
        <v>7</v>
      </c>
      <c r="B85" s="15" t="str">
        <f t="shared" si="7"/>
        <v>7_0</v>
      </c>
      <c r="C85" s="20">
        <v>45693.476388888892</v>
      </c>
      <c r="D85" t="s">
        <v>175</v>
      </c>
      <c r="E85">
        <v>2</v>
      </c>
      <c r="F85" t="s">
        <v>135</v>
      </c>
      <c r="G85" t="str">
        <f t="shared" si="8"/>
        <v>Gobiomorphus cotidianus</v>
      </c>
      <c r="H85" t="str">
        <f t="shared" si="9"/>
        <v>Common_bully</v>
      </c>
      <c r="I85" t="str">
        <f t="shared" si="10"/>
        <v>Toitoi</v>
      </c>
      <c r="J85" t="str">
        <f t="shared" si="11"/>
        <v>Native</v>
      </c>
      <c r="K85" t="str">
        <f t="shared" si="12"/>
        <v>No</v>
      </c>
      <c r="O85">
        <v>483</v>
      </c>
      <c r="S85">
        <v>2.5</v>
      </c>
      <c r="T85">
        <f>IF(S85&lt;&gt;"", S85*236.588, "")</f>
        <v>591.47</v>
      </c>
    </row>
    <row r="86" spans="1:20" x14ac:dyDescent="0.55000000000000004">
      <c r="A86">
        <v>7</v>
      </c>
      <c r="B86" s="15" t="str">
        <f t="shared" si="7"/>
        <v>7_0</v>
      </c>
      <c r="C86" s="20">
        <v>45693.476388888892</v>
      </c>
      <c r="D86" t="s">
        <v>175</v>
      </c>
      <c r="E86">
        <v>2</v>
      </c>
      <c r="F86" t="s">
        <v>135</v>
      </c>
      <c r="G86" t="str">
        <f t="shared" si="8"/>
        <v>Gobiomorphus cotidianus</v>
      </c>
      <c r="H86" t="str">
        <f t="shared" si="9"/>
        <v>Common_bully</v>
      </c>
      <c r="I86" t="str">
        <f t="shared" si="10"/>
        <v>Toitoi</v>
      </c>
      <c r="J86" t="str">
        <f t="shared" si="11"/>
        <v>Native</v>
      </c>
      <c r="K86" t="str">
        <f t="shared" si="12"/>
        <v>No</v>
      </c>
      <c r="O86">
        <v>187</v>
      </c>
      <c r="S86">
        <v>1</v>
      </c>
      <c r="T86">
        <f>IF(S86&lt;&gt;"", S86*236.588, "")</f>
        <v>236.58799999999999</v>
      </c>
    </row>
    <row r="87" spans="1:20" x14ac:dyDescent="0.55000000000000004">
      <c r="A87">
        <v>8</v>
      </c>
      <c r="B87" s="15" t="str">
        <f t="shared" si="7"/>
        <v>8_0</v>
      </c>
      <c r="C87" s="20">
        <v>45693.445833333331</v>
      </c>
      <c r="D87" t="s">
        <v>174</v>
      </c>
      <c r="E87">
        <v>2</v>
      </c>
      <c r="F87" t="s">
        <v>135</v>
      </c>
      <c r="G87" t="str">
        <f t="shared" si="8"/>
        <v>Gobiomorphus cotidianus</v>
      </c>
      <c r="H87" t="str">
        <f t="shared" si="9"/>
        <v>Common_bully</v>
      </c>
      <c r="I87" t="str">
        <f t="shared" si="10"/>
        <v>Toitoi</v>
      </c>
      <c r="J87" t="str">
        <f t="shared" si="11"/>
        <v>Native</v>
      </c>
      <c r="K87" t="str">
        <f t="shared" si="12"/>
        <v>No</v>
      </c>
      <c r="L87">
        <v>19</v>
      </c>
      <c r="O87">
        <v>29</v>
      </c>
      <c r="T87" t="str">
        <f t="shared" si="13"/>
        <v/>
      </c>
    </row>
    <row r="88" spans="1:20" x14ac:dyDescent="0.55000000000000004">
      <c r="A88">
        <v>8</v>
      </c>
      <c r="B88" s="15" t="str">
        <f t="shared" si="7"/>
        <v>8_0</v>
      </c>
      <c r="C88" s="20">
        <v>45693.445833333331</v>
      </c>
      <c r="D88" t="s">
        <v>175</v>
      </c>
      <c r="E88">
        <v>2</v>
      </c>
      <c r="F88" t="s">
        <v>124</v>
      </c>
      <c r="G88" t="str">
        <f t="shared" si="8"/>
        <v>Carassius auratus</v>
      </c>
      <c r="H88" t="str">
        <f t="shared" si="9"/>
        <v>Goldfish</v>
      </c>
      <c r="I88" t="str">
        <f t="shared" si="10"/>
        <v>Morihana</v>
      </c>
      <c r="J88" t="str">
        <f t="shared" si="11"/>
        <v>Nonnative</v>
      </c>
      <c r="K88" t="str">
        <f t="shared" si="12"/>
        <v>No</v>
      </c>
      <c r="L88">
        <v>1</v>
      </c>
      <c r="N88">
        <v>138</v>
      </c>
      <c r="O88">
        <v>66</v>
      </c>
      <c r="T88" t="str">
        <f t="shared" si="13"/>
        <v/>
      </c>
    </row>
    <row r="89" spans="1:20" x14ac:dyDescent="0.55000000000000004">
      <c r="A89">
        <v>8</v>
      </c>
      <c r="B89" s="15" t="str">
        <f t="shared" si="7"/>
        <v>8_0</v>
      </c>
      <c r="C89" s="20">
        <v>45693.445833333331</v>
      </c>
      <c r="D89" t="s">
        <v>175</v>
      </c>
      <c r="E89">
        <v>2</v>
      </c>
      <c r="F89" t="s">
        <v>120</v>
      </c>
      <c r="G89" t="str">
        <f t="shared" si="8"/>
        <v>Ameiurus nebulosus</v>
      </c>
      <c r="H89" t="str">
        <f t="shared" si="9"/>
        <v>Catfish</v>
      </c>
      <c r="I89" t="str">
        <f t="shared" si="10"/>
        <v>Catfish</v>
      </c>
      <c r="J89" t="str">
        <f t="shared" si="11"/>
        <v>Nonnative</v>
      </c>
      <c r="K89" t="str">
        <f t="shared" si="12"/>
        <v>No</v>
      </c>
      <c r="L89">
        <v>1</v>
      </c>
      <c r="N89">
        <v>104</v>
      </c>
      <c r="O89">
        <v>15</v>
      </c>
      <c r="T89" t="str">
        <f t="shared" si="13"/>
        <v/>
      </c>
    </row>
    <row r="90" spans="1:20" x14ac:dyDescent="0.55000000000000004">
      <c r="A90">
        <v>8</v>
      </c>
      <c r="B90" s="15" t="str">
        <f t="shared" si="7"/>
        <v>8_0</v>
      </c>
      <c r="C90" s="20">
        <v>45693.445833275466</v>
      </c>
      <c r="D90" t="s">
        <v>175</v>
      </c>
      <c r="E90">
        <v>2</v>
      </c>
      <c r="F90" t="s">
        <v>135</v>
      </c>
      <c r="G90" t="str">
        <f t="shared" si="8"/>
        <v>Gobiomorphus cotidianus</v>
      </c>
      <c r="H90" t="str">
        <f t="shared" si="9"/>
        <v>Common_bully</v>
      </c>
      <c r="I90" t="str">
        <f t="shared" si="10"/>
        <v>Toitoi</v>
      </c>
      <c r="J90" t="str">
        <f t="shared" si="11"/>
        <v>Native</v>
      </c>
      <c r="K90" t="str">
        <f t="shared" si="12"/>
        <v>No</v>
      </c>
      <c r="L90">
        <v>100</v>
      </c>
      <c r="O90">
        <f>255-117</f>
        <v>138</v>
      </c>
      <c r="S90">
        <v>0.75</v>
      </c>
      <c r="T90">
        <f t="shared" si="13"/>
        <v>177.441</v>
      </c>
    </row>
    <row r="91" spans="1:20" x14ac:dyDescent="0.55000000000000004">
      <c r="A91">
        <v>8</v>
      </c>
      <c r="B91" s="15" t="str">
        <f t="shared" si="7"/>
        <v>8_0</v>
      </c>
      <c r="C91" s="20">
        <v>45693.445833275466</v>
      </c>
      <c r="D91" t="s">
        <v>175</v>
      </c>
      <c r="E91">
        <v>2</v>
      </c>
      <c r="F91" t="s">
        <v>135</v>
      </c>
      <c r="G91" t="str">
        <f t="shared" si="8"/>
        <v>Gobiomorphus cotidianus</v>
      </c>
      <c r="H91" t="str">
        <f t="shared" si="9"/>
        <v>Common_bully</v>
      </c>
      <c r="I91" t="str">
        <f t="shared" si="10"/>
        <v>Toitoi</v>
      </c>
      <c r="J91" t="str">
        <f t="shared" si="11"/>
        <v>Native</v>
      </c>
      <c r="K91" t="str">
        <f t="shared" si="12"/>
        <v>No</v>
      </c>
      <c r="O91">
        <f>660-117</f>
        <v>543</v>
      </c>
      <c r="S91">
        <v>2.5</v>
      </c>
      <c r="T91">
        <f t="shared" si="13"/>
        <v>591.47</v>
      </c>
    </row>
    <row r="92" spans="1:20" x14ac:dyDescent="0.55000000000000004">
      <c r="A92">
        <v>8</v>
      </c>
      <c r="B92" s="15" t="str">
        <f t="shared" si="7"/>
        <v>8_0</v>
      </c>
      <c r="C92" s="20">
        <v>45693.445833275466</v>
      </c>
      <c r="D92" t="s">
        <v>175</v>
      </c>
      <c r="E92">
        <v>2</v>
      </c>
      <c r="F92" t="s">
        <v>135</v>
      </c>
      <c r="G92" t="str">
        <f t="shared" si="8"/>
        <v>Gobiomorphus cotidianus</v>
      </c>
      <c r="H92" t="str">
        <f t="shared" si="9"/>
        <v>Common_bully</v>
      </c>
      <c r="I92" t="str">
        <f t="shared" si="10"/>
        <v>Toitoi</v>
      </c>
      <c r="J92" t="str">
        <f t="shared" si="11"/>
        <v>Native</v>
      </c>
      <c r="K92" t="str">
        <f t="shared" si="12"/>
        <v>No</v>
      </c>
      <c r="O92">
        <v>222</v>
      </c>
      <c r="S92">
        <v>1</v>
      </c>
      <c r="T92">
        <f t="shared" si="13"/>
        <v>236.58799999999999</v>
      </c>
    </row>
    <row r="93" spans="1:20" x14ac:dyDescent="0.55000000000000004">
      <c r="A93">
        <v>8</v>
      </c>
      <c r="B93" s="15" t="str">
        <f t="shared" si="7"/>
        <v>8_0</v>
      </c>
      <c r="C93" s="20">
        <v>45693.445833275466</v>
      </c>
      <c r="D93" t="s">
        <v>175</v>
      </c>
      <c r="E93">
        <v>2</v>
      </c>
      <c r="F93" t="s">
        <v>139</v>
      </c>
      <c r="G93" t="str">
        <f t="shared" si="8"/>
        <v>Anguilla dieffenbachii</v>
      </c>
      <c r="H93" t="str">
        <f t="shared" si="9"/>
        <v>Long_fin_eel</v>
      </c>
      <c r="I93" t="str">
        <f t="shared" si="10"/>
        <v>Tuna</v>
      </c>
      <c r="J93" t="str">
        <f t="shared" si="11"/>
        <v>Native</v>
      </c>
      <c r="K93" t="str">
        <f t="shared" si="12"/>
        <v>Yes</v>
      </c>
      <c r="L93">
        <v>1</v>
      </c>
      <c r="N93">
        <v>550</v>
      </c>
      <c r="T93" t="str">
        <f t="shared" si="13"/>
        <v/>
      </c>
    </row>
    <row r="94" spans="1:20" x14ac:dyDescent="0.55000000000000004">
      <c r="A94">
        <v>8</v>
      </c>
      <c r="B94" s="15" t="str">
        <f t="shared" si="7"/>
        <v>8_0</v>
      </c>
      <c r="C94" s="20">
        <v>45693.445833275466</v>
      </c>
      <c r="D94" t="s">
        <v>175</v>
      </c>
      <c r="E94">
        <v>2</v>
      </c>
      <c r="F94" t="s">
        <v>120</v>
      </c>
      <c r="G94" t="str">
        <f t="shared" si="8"/>
        <v>Ameiurus nebulosus</v>
      </c>
      <c r="H94" t="str">
        <f t="shared" si="9"/>
        <v>Catfish</v>
      </c>
      <c r="I94" t="str">
        <f t="shared" si="10"/>
        <v>Catfish</v>
      </c>
      <c r="J94" t="str">
        <f t="shared" si="11"/>
        <v>Nonnative</v>
      </c>
      <c r="K94" t="str">
        <f t="shared" si="12"/>
        <v>No</v>
      </c>
      <c r="L94">
        <v>1</v>
      </c>
      <c r="N94">
        <v>325</v>
      </c>
      <c r="O94">
        <v>477</v>
      </c>
      <c r="T94" t="str">
        <f t="shared" si="13"/>
        <v/>
      </c>
    </row>
    <row r="95" spans="1:20" x14ac:dyDescent="0.55000000000000004">
      <c r="A95">
        <v>8</v>
      </c>
      <c r="B95" s="15" t="str">
        <f t="shared" si="7"/>
        <v>8_0</v>
      </c>
      <c r="C95" s="20">
        <v>45693.445833275466</v>
      </c>
      <c r="D95" t="s">
        <v>175</v>
      </c>
      <c r="E95">
        <v>2</v>
      </c>
      <c r="F95" t="s">
        <v>124</v>
      </c>
      <c r="G95" t="str">
        <f t="shared" si="8"/>
        <v>Carassius auratus</v>
      </c>
      <c r="H95" t="str">
        <f t="shared" si="9"/>
        <v>Goldfish</v>
      </c>
      <c r="I95" t="str">
        <f t="shared" si="10"/>
        <v>Morihana</v>
      </c>
      <c r="J95" t="str">
        <f t="shared" si="11"/>
        <v>Nonnative</v>
      </c>
      <c r="K95" t="str">
        <f t="shared" si="12"/>
        <v>No</v>
      </c>
      <c r="L95">
        <v>1</v>
      </c>
      <c r="N95">
        <v>210</v>
      </c>
      <c r="O95">
        <v>219</v>
      </c>
      <c r="T95" t="str">
        <f t="shared" si="13"/>
        <v/>
      </c>
    </row>
    <row r="96" spans="1:20" x14ac:dyDescent="0.55000000000000004">
      <c r="A96">
        <v>8</v>
      </c>
      <c r="B96" s="15" t="str">
        <f t="shared" si="7"/>
        <v>8_0</v>
      </c>
      <c r="C96" s="20">
        <v>45693.445833275466</v>
      </c>
      <c r="D96" t="s">
        <v>175</v>
      </c>
      <c r="E96">
        <v>2</v>
      </c>
      <c r="F96" t="s">
        <v>124</v>
      </c>
      <c r="G96" t="str">
        <f t="shared" si="8"/>
        <v>Carassius auratus</v>
      </c>
      <c r="H96" t="str">
        <f t="shared" si="9"/>
        <v>Goldfish</v>
      </c>
      <c r="I96" t="str">
        <f t="shared" si="10"/>
        <v>Morihana</v>
      </c>
      <c r="J96" t="str">
        <f t="shared" si="11"/>
        <v>Nonnative</v>
      </c>
      <c r="K96" t="str">
        <f t="shared" si="12"/>
        <v>No</v>
      </c>
      <c r="L96">
        <v>1</v>
      </c>
      <c r="N96">
        <v>175</v>
      </c>
      <c r="O96">
        <v>132</v>
      </c>
      <c r="T96" t="str">
        <f t="shared" si="13"/>
        <v/>
      </c>
    </row>
    <row r="97" spans="1:20" x14ac:dyDescent="0.55000000000000004">
      <c r="A97">
        <v>8</v>
      </c>
      <c r="B97" s="15" t="str">
        <f t="shared" si="7"/>
        <v>8_0</v>
      </c>
      <c r="C97" s="20">
        <v>45693.445833275466</v>
      </c>
      <c r="D97" t="s">
        <v>175</v>
      </c>
      <c r="E97">
        <v>2</v>
      </c>
      <c r="F97" t="s">
        <v>124</v>
      </c>
      <c r="G97" t="str">
        <f t="shared" si="8"/>
        <v>Carassius auratus</v>
      </c>
      <c r="H97" t="str">
        <f t="shared" si="9"/>
        <v>Goldfish</v>
      </c>
      <c r="I97" t="str">
        <f t="shared" si="10"/>
        <v>Morihana</v>
      </c>
      <c r="J97" t="str">
        <f t="shared" si="11"/>
        <v>Nonnative</v>
      </c>
      <c r="K97" t="str">
        <f t="shared" si="12"/>
        <v>No</v>
      </c>
      <c r="L97">
        <v>1</v>
      </c>
      <c r="N97">
        <v>136</v>
      </c>
      <c r="O97">
        <v>67</v>
      </c>
      <c r="T97" t="str">
        <f t="shared" si="13"/>
        <v/>
      </c>
    </row>
    <row r="98" spans="1:20" x14ac:dyDescent="0.55000000000000004">
      <c r="A98">
        <v>8</v>
      </c>
      <c r="B98" s="15" t="str">
        <f t="shared" si="7"/>
        <v>8_0</v>
      </c>
      <c r="C98" s="20">
        <v>45693.445833275466</v>
      </c>
      <c r="D98" t="s">
        <v>175</v>
      </c>
      <c r="E98">
        <v>2</v>
      </c>
      <c r="F98" t="s">
        <v>135</v>
      </c>
      <c r="G98" t="str">
        <f t="shared" si="8"/>
        <v>Gobiomorphus cotidianus</v>
      </c>
      <c r="H98" t="str">
        <f t="shared" si="9"/>
        <v>Common_bully</v>
      </c>
      <c r="I98" t="str">
        <f t="shared" si="10"/>
        <v>Toitoi</v>
      </c>
      <c r="J98" t="str">
        <f t="shared" si="11"/>
        <v>Native</v>
      </c>
      <c r="K98" t="str">
        <f t="shared" si="12"/>
        <v>No</v>
      </c>
      <c r="O98">
        <f>657-117</f>
        <v>540</v>
      </c>
      <c r="S98">
        <v>2.5</v>
      </c>
      <c r="T98">
        <f t="shared" si="13"/>
        <v>591.47</v>
      </c>
    </row>
    <row r="99" spans="1:20" x14ac:dyDescent="0.55000000000000004">
      <c r="A99">
        <v>8</v>
      </c>
      <c r="B99" s="15" t="str">
        <f t="shared" si="7"/>
        <v>8_0</v>
      </c>
      <c r="C99" s="20">
        <v>45693.445833275466</v>
      </c>
      <c r="D99" t="s">
        <v>175</v>
      </c>
      <c r="E99">
        <v>2</v>
      </c>
      <c r="F99" t="s">
        <v>135</v>
      </c>
      <c r="G99" t="str">
        <f t="shared" si="8"/>
        <v>Gobiomorphus cotidianus</v>
      </c>
      <c r="H99" t="str">
        <f t="shared" si="9"/>
        <v>Common_bully</v>
      </c>
      <c r="I99" t="str">
        <f t="shared" si="10"/>
        <v>Toitoi</v>
      </c>
      <c r="J99" t="str">
        <f t="shared" si="11"/>
        <v>Native</v>
      </c>
      <c r="K99" t="str">
        <f t="shared" si="12"/>
        <v>No</v>
      </c>
      <c r="O99">
        <f>635-117</f>
        <v>518</v>
      </c>
      <c r="S99">
        <v>2.5</v>
      </c>
      <c r="T99">
        <f t="shared" si="13"/>
        <v>591.47</v>
      </c>
    </row>
    <row r="100" spans="1:20" x14ac:dyDescent="0.55000000000000004">
      <c r="A100">
        <v>8</v>
      </c>
      <c r="B100" s="15" t="str">
        <f t="shared" si="7"/>
        <v>8_0</v>
      </c>
      <c r="C100" s="20">
        <v>45693.445833275466</v>
      </c>
      <c r="D100" t="s">
        <v>175</v>
      </c>
      <c r="E100">
        <v>2</v>
      </c>
      <c r="F100" t="s">
        <v>135</v>
      </c>
      <c r="G100" t="str">
        <f t="shared" si="8"/>
        <v>Gobiomorphus cotidianus</v>
      </c>
      <c r="H100" t="str">
        <f t="shared" si="9"/>
        <v>Common_bully</v>
      </c>
      <c r="I100" t="str">
        <f t="shared" si="10"/>
        <v>Toitoi</v>
      </c>
      <c r="J100" t="str">
        <f t="shared" si="11"/>
        <v>Native</v>
      </c>
      <c r="K100" t="str">
        <f t="shared" si="12"/>
        <v>No</v>
      </c>
      <c r="O100">
        <f>684-117</f>
        <v>567</v>
      </c>
      <c r="S100">
        <v>2.5</v>
      </c>
      <c r="T100">
        <f t="shared" si="13"/>
        <v>591.47</v>
      </c>
    </row>
    <row r="101" spans="1:20" x14ac:dyDescent="0.55000000000000004">
      <c r="A101">
        <v>8</v>
      </c>
      <c r="B101" s="15" t="str">
        <f t="shared" si="7"/>
        <v>8_0</v>
      </c>
      <c r="C101" s="20">
        <v>45693.445833275466</v>
      </c>
      <c r="D101" t="s">
        <v>175</v>
      </c>
      <c r="E101">
        <v>2</v>
      </c>
      <c r="F101" t="s">
        <v>135</v>
      </c>
      <c r="G101" t="str">
        <f t="shared" si="8"/>
        <v>Gobiomorphus cotidianus</v>
      </c>
      <c r="H101" t="str">
        <f t="shared" si="9"/>
        <v>Common_bully</v>
      </c>
      <c r="I101" t="str">
        <f t="shared" si="10"/>
        <v>Toitoi</v>
      </c>
      <c r="J101" t="str">
        <f t="shared" si="11"/>
        <v>Native</v>
      </c>
      <c r="K101" t="str">
        <f t="shared" si="12"/>
        <v>No</v>
      </c>
      <c r="O101">
        <f>685-117</f>
        <v>568</v>
      </c>
      <c r="S101">
        <v>2.5</v>
      </c>
      <c r="T101">
        <f t="shared" si="13"/>
        <v>591.47</v>
      </c>
    </row>
    <row r="102" spans="1:20" x14ac:dyDescent="0.55000000000000004">
      <c r="A102">
        <v>8</v>
      </c>
      <c r="B102" s="15" t="str">
        <f t="shared" si="7"/>
        <v>8_0</v>
      </c>
      <c r="C102" s="20">
        <v>45693.445833275466</v>
      </c>
      <c r="D102" t="s">
        <v>175</v>
      </c>
      <c r="E102">
        <v>2</v>
      </c>
      <c r="F102" t="s">
        <v>135</v>
      </c>
      <c r="G102" t="str">
        <f t="shared" si="8"/>
        <v>Gobiomorphus cotidianus</v>
      </c>
      <c r="H102" t="str">
        <f t="shared" si="9"/>
        <v>Common_bully</v>
      </c>
      <c r="I102" t="str">
        <f t="shared" si="10"/>
        <v>Toitoi</v>
      </c>
      <c r="J102" t="str">
        <f t="shared" si="11"/>
        <v>Native</v>
      </c>
      <c r="K102" t="str">
        <f t="shared" si="12"/>
        <v>No</v>
      </c>
      <c r="O102">
        <f>670-117</f>
        <v>553</v>
      </c>
      <c r="S102">
        <v>2.5</v>
      </c>
      <c r="T102">
        <f t="shared" si="13"/>
        <v>591.47</v>
      </c>
    </row>
    <row r="103" spans="1:20" x14ac:dyDescent="0.55000000000000004">
      <c r="A103">
        <v>8</v>
      </c>
      <c r="B103" s="15" t="str">
        <f t="shared" si="7"/>
        <v>8_0</v>
      </c>
      <c r="C103" s="20">
        <v>45693.445833275466</v>
      </c>
      <c r="D103" t="s">
        <v>175</v>
      </c>
      <c r="E103">
        <v>2</v>
      </c>
      <c r="F103" t="s">
        <v>135</v>
      </c>
      <c r="G103" t="str">
        <f t="shared" si="8"/>
        <v>Gobiomorphus cotidianus</v>
      </c>
      <c r="H103" t="str">
        <f t="shared" si="9"/>
        <v>Common_bully</v>
      </c>
      <c r="I103" t="str">
        <f t="shared" si="10"/>
        <v>Toitoi</v>
      </c>
      <c r="J103" t="str">
        <f t="shared" si="11"/>
        <v>Native</v>
      </c>
      <c r="K103" t="str">
        <f t="shared" si="12"/>
        <v>No</v>
      </c>
      <c r="O103">
        <f>704-117</f>
        <v>587</v>
      </c>
      <c r="S103">
        <v>2.5</v>
      </c>
      <c r="T103">
        <f t="shared" si="13"/>
        <v>591.47</v>
      </c>
    </row>
    <row r="104" spans="1:20" x14ac:dyDescent="0.55000000000000004">
      <c r="A104">
        <v>8</v>
      </c>
      <c r="B104" s="15" t="str">
        <f t="shared" si="7"/>
        <v>8_0</v>
      </c>
      <c r="C104" s="20">
        <v>45693.445833275466</v>
      </c>
      <c r="D104" t="s">
        <v>175</v>
      </c>
      <c r="E104">
        <v>2</v>
      </c>
      <c r="F104" t="s">
        <v>135</v>
      </c>
      <c r="G104" t="str">
        <f t="shared" si="8"/>
        <v>Gobiomorphus cotidianus</v>
      </c>
      <c r="H104" t="str">
        <f t="shared" si="9"/>
        <v>Common_bully</v>
      </c>
      <c r="I104" t="str">
        <f t="shared" si="10"/>
        <v>Toitoi</v>
      </c>
      <c r="J104" t="str">
        <f t="shared" si="11"/>
        <v>Native</v>
      </c>
      <c r="K104" t="str">
        <f t="shared" si="12"/>
        <v>No</v>
      </c>
      <c r="O104">
        <f>392-117</f>
        <v>275</v>
      </c>
      <c r="S104">
        <v>1.25</v>
      </c>
      <c r="T104">
        <f t="shared" si="13"/>
        <v>295.73500000000001</v>
      </c>
    </row>
    <row r="105" spans="1:20" x14ac:dyDescent="0.55000000000000004">
      <c r="A105">
        <v>8</v>
      </c>
      <c r="B105" s="15" t="str">
        <f t="shared" si="7"/>
        <v>8_0</v>
      </c>
      <c r="C105" s="20">
        <v>45693.445833275466</v>
      </c>
      <c r="D105" t="s">
        <v>175</v>
      </c>
      <c r="E105">
        <v>2</v>
      </c>
      <c r="F105" t="s">
        <v>135</v>
      </c>
      <c r="G105" t="str">
        <f t="shared" si="8"/>
        <v>Gobiomorphus cotidianus</v>
      </c>
      <c r="H105" t="str">
        <f t="shared" si="9"/>
        <v>Common_bully</v>
      </c>
      <c r="I105" t="str">
        <f t="shared" si="10"/>
        <v>Toitoi</v>
      </c>
      <c r="J105" t="str">
        <f t="shared" si="11"/>
        <v>Native</v>
      </c>
      <c r="K105" t="str">
        <f t="shared" si="12"/>
        <v>No</v>
      </c>
      <c r="O105">
        <f>340-117</f>
        <v>223</v>
      </c>
      <c r="S105">
        <v>1</v>
      </c>
      <c r="T105">
        <f t="shared" si="13"/>
        <v>236.58799999999999</v>
      </c>
    </row>
    <row r="106" spans="1:20" x14ac:dyDescent="0.55000000000000004">
      <c r="A106">
        <v>9</v>
      </c>
      <c r="B106" s="15" t="str">
        <f t="shared" si="7"/>
        <v>9_0</v>
      </c>
      <c r="C106" s="20">
        <v>45693.083333333336</v>
      </c>
      <c r="D106" t="s">
        <v>174</v>
      </c>
      <c r="E106">
        <v>2</v>
      </c>
      <c r="F106" t="s">
        <v>135</v>
      </c>
      <c r="G106" t="str">
        <f t="shared" si="8"/>
        <v>Gobiomorphus cotidianus</v>
      </c>
      <c r="H106" t="str">
        <f t="shared" si="9"/>
        <v>Common_bully</v>
      </c>
      <c r="I106" t="str">
        <f t="shared" si="10"/>
        <v>Toitoi</v>
      </c>
      <c r="J106" t="str">
        <f t="shared" si="11"/>
        <v>Native</v>
      </c>
      <c r="K106" t="str">
        <f t="shared" si="12"/>
        <v>No</v>
      </c>
      <c r="L106">
        <v>2</v>
      </c>
      <c r="T106" t="str">
        <f t="shared" si="13"/>
        <v/>
      </c>
    </row>
    <row r="107" spans="1:20" x14ac:dyDescent="0.55000000000000004">
      <c r="A107">
        <v>9</v>
      </c>
      <c r="B107" s="15" t="str">
        <f t="shared" si="7"/>
        <v>9_0</v>
      </c>
      <c r="C107" s="20">
        <v>45693.083333333336</v>
      </c>
      <c r="D107" t="s">
        <v>175</v>
      </c>
      <c r="E107">
        <v>2</v>
      </c>
      <c r="F107" t="s">
        <v>124</v>
      </c>
      <c r="G107" t="str">
        <f t="shared" si="8"/>
        <v>Carassius auratus</v>
      </c>
      <c r="H107" t="str">
        <f t="shared" si="9"/>
        <v>Goldfish</v>
      </c>
      <c r="I107" t="str">
        <f t="shared" si="10"/>
        <v>Morihana</v>
      </c>
      <c r="J107" t="str">
        <f t="shared" si="11"/>
        <v>Nonnative</v>
      </c>
      <c r="K107" t="str">
        <f t="shared" si="12"/>
        <v>No</v>
      </c>
      <c r="L107">
        <v>1</v>
      </c>
      <c r="N107">
        <v>169</v>
      </c>
      <c r="O107">
        <v>134</v>
      </c>
      <c r="T107" t="str">
        <f t="shared" si="13"/>
        <v/>
      </c>
    </row>
    <row r="108" spans="1:20" x14ac:dyDescent="0.55000000000000004">
      <c r="A108">
        <v>9</v>
      </c>
      <c r="B108" s="15" t="str">
        <f t="shared" si="7"/>
        <v>9_0</v>
      </c>
      <c r="C108" s="20">
        <v>45693.083333333336</v>
      </c>
      <c r="D108" t="s">
        <v>175</v>
      </c>
      <c r="E108">
        <v>2</v>
      </c>
      <c r="F108" t="s">
        <v>124</v>
      </c>
      <c r="G108" t="str">
        <f t="shared" si="8"/>
        <v>Carassius auratus</v>
      </c>
      <c r="H108" t="str">
        <f t="shared" si="9"/>
        <v>Goldfish</v>
      </c>
      <c r="I108" t="str">
        <f t="shared" si="10"/>
        <v>Morihana</v>
      </c>
      <c r="J108" t="str">
        <f t="shared" si="11"/>
        <v>Nonnative</v>
      </c>
      <c r="K108" t="str">
        <f t="shared" si="12"/>
        <v>No</v>
      </c>
      <c r="L108">
        <v>1</v>
      </c>
      <c r="N108">
        <v>200</v>
      </c>
      <c r="O108">
        <v>192</v>
      </c>
      <c r="T108" t="str">
        <f t="shared" si="13"/>
        <v/>
      </c>
    </row>
    <row r="109" spans="1:20" x14ac:dyDescent="0.55000000000000004">
      <c r="A109">
        <v>9</v>
      </c>
      <c r="B109" s="15" t="str">
        <f t="shared" si="7"/>
        <v>9_0</v>
      </c>
      <c r="C109" s="20">
        <v>45693.083333333336</v>
      </c>
      <c r="D109" t="s">
        <v>175</v>
      </c>
      <c r="E109">
        <v>2</v>
      </c>
      <c r="F109" t="s">
        <v>124</v>
      </c>
      <c r="G109" t="str">
        <f t="shared" si="8"/>
        <v>Carassius auratus</v>
      </c>
      <c r="H109" t="str">
        <f t="shared" si="9"/>
        <v>Goldfish</v>
      </c>
      <c r="I109" t="str">
        <f t="shared" si="10"/>
        <v>Morihana</v>
      </c>
      <c r="J109" t="str">
        <f t="shared" si="11"/>
        <v>Nonnative</v>
      </c>
      <c r="K109" t="str">
        <f t="shared" si="12"/>
        <v>No</v>
      </c>
      <c r="L109">
        <v>1</v>
      </c>
      <c r="N109">
        <v>185</v>
      </c>
      <c r="O109">
        <v>158</v>
      </c>
      <c r="T109" t="str">
        <f t="shared" si="13"/>
        <v/>
      </c>
    </row>
    <row r="110" spans="1:20" x14ac:dyDescent="0.55000000000000004">
      <c r="A110">
        <v>9</v>
      </c>
      <c r="B110" s="15" t="str">
        <f t="shared" si="7"/>
        <v>9_0</v>
      </c>
      <c r="C110" s="20">
        <v>45693.083333333336</v>
      </c>
      <c r="D110" t="s">
        <v>175</v>
      </c>
      <c r="E110">
        <v>2</v>
      </c>
      <c r="F110" t="s">
        <v>133</v>
      </c>
      <c r="G110" t="str">
        <f t="shared" si="8"/>
        <v>Retropinna retropinna</v>
      </c>
      <c r="H110" t="str">
        <f t="shared" si="9"/>
        <v>Common_smelt</v>
      </c>
      <c r="I110" t="str">
        <f t="shared" si="10"/>
        <v>Common_smelt</v>
      </c>
      <c r="J110" t="str">
        <f t="shared" si="11"/>
        <v>Native</v>
      </c>
      <c r="K110" t="str">
        <f t="shared" si="12"/>
        <v>No</v>
      </c>
      <c r="L110">
        <v>8</v>
      </c>
      <c r="T110" t="str">
        <f t="shared" si="13"/>
        <v/>
      </c>
    </row>
    <row r="111" spans="1:20" x14ac:dyDescent="0.55000000000000004">
      <c r="A111">
        <v>9</v>
      </c>
      <c r="B111" s="15" t="str">
        <f t="shared" si="7"/>
        <v>9_0</v>
      </c>
      <c r="C111" s="20">
        <v>45693.083333333336</v>
      </c>
      <c r="D111" t="s">
        <v>175</v>
      </c>
      <c r="E111">
        <v>2</v>
      </c>
      <c r="F111" t="s">
        <v>124</v>
      </c>
      <c r="G111" t="str">
        <f t="shared" si="8"/>
        <v>Carassius auratus</v>
      </c>
      <c r="H111" t="str">
        <f t="shared" si="9"/>
        <v>Goldfish</v>
      </c>
      <c r="I111" t="str">
        <f t="shared" si="10"/>
        <v>Morihana</v>
      </c>
      <c r="J111" t="str">
        <f t="shared" si="11"/>
        <v>Nonnative</v>
      </c>
      <c r="K111" t="str">
        <f t="shared" si="12"/>
        <v>No</v>
      </c>
      <c r="L111">
        <v>1</v>
      </c>
      <c r="N111">
        <v>181</v>
      </c>
      <c r="O111">
        <v>135</v>
      </c>
      <c r="T111" t="str">
        <f t="shared" si="13"/>
        <v/>
      </c>
    </row>
    <row r="112" spans="1:20" x14ac:dyDescent="0.55000000000000004">
      <c r="A112">
        <v>9</v>
      </c>
      <c r="B112" s="15" t="str">
        <f t="shared" si="7"/>
        <v>9_0</v>
      </c>
      <c r="C112" s="20">
        <v>45693.083333333336</v>
      </c>
      <c r="D112" t="s">
        <v>175</v>
      </c>
      <c r="E112">
        <v>2</v>
      </c>
      <c r="F112" t="s">
        <v>133</v>
      </c>
      <c r="G112" t="str">
        <f t="shared" si="8"/>
        <v>Retropinna retropinna</v>
      </c>
      <c r="H112" t="str">
        <f t="shared" si="9"/>
        <v>Common_smelt</v>
      </c>
      <c r="I112" t="str">
        <f t="shared" si="10"/>
        <v>Common_smelt</v>
      </c>
      <c r="J112" t="str">
        <f t="shared" si="11"/>
        <v>Native</v>
      </c>
      <c r="K112" t="str">
        <f t="shared" si="12"/>
        <v>No</v>
      </c>
      <c r="L112">
        <v>8</v>
      </c>
      <c r="O112">
        <v>14</v>
      </c>
      <c r="T112" t="str">
        <f t="shared" si="13"/>
        <v/>
      </c>
    </row>
    <row r="113" spans="1:21" x14ac:dyDescent="0.55000000000000004">
      <c r="A113">
        <v>9</v>
      </c>
      <c r="B113" s="15" t="str">
        <f t="shared" si="7"/>
        <v>9_0</v>
      </c>
      <c r="C113" s="20">
        <v>45693.083333333336</v>
      </c>
      <c r="D113" t="s">
        <v>175</v>
      </c>
      <c r="E113">
        <v>2</v>
      </c>
      <c r="F113" t="s">
        <v>135</v>
      </c>
      <c r="G113" t="str">
        <f t="shared" si="8"/>
        <v>Gobiomorphus cotidianus</v>
      </c>
      <c r="H113" t="str">
        <f t="shared" si="9"/>
        <v>Common_bully</v>
      </c>
      <c r="I113" t="str">
        <f t="shared" si="10"/>
        <v>Toitoi</v>
      </c>
      <c r="J113" t="str">
        <f t="shared" si="11"/>
        <v>Native</v>
      </c>
      <c r="K113" t="str">
        <f t="shared" si="12"/>
        <v>No</v>
      </c>
      <c r="O113">
        <v>546</v>
      </c>
      <c r="S113">
        <v>2.5</v>
      </c>
      <c r="T113">
        <f t="shared" si="13"/>
        <v>591.47</v>
      </c>
    </row>
    <row r="114" spans="1:21" x14ac:dyDescent="0.55000000000000004">
      <c r="A114">
        <v>9</v>
      </c>
      <c r="B114" s="15" t="str">
        <f t="shared" si="7"/>
        <v>9_0</v>
      </c>
      <c r="C114" s="20">
        <v>45693.083333333336</v>
      </c>
      <c r="D114" t="s">
        <v>175</v>
      </c>
      <c r="E114">
        <v>2</v>
      </c>
      <c r="F114" t="s">
        <v>135</v>
      </c>
      <c r="G114" t="str">
        <f t="shared" si="8"/>
        <v>Gobiomorphus cotidianus</v>
      </c>
      <c r="H114" t="str">
        <f t="shared" si="9"/>
        <v>Common_bully</v>
      </c>
      <c r="I114" t="str">
        <f t="shared" si="10"/>
        <v>Toitoi</v>
      </c>
      <c r="J114" t="str">
        <f t="shared" si="11"/>
        <v>Native</v>
      </c>
      <c r="K114" t="str">
        <f t="shared" si="12"/>
        <v>No</v>
      </c>
      <c r="O114">
        <v>542</v>
      </c>
      <c r="S114">
        <v>2.5</v>
      </c>
      <c r="T114">
        <f t="shared" si="13"/>
        <v>591.47</v>
      </c>
    </row>
    <row r="115" spans="1:21" x14ac:dyDescent="0.55000000000000004">
      <c r="A115">
        <v>9</v>
      </c>
      <c r="B115" s="15" t="str">
        <f t="shared" si="7"/>
        <v>9_0</v>
      </c>
      <c r="C115" s="20">
        <v>45693.083333333336</v>
      </c>
      <c r="D115" t="s">
        <v>175</v>
      </c>
      <c r="E115">
        <v>2</v>
      </c>
      <c r="F115" t="s">
        <v>135</v>
      </c>
      <c r="G115" t="str">
        <f t="shared" si="8"/>
        <v>Gobiomorphus cotidianus</v>
      </c>
      <c r="H115" t="str">
        <f t="shared" si="9"/>
        <v>Common_bully</v>
      </c>
      <c r="I115" t="str">
        <f t="shared" si="10"/>
        <v>Toitoi</v>
      </c>
      <c r="J115" t="str">
        <f t="shared" si="11"/>
        <v>Native</v>
      </c>
      <c r="K115" t="str">
        <f t="shared" si="12"/>
        <v>No</v>
      </c>
      <c r="O115">
        <v>275</v>
      </c>
      <c r="S115">
        <v>1.5</v>
      </c>
      <c r="T115">
        <f t="shared" si="13"/>
        <v>354.88200000000001</v>
      </c>
    </row>
    <row r="116" spans="1:21" x14ac:dyDescent="0.55000000000000004">
      <c r="A116">
        <v>9</v>
      </c>
      <c r="B116" s="15" t="str">
        <f t="shared" si="7"/>
        <v>9_0</v>
      </c>
      <c r="C116" s="20">
        <v>45694.493055555555</v>
      </c>
      <c r="D116" t="s">
        <v>174</v>
      </c>
      <c r="E116">
        <v>2</v>
      </c>
      <c r="F116" t="s">
        <v>135</v>
      </c>
      <c r="G116" t="str">
        <f t="shared" si="8"/>
        <v>Gobiomorphus cotidianus</v>
      </c>
      <c r="H116" t="str">
        <f t="shared" si="9"/>
        <v>Common_bully</v>
      </c>
      <c r="I116" t="str">
        <f t="shared" si="10"/>
        <v>Toitoi</v>
      </c>
      <c r="J116" t="str">
        <f t="shared" si="11"/>
        <v>Native</v>
      </c>
      <c r="K116" t="str">
        <f t="shared" si="12"/>
        <v>No</v>
      </c>
      <c r="L116">
        <v>4</v>
      </c>
      <c r="O116">
        <v>5</v>
      </c>
      <c r="T116" t="str">
        <f t="shared" si="13"/>
        <v/>
      </c>
    </row>
    <row r="117" spans="1:21" x14ac:dyDescent="0.55000000000000004">
      <c r="A117">
        <v>9</v>
      </c>
      <c r="B117" s="15" t="str">
        <f t="shared" si="7"/>
        <v>9_0</v>
      </c>
      <c r="C117" s="20">
        <v>45694.493055555555</v>
      </c>
      <c r="D117" t="s">
        <v>175</v>
      </c>
      <c r="E117">
        <v>2</v>
      </c>
      <c r="F117" t="s">
        <v>124</v>
      </c>
      <c r="G117" t="str">
        <f t="shared" si="8"/>
        <v>Carassius auratus</v>
      </c>
      <c r="H117" t="str">
        <f t="shared" si="9"/>
        <v>Goldfish</v>
      </c>
      <c r="I117" t="str">
        <f t="shared" si="10"/>
        <v>Morihana</v>
      </c>
      <c r="J117" t="str">
        <f t="shared" si="11"/>
        <v>Nonnative</v>
      </c>
      <c r="K117" t="str">
        <f t="shared" si="12"/>
        <v>No</v>
      </c>
      <c r="L117">
        <v>1</v>
      </c>
      <c r="N117">
        <v>235</v>
      </c>
      <c r="O117">
        <v>350</v>
      </c>
      <c r="T117" t="str">
        <f t="shared" si="13"/>
        <v/>
      </c>
    </row>
    <row r="118" spans="1:21" x14ac:dyDescent="0.55000000000000004">
      <c r="A118">
        <v>9</v>
      </c>
      <c r="B118" s="15" t="str">
        <f t="shared" si="7"/>
        <v>9_0</v>
      </c>
      <c r="C118" s="20">
        <v>45694.493055555555</v>
      </c>
      <c r="D118" t="s">
        <v>175</v>
      </c>
      <c r="E118">
        <v>2</v>
      </c>
      <c r="F118" t="s">
        <v>124</v>
      </c>
      <c r="G118" t="str">
        <f t="shared" si="8"/>
        <v>Carassius auratus</v>
      </c>
      <c r="H118" t="str">
        <f t="shared" si="9"/>
        <v>Goldfish</v>
      </c>
      <c r="I118" t="str">
        <f t="shared" si="10"/>
        <v>Morihana</v>
      </c>
      <c r="J118" t="str">
        <f t="shared" si="11"/>
        <v>Nonnative</v>
      </c>
      <c r="K118" t="str">
        <f t="shared" si="12"/>
        <v>No</v>
      </c>
      <c r="L118">
        <v>1</v>
      </c>
      <c r="N118">
        <v>249</v>
      </c>
      <c r="O118">
        <v>373</v>
      </c>
      <c r="T118" t="str">
        <f t="shared" si="13"/>
        <v/>
      </c>
    </row>
    <row r="119" spans="1:21" x14ac:dyDescent="0.55000000000000004">
      <c r="A119">
        <v>9</v>
      </c>
      <c r="B119" s="15" t="str">
        <f t="shared" si="7"/>
        <v>9_0</v>
      </c>
      <c r="C119" s="20">
        <v>45694.493055497682</v>
      </c>
      <c r="D119" t="s">
        <v>175</v>
      </c>
      <c r="E119">
        <v>2</v>
      </c>
      <c r="F119" t="s">
        <v>124</v>
      </c>
      <c r="G119" t="str">
        <f t="shared" si="8"/>
        <v>Carassius auratus</v>
      </c>
      <c r="H119" t="str">
        <f t="shared" si="9"/>
        <v>Goldfish</v>
      </c>
      <c r="I119" t="str">
        <f t="shared" si="10"/>
        <v>Morihana</v>
      </c>
      <c r="J119" t="str">
        <f t="shared" si="11"/>
        <v>Nonnative</v>
      </c>
      <c r="K119" t="str">
        <f t="shared" si="12"/>
        <v>No</v>
      </c>
      <c r="L119">
        <v>1</v>
      </c>
      <c r="N119">
        <v>225</v>
      </c>
      <c r="O119">
        <v>301</v>
      </c>
      <c r="T119" t="str">
        <f t="shared" si="13"/>
        <v/>
      </c>
    </row>
    <row r="120" spans="1:21" x14ac:dyDescent="0.55000000000000004">
      <c r="A120">
        <v>9</v>
      </c>
      <c r="B120" s="15" t="str">
        <f t="shared" si="7"/>
        <v>9_0</v>
      </c>
      <c r="C120" s="20">
        <v>45694.493055497682</v>
      </c>
      <c r="D120" t="s">
        <v>175</v>
      </c>
      <c r="E120">
        <v>2</v>
      </c>
      <c r="F120" t="s">
        <v>124</v>
      </c>
      <c r="G120" t="str">
        <f t="shared" si="8"/>
        <v>Carassius auratus</v>
      </c>
      <c r="H120" t="str">
        <f t="shared" si="9"/>
        <v>Goldfish</v>
      </c>
      <c r="I120" t="str">
        <f t="shared" si="10"/>
        <v>Morihana</v>
      </c>
      <c r="J120" t="str">
        <f t="shared" si="11"/>
        <v>Nonnative</v>
      </c>
      <c r="K120" t="str">
        <f t="shared" si="12"/>
        <v>No</v>
      </c>
      <c r="L120">
        <v>1</v>
      </c>
      <c r="N120">
        <v>195</v>
      </c>
      <c r="O120">
        <v>189</v>
      </c>
      <c r="T120" t="str">
        <f t="shared" si="13"/>
        <v/>
      </c>
    </row>
    <row r="121" spans="1:21" x14ac:dyDescent="0.55000000000000004">
      <c r="A121">
        <v>9</v>
      </c>
      <c r="B121" s="15" t="str">
        <f t="shared" si="7"/>
        <v>9_0</v>
      </c>
      <c r="C121" s="20">
        <v>45694.493055497682</v>
      </c>
      <c r="D121" t="s">
        <v>175</v>
      </c>
      <c r="E121">
        <v>2</v>
      </c>
      <c r="F121" t="s">
        <v>124</v>
      </c>
      <c r="G121" t="str">
        <f t="shared" si="8"/>
        <v>Carassius auratus</v>
      </c>
      <c r="H121" t="str">
        <f t="shared" si="9"/>
        <v>Goldfish</v>
      </c>
      <c r="I121" t="str">
        <f t="shared" si="10"/>
        <v>Morihana</v>
      </c>
      <c r="J121" t="str">
        <f t="shared" si="11"/>
        <v>Nonnative</v>
      </c>
      <c r="K121" t="str">
        <f t="shared" si="12"/>
        <v>No</v>
      </c>
      <c r="L121">
        <v>1</v>
      </c>
      <c r="N121">
        <v>185</v>
      </c>
      <c r="O121">
        <v>180</v>
      </c>
      <c r="T121" t="str">
        <f t="shared" si="13"/>
        <v/>
      </c>
    </row>
    <row r="122" spans="1:21" x14ac:dyDescent="0.55000000000000004">
      <c r="A122">
        <v>9</v>
      </c>
      <c r="B122" s="15" t="str">
        <f t="shared" si="7"/>
        <v>9_0</v>
      </c>
      <c r="C122" s="20">
        <v>45694.493055497682</v>
      </c>
      <c r="D122" t="s">
        <v>175</v>
      </c>
      <c r="E122">
        <v>2</v>
      </c>
      <c r="F122" t="s">
        <v>124</v>
      </c>
      <c r="G122" t="str">
        <f t="shared" si="8"/>
        <v>Carassius auratus</v>
      </c>
      <c r="H122" t="str">
        <f t="shared" si="9"/>
        <v>Goldfish</v>
      </c>
      <c r="I122" t="str">
        <f t="shared" si="10"/>
        <v>Morihana</v>
      </c>
      <c r="J122" t="str">
        <f t="shared" si="11"/>
        <v>Nonnative</v>
      </c>
      <c r="K122" t="str">
        <f t="shared" si="12"/>
        <v>No</v>
      </c>
      <c r="L122">
        <v>1</v>
      </c>
      <c r="N122">
        <v>185</v>
      </c>
      <c r="O122">
        <v>172</v>
      </c>
      <c r="T122" t="str">
        <f t="shared" si="13"/>
        <v/>
      </c>
    </row>
    <row r="123" spans="1:21" x14ac:dyDescent="0.55000000000000004">
      <c r="A123">
        <v>9</v>
      </c>
      <c r="B123" s="15" t="str">
        <f t="shared" si="7"/>
        <v>9_0</v>
      </c>
      <c r="C123" s="20">
        <v>45694.493055497682</v>
      </c>
      <c r="D123" t="s">
        <v>175</v>
      </c>
      <c r="E123">
        <v>2</v>
      </c>
      <c r="F123" t="s">
        <v>124</v>
      </c>
      <c r="G123" t="str">
        <f t="shared" si="8"/>
        <v>Carassius auratus</v>
      </c>
      <c r="H123" t="str">
        <f t="shared" si="9"/>
        <v>Goldfish</v>
      </c>
      <c r="I123" t="str">
        <f t="shared" si="10"/>
        <v>Morihana</v>
      </c>
      <c r="J123" t="str">
        <f t="shared" si="11"/>
        <v>Nonnative</v>
      </c>
      <c r="K123" t="str">
        <f t="shared" si="12"/>
        <v>No</v>
      </c>
      <c r="L123">
        <v>1</v>
      </c>
      <c r="N123">
        <v>149</v>
      </c>
      <c r="O123">
        <v>93</v>
      </c>
      <c r="T123" t="str">
        <f t="shared" si="13"/>
        <v/>
      </c>
    </row>
    <row r="124" spans="1:21" x14ac:dyDescent="0.55000000000000004">
      <c r="A124">
        <v>9</v>
      </c>
      <c r="B124" s="15" t="str">
        <f t="shared" si="7"/>
        <v>9_0</v>
      </c>
      <c r="C124" s="20">
        <v>45694.493055497682</v>
      </c>
      <c r="D124" t="s">
        <v>175</v>
      </c>
      <c r="E124">
        <v>2</v>
      </c>
      <c r="F124" t="s">
        <v>135</v>
      </c>
      <c r="G124" t="str">
        <f t="shared" si="8"/>
        <v>Gobiomorphus cotidianus</v>
      </c>
      <c r="H124" t="str">
        <f t="shared" si="9"/>
        <v>Common_bully</v>
      </c>
      <c r="I124" t="str">
        <f t="shared" si="10"/>
        <v>Toitoi</v>
      </c>
      <c r="J124" t="str">
        <f t="shared" si="11"/>
        <v>Native</v>
      </c>
      <c r="K124" t="str">
        <f t="shared" si="12"/>
        <v>No</v>
      </c>
      <c r="O124">
        <f>727-117</f>
        <v>610</v>
      </c>
      <c r="S124">
        <v>2.5</v>
      </c>
      <c r="T124">
        <f t="shared" si="13"/>
        <v>591.47</v>
      </c>
    </row>
    <row r="125" spans="1:21" x14ac:dyDescent="0.55000000000000004">
      <c r="A125">
        <v>9</v>
      </c>
      <c r="B125" s="15" t="str">
        <f t="shared" si="7"/>
        <v>9_0</v>
      </c>
      <c r="C125" s="20">
        <v>45694.493055497682</v>
      </c>
      <c r="D125" t="s">
        <v>175</v>
      </c>
      <c r="E125">
        <v>2</v>
      </c>
      <c r="F125" t="s">
        <v>135</v>
      </c>
      <c r="G125" t="str">
        <f t="shared" si="8"/>
        <v>Gobiomorphus cotidianus</v>
      </c>
      <c r="H125" t="str">
        <f t="shared" si="9"/>
        <v>Common_bully</v>
      </c>
      <c r="I125" t="str">
        <f t="shared" si="10"/>
        <v>Toitoi</v>
      </c>
      <c r="J125" t="str">
        <f t="shared" si="11"/>
        <v>Native</v>
      </c>
      <c r="K125" t="str">
        <f t="shared" si="12"/>
        <v>No</v>
      </c>
      <c r="O125">
        <f>586-117</f>
        <v>469</v>
      </c>
      <c r="S125">
        <v>2.5</v>
      </c>
      <c r="T125">
        <f t="shared" si="13"/>
        <v>591.47</v>
      </c>
    </row>
    <row r="126" spans="1:21" x14ac:dyDescent="0.55000000000000004">
      <c r="A126">
        <v>9</v>
      </c>
      <c r="B126" s="15" t="str">
        <f t="shared" si="7"/>
        <v>9_0</v>
      </c>
      <c r="C126" s="20">
        <v>45694.493055497682</v>
      </c>
      <c r="D126" t="s">
        <v>175</v>
      </c>
      <c r="E126">
        <v>2</v>
      </c>
      <c r="F126" t="s">
        <v>135</v>
      </c>
      <c r="G126" t="str">
        <f t="shared" si="8"/>
        <v>Gobiomorphus cotidianus</v>
      </c>
      <c r="H126" t="str">
        <f t="shared" si="9"/>
        <v>Common_bully</v>
      </c>
      <c r="I126" t="str">
        <f t="shared" si="10"/>
        <v>Toitoi</v>
      </c>
      <c r="J126" t="str">
        <f t="shared" si="11"/>
        <v>Native</v>
      </c>
      <c r="K126" t="str">
        <f t="shared" si="12"/>
        <v>No</v>
      </c>
      <c r="O126">
        <f>475-117</f>
        <v>358</v>
      </c>
      <c r="S126">
        <v>1.6</v>
      </c>
      <c r="T126">
        <f t="shared" si="13"/>
        <v>378.54079999999999</v>
      </c>
    </row>
    <row r="127" spans="1:21" x14ac:dyDescent="0.55000000000000004">
      <c r="A127">
        <v>10</v>
      </c>
      <c r="B127" s="15" t="str">
        <f t="shared" si="7"/>
        <v>10_0</v>
      </c>
      <c r="C127" s="20">
        <v>45693.572916666664</v>
      </c>
      <c r="D127" t="s">
        <v>174</v>
      </c>
      <c r="E127">
        <v>2</v>
      </c>
      <c r="F127" t="s">
        <v>135</v>
      </c>
      <c r="G127" t="str">
        <f t="shared" si="8"/>
        <v>Gobiomorphus cotidianus</v>
      </c>
      <c r="H127" t="str">
        <f t="shared" si="9"/>
        <v>Common_bully</v>
      </c>
      <c r="I127" t="str">
        <f t="shared" si="10"/>
        <v>Toitoi</v>
      </c>
      <c r="J127" t="str">
        <f t="shared" si="11"/>
        <v>Native</v>
      </c>
      <c r="K127" t="str">
        <f t="shared" si="12"/>
        <v>No</v>
      </c>
      <c r="L127">
        <v>2</v>
      </c>
      <c r="T127" t="str">
        <f t="shared" si="13"/>
        <v/>
      </c>
    </row>
    <row r="128" spans="1:21" x14ac:dyDescent="0.55000000000000004">
      <c r="A128">
        <v>10</v>
      </c>
      <c r="B128" s="15" t="str">
        <f t="shared" si="7"/>
        <v>10_0</v>
      </c>
      <c r="C128" s="20">
        <v>45693.572916666664</v>
      </c>
      <c r="D128" t="s">
        <v>175</v>
      </c>
      <c r="E128">
        <v>2</v>
      </c>
      <c r="F128" t="s">
        <v>133</v>
      </c>
      <c r="G128" t="str">
        <f t="shared" si="8"/>
        <v>Retropinna retropinna</v>
      </c>
      <c r="H128" t="str">
        <f t="shared" si="9"/>
        <v>Common_smelt</v>
      </c>
      <c r="I128" t="str">
        <f t="shared" si="10"/>
        <v>Common_smelt</v>
      </c>
      <c r="J128" t="str">
        <f t="shared" si="11"/>
        <v>Native</v>
      </c>
      <c r="K128" t="str">
        <f t="shared" si="12"/>
        <v>No</v>
      </c>
      <c r="L128">
        <v>13</v>
      </c>
      <c r="O128">
        <f>128-117</f>
        <v>11</v>
      </c>
      <c r="T128" t="str">
        <f t="shared" si="13"/>
        <v/>
      </c>
      <c r="U128" t="s">
        <v>179</v>
      </c>
    </row>
    <row r="129" spans="1:21" x14ac:dyDescent="0.55000000000000004">
      <c r="A129">
        <v>10</v>
      </c>
      <c r="B129" s="15" t="str">
        <f t="shared" si="7"/>
        <v>10_0</v>
      </c>
      <c r="C129" s="20">
        <v>45693.572916666664</v>
      </c>
      <c r="D129" t="s">
        <v>175</v>
      </c>
      <c r="E129">
        <v>2</v>
      </c>
      <c r="F129" t="s">
        <v>127</v>
      </c>
      <c r="G129" t="str">
        <f t="shared" si="8"/>
        <v>Galaxias brevipinnis</v>
      </c>
      <c r="H129" t="str">
        <f t="shared" si="9"/>
        <v>Climbing_galaxias</v>
      </c>
      <c r="I129" t="str">
        <f t="shared" si="10"/>
        <v>Kōaro</v>
      </c>
      <c r="J129" t="str">
        <f t="shared" si="11"/>
        <v>Native</v>
      </c>
      <c r="K129" t="str">
        <f t="shared" si="12"/>
        <v>Yes</v>
      </c>
      <c r="L129">
        <v>1</v>
      </c>
      <c r="N129">
        <v>75</v>
      </c>
      <c r="O129">
        <v>4</v>
      </c>
      <c r="T129" t="str">
        <f t="shared" si="13"/>
        <v/>
      </c>
      <c r="U129" t="s">
        <v>179</v>
      </c>
    </row>
    <row r="130" spans="1:21" x14ac:dyDescent="0.55000000000000004">
      <c r="A130">
        <v>10</v>
      </c>
      <c r="B130" s="15" t="str">
        <f t="shared" ref="B130:B193" si="14">A130 &amp; "_0"</f>
        <v>10_0</v>
      </c>
      <c r="C130" s="20">
        <v>45693.572916608799</v>
      </c>
      <c r="D130" t="s">
        <v>175</v>
      </c>
      <c r="E130">
        <v>2</v>
      </c>
      <c r="F130" t="s">
        <v>133</v>
      </c>
      <c r="G130" t="str">
        <f t="shared" ref="G130:G193" si="15">VLOOKUP($F130, $W$1:$AB$10, 2, FALSE)</f>
        <v>Retropinna retropinna</v>
      </c>
      <c r="H130" t="str">
        <f t="shared" ref="H130:H193" si="16">VLOOKUP($F130, $W$1:$AB$10, 3, FALSE)</f>
        <v>Common_smelt</v>
      </c>
      <c r="I130" t="str">
        <f t="shared" ref="I130:I193" si="17">VLOOKUP($F130, $W$1:$AB$10, 4, FALSE)</f>
        <v>Common_smelt</v>
      </c>
      <c r="J130" t="str">
        <f t="shared" ref="J130:J193" si="18">VLOOKUP($F130, $W$1:$AC$10, 5, FALSE)</f>
        <v>Native</v>
      </c>
      <c r="K130" t="str">
        <f t="shared" ref="K130:K193" si="19">VLOOKUP($F130, $W$1:$AB$10, 6, FALSE)</f>
        <v>No</v>
      </c>
      <c r="L130">
        <v>3</v>
      </c>
      <c r="T130" t="str">
        <f t="shared" si="13"/>
        <v/>
      </c>
      <c r="U130" t="s">
        <v>179</v>
      </c>
    </row>
    <row r="131" spans="1:21" x14ac:dyDescent="0.55000000000000004">
      <c r="A131">
        <v>10</v>
      </c>
      <c r="B131" s="15" t="str">
        <f t="shared" si="14"/>
        <v>10_0</v>
      </c>
      <c r="C131" s="20">
        <v>45693.572916608799</v>
      </c>
      <c r="D131" t="s">
        <v>175</v>
      </c>
      <c r="E131">
        <v>2</v>
      </c>
      <c r="F131" t="s">
        <v>135</v>
      </c>
      <c r="G131" t="str">
        <f t="shared" si="15"/>
        <v>Gobiomorphus cotidianus</v>
      </c>
      <c r="H131" t="str">
        <f t="shared" si="16"/>
        <v>Common_bully</v>
      </c>
      <c r="I131" t="str">
        <f t="shared" si="17"/>
        <v>Toitoi</v>
      </c>
      <c r="J131" t="str">
        <f t="shared" si="18"/>
        <v>Native</v>
      </c>
      <c r="K131" t="str">
        <f t="shared" si="19"/>
        <v>No</v>
      </c>
      <c r="O131">
        <f>247-117</f>
        <v>130</v>
      </c>
      <c r="S131">
        <v>0.33</v>
      </c>
      <c r="T131">
        <f t="shared" ref="T131:T193" si="20">IF(S131&lt;&gt;"", S131*236.588, "")</f>
        <v>78.074039999999997</v>
      </c>
      <c r="U131" t="s">
        <v>179</v>
      </c>
    </row>
    <row r="132" spans="1:21" x14ac:dyDescent="0.55000000000000004">
      <c r="A132">
        <v>10</v>
      </c>
      <c r="B132" s="15" t="str">
        <f t="shared" si="14"/>
        <v>10_0</v>
      </c>
      <c r="C132" s="20">
        <v>45693.572916608799</v>
      </c>
      <c r="D132" t="s">
        <v>175</v>
      </c>
      <c r="E132">
        <v>2</v>
      </c>
      <c r="F132" t="s">
        <v>135</v>
      </c>
      <c r="G132" t="str">
        <f t="shared" si="15"/>
        <v>Gobiomorphus cotidianus</v>
      </c>
      <c r="H132" t="str">
        <f t="shared" si="16"/>
        <v>Common_bully</v>
      </c>
      <c r="I132" t="str">
        <f t="shared" si="17"/>
        <v>Toitoi</v>
      </c>
      <c r="J132" t="str">
        <f t="shared" si="18"/>
        <v>Native</v>
      </c>
      <c r="K132" t="str">
        <f t="shared" si="19"/>
        <v>No</v>
      </c>
      <c r="O132">
        <f>161-117</f>
        <v>44</v>
      </c>
      <c r="S132">
        <v>0.25</v>
      </c>
      <c r="T132">
        <f t="shared" si="20"/>
        <v>59.146999999999998</v>
      </c>
      <c r="U132" t="s">
        <v>179</v>
      </c>
    </row>
    <row r="133" spans="1:21" x14ac:dyDescent="0.55000000000000004">
      <c r="A133">
        <v>10</v>
      </c>
      <c r="B133" s="15" t="str">
        <f t="shared" si="14"/>
        <v>10_0</v>
      </c>
      <c r="C133" s="20">
        <v>45694.513888888891</v>
      </c>
      <c r="D133" t="s">
        <v>174</v>
      </c>
      <c r="E133">
        <v>2</v>
      </c>
      <c r="F133" t="s">
        <v>135</v>
      </c>
      <c r="G133" t="str">
        <f t="shared" si="15"/>
        <v>Gobiomorphus cotidianus</v>
      </c>
      <c r="H133" t="str">
        <f t="shared" si="16"/>
        <v>Common_bully</v>
      </c>
      <c r="I133" t="str">
        <f t="shared" si="17"/>
        <v>Toitoi</v>
      </c>
      <c r="J133" t="str">
        <f t="shared" si="18"/>
        <v>Native</v>
      </c>
      <c r="K133" t="str">
        <f t="shared" si="19"/>
        <v>No</v>
      </c>
      <c r="L133">
        <v>2</v>
      </c>
      <c r="T133" t="str">
        <f t="shared" si="20"/>
        <v/>
      </c>
    </row>
    <row r="134" spans="1:21" x14ac:dyDescent="0.55000000000000004">
      <c r="A134">
        <v>10</v>
      </c>
      <c r="B134" s="15" t="str">
        <f t="shared" si="14"/>
        <v>10_0</v>
      </c>
      <c r="C134" s="20">
        <v>45694.513888888891</v>
      </c>
      <c r="D134" t="s">
        <v>175</v>
      </c>
      <c r="E134">
        <v>2</v>
      </c>
      <c r="F134" t="s">
        <v>124</v>
      </c>
      <c r="G134" t="str">
        <f t="shared" si="15"/>
        <v>Carassius auratus</v>
      </c>
      <c r="H134" t="str">
        <f t="shared" si="16"/>
        <v>Goldfish</v>
      </c>
      <c r="I134" t="str">
        <f t="shared" si="17"/>
        <v>Morihana</v>
      </c>
      <c r="J134" t="str">
        <f t="shared" si="18"/>
        <v>Nonnative</v>
      </c>
      <c r="K134" t="str">
        <f t="shared" si="19"/>
        <v>No</v>
      </c>
      <c r="L134">
        <v>1</v>
      </c>
      <c r="N134">
        <v>124</v>
      </c>
      <c r="O134">
        <v>52</v>
      </c>
      <c r="T134" t="str">
        <f t="shared" si="20"/>
        <v/>
      </c>
    </row>
    <row r="135" spans="1:21" x14ac:dyDescent="0.55000000000000004">
      <c r="A135">
        <v>10</v>
      </c>
      <c r="B135" s="15" t="str">
        <f t="shared" si="14"/>
        <v>10_0</v>
      </c>
      <c r="C135" s="20">
        <v>45694.513888888891</v>
      </c>
      <c r="D135" t="s">
        <v>175</v>
      </c>
      <c r="E135">
        <v>2</v>
      </c>
      <c r="F135" t="s">
        <v>124</v>
      </c>
      <c r="G135" t="str">
        <f t="shared" si="15"/>
        <v>Carassius auratus</v>
      </c>
      <c r="H135" t="str">
        <f t="shared" si="16"/>
        <v>Goldfish</v>
      </c>
      <c r="I135" t="str">
        <f t="shared" si="17"/>
        <v>Morihana</v>
      </c>
      <c r="J135" t="str">
        <f t="shared" si="18"/>
        <v>Nonnative</v>
      </c>
      <c r="K135" t="str">
        <f t="shared" si="19"/>
        <v>No</v>
      </c>
      <c r="L135">
        <v>1</v>
      </c>
      <c r="N135">
        <v>93</v>
      </c>
      <c r="O135">
        <v>20</v>
      </c>
      <c r="T135" t="str">
        <f t="shared" si="20"/>
        <v/>
      </c>
    </row>
    <row r="136" spans="1:21" x14ac:dyDescent="0.55000000000000004">
      <c r="A136">
        <v>10</v>
      </c>
      <c r="B136" s="15" t="str">
        <f t="shared" si="14"/>
        <v>10_0</v>
      </c>
      <c r="C136" s="20">
        <v>45694.513888888891</v>
      </c>
      <c r="D136" t="s">
        <v>175</v>
      </c>
      <c r="E136">
        <v>2</v>
      </c>
      <c r="F136" t="s">
        <v>124</v>
      </c>
      <c r="G136" t="str">
        <f t="shared" si="15"/>
        <v>Carassius auratus</v>
      </c>
      <c r="H136" t="str">
        <f t="shared" si="16"/>
        <v>Goldfish</v>
      </c>
      <c r="I136" t="str">
        <f t="shared" si="17"/>
        <v>Morihana</v>
      </c>
      <c r="J136" t="str">
        <f t="shared" si="18"/>
        <v>Nonnative</v>
      </c>
      <c r="K136" t="str">
        <f t="shared" si="19"/>
        <v>No</v>
      </c>
      <c r="L136">
        <v>1</v>
      </c>
      <c r="N136">
        <v>200</v>
      </c>
      <c r="O136">
        <v>200</v>
      </c>
      <c r="T136" t="str">
        <f t="shared" si="20"/>
        <v/>
      </c>
    </row>
    <row r="137" spans="1:21" x14ac:dyDescent="0.55000000000000004">
      <c r="A137">
        <v>10</v>
      </c>
      <c r="B137" s="15" t="str">
        <f t="shared" si="14"/>
        <v>10_0</v>
      </c>
      <c r="C137" s="20">
        <v>45694.513888888891</v>
      </c>
      <c r="D137" t="s">
        <v>175</v>
      </c>
      <c r="E137">
        <v>2</v>
      </c>
      <c r="F137" t="s">
        <v>124</v>
      </c>
      <c r="G137" t="str">
        <f t="shared" si="15"/>
        <v>Carassius auratus</v>
      </c>
      <c r="H137" t="str">
        <f t="shared" si="16"/>
        <v>Goldfish</v>
      </c>
      <c r="I137" t="str">
        <f t="shared" si="17"/>
        <v>Morihana</v>
      </c>
      <c r="J137" t="str">
        <f t="shared" si="18"/>
        <v>Nonnative</v>
      </c>
      <c r="K137" t="str">
        <f t="shared" si="19"/>
        <v>No</v>
      </c>
      <c r="L137">
        <v>1</v>
      </c>
      <c r="N137">
        <v>55</v>
      </c>
      <c r="O137">
        <v>65</v>
      </c>
      <c r="T137" t="str">
        <f t="shared" si="20"/>
        <v/>
      </c>
    </row>
    <row r="138" spans="1:21" x14ac:dyDescent="0.55000000000000004">
      <c r="A138">
        <v>10</v>
      </c>
      <c r="B138" s="15" t="str">
        <f t="shared" si="14"/>
        <v>10_0</v>
      </c>
      <c r="C138" s="20">
        <v>45694.513888888891</v>
      </c>
      <c r="D138" t="s">
        <v>175</v>
      </c>
      <c r="E138">
        <v>2</v>
      </c>
      <c r="F138" t="s">
        <v>133</v>
      </c>
      <c r="G138" t="str">
        <f t="shared" si="15"/>
        <v>Retropinna retropinna</v>
      </c>
      <c r="H138" t="str">
        <f t="shared" si="16"/>
        <v>Common_smelt</v>
      </c>
      <c r="I138" t="str">
        <f t="shared" si="17"/>
        <v>Common_smelt</v>
      </c>
      <c r="J138" t="str">
        <f t="shared" si="18"/>
        <v>Native</v>
      </c>
      <c r="K138" t="str">
        <f t="shared" si="19"/>
        <v>No</v>
      </c>
      <c r="L138">
        <v>2</v>
      </c>
      <c r="T138" t="str">
        <f t="shared" si="20"/>
        <v/>
      </c>
    </row>
    <row r="139" spans="1:21" x14ac:dyDescent="0.55000000000000004">
      <c r="A139">
        <v>10</v>
      </c>
      <c r="B139" s="15" t="str">
        <f t="shared" si="14"/>
        <v>10_0</v>
      </c>
      <c r="C139" s="20">
        <v>45694.513888888891</v>
      </c>
      <c r="D139" t="s">
        <v>175</v>
      </c>
      <c r="E139">
        <v>2</v>
      </c>
      <c r="F139" t="s">
        <v>135</v>
      </c>
      <c r="G139" t="str">
        <f t="shared" si="15"/>
        <v>Gobiomorphus cotidianus</v>
      </c>
      <c r="H139" t="str">
        <f t="shared" si="16"/>
        <v>Common_bully</v>
      </c>
      <c r="I139" t="str">
        <f t="shared" si="17"/>
        <v>Toitoi</v>
      </c>
      <c r="J139" t="str">
        <f t="shared" si="18"/>
        <v>Native</v>
      </c>
      <c r="K139" t="str">
        <f t="shared" si="19"/>
        <v>No</v>
      </c>
      <c r="O139">
        <f>644-117</f>
        <v>527</v>
      </c>
      <c r="S139">
        <v>2.5</v>
      </c>
      <c r="T139">
        <f t="shared" si="20"/>
        <v>591.47</v>
      </c>
    </row>
    <row r="140" spans="1:21" x14ac:dyDescent="0.55000000000000004">
      <c r="A140">
        <v>10</v>
      </c>
      <c r="B140" s="15" t="str">
        <f t="shared" si="14"/>
        <v>10_0</v>
      </c>
      <c r="C140" s="20">
        <v>45694.513888888891</v>
      </c>
      <c r="D140" t="s">
        <v>175</v>
      </c>
      <c r="E140">
        <v>2</v>
      </c>
      <c r="F140" t="s">
        <v>135</v>
      </c>
      <c r="G140" t="str">
        <f t="shared" si="15"/>
        <v>Gobiomorphus cotidianus</v>
      </c>
      <c r="H140" t="str">
        <f t="shared" si="16"/>
        <v>Common_bully</v>
      </c>
      <c r="I140" t="str">
        <f t="shared" si="17"/>
        <v>Toitoi</v>
      </c>
      <c r="J140" t="str">
        <f t="shared" si="18"/>
        <v>Native</v>
      </c>
      <c r="K140" t="str">
        <f t="shared" si="19"/>
        <v>No</v>
      </c>
      <c r="O140">
        <f>568-117</f>
        <v>451</v>
      </c>
      <c r="S140">
        <v>2.5</v>
      </c>
      <c r="T140">
        <f t="shared" si="20"/>
        <v>591.47</v>
      </c>
    </row>
    <row r="141" spans="1:21" x14ac:dyDescent="0.55000000000000004">
      <c r="A141">
        <v>10</v>
      </c>
      <c r="B141" s="15" t="str">
        <f t="shared" si="14"/>
        <v>10_0</v>
      </c>
      <c r="C141" s="20">
        <v>45694.513888888891</v>
      </c>
      <c r="D141" t="s">
        <v>175</v>
      </c>
      <c r="E141">
        <v>2</v>
      </c>
      <c r="F141" t="s">
        <v>135</v>
      </c>
      <c r="G141" t="str">
        <f t="shared" si="15"/>
        <v>Gobiomorphus cotidianus</v>
      </c>
      <c r="H141" t="str">
        <f t="shared" si="16"/>
        <v>Common_bully</v>
      </c>
      <c r="I141" t="str">
        <f t="shared" si="17"/>
        <v>Toitoi</v>
      </c>
      <c r="J141" t="str">
        <f t="shared" si="18"/>
        <v>Native</v>
      </c>
      <c r="K141" t="str">
        <f t="shared" si="19"/>
        <v>No</v>
      </c>
      <c r="O141">
        <f>654-117</f>
        <v>537</v>
      </c>
      <c r="S141">
        <v>2.5</v>
      </c>
      <c r="T141">
        <f t="shared" si="20"/>
        <v>591.47</v>
      </c>
    </row>
    <row r="142" spans="1:21" x14ac:dyDescent="0.55000000000000004">
      <c r="A142">
        <v>10</v>
      </c>
      <c r="B142" s="15" t="str">
        <f t="shared" si="14"/>
        <v>10_0</v>
      </c>
      <c r="C142" s="20">
        <v>45694.513888888891</v>
      </c>
      <c r="D142" t="s">
        <v>175</v>
      </c>
      <c r="E142">
        <v>2</v>
      </c>
      <c r="F142" t="s">
        <v>135</v>
      </c>
      <c r="G142" t="str">
        <f t="shared" si="15"/>
        <v>Gobiomorphus cotidianus</v>
      </c>
      <c r="H142" t="str">
        <f t="shared" si="16"/>
        <v>Common_bully</v>
      </c>
      <c r="I142" t="str">
        <f t="shared" si="17"/>
        <v>Toitoi</v>
      </c>
      <c r="J142" t="str">
        <f t="shared" si="18"/>
        <v>Native</v>
      </c>
      <c r="K142" t="str">
        <f t="shared" si="19"/>
        <v>No</v>
      </c>
      <c r="O142">
        <f>586-117</f>
        <v>469</v>
      </c>
      <c r="S142">
        <v>2.5</v>
      </c>
      <c r="T142">
        <f t="shared" si="20"/>
        <v>591.47</v>
      </c>
    </row>
    <row r="143" spans="1:21" x14ac:dyDescent="0.55000000000000004">
      <c r="A143">
        <v>10</v>
      </c>
      <c r="B143" s="15" t="str">
        <f t="shared" si="14"/>
        <v>10_0</v>
      </c>
      <c r="C143" s="20">
        <v>45694.513888888891</v>
      </c>
      <c r="D143" t="s">
        <v>175</v>
      </c>
      <c r="E143">
        <v>2</v>
      </c>
      <c r="F143" t="s">
        <v>135</v>
      </c>
      <c r="G143" t="str">
        <f t="shared" si="15"/>
        <v>Gobiomorphus cotidianus</v>
      </c>
      <c r="H143" t="str">
        <f t="shared" si="16"/>
        <v>Common_bully</v>
      </c>
      <c r="I143" t="str">
        <f t="shared" si="17"/>
        <v>Toitoi</v>
      </c>
      <c r="J143" t="str">
        <f t="shared" si="18"/>
        <v>Native</v>
      </c>
      <c r="K143" t="str">
        <f t="shared" si="19"/>
        <v>No</v>
      </c>
      <c r="O143">
        <f>600-117</f>
        <v>483</v>
      </c>
      <c r="S143">
        <v>2.5</v>
      </c>
      <c r="T143">
        <f t="shared" si="20"/>
        <v>591.47</v>
      </c>
    </row>
    <row r="144" spans="1:21" x14ac:dyDescent="0.55000000000000004">
      <c r="A144">
        <v>10</v>
      </c>
      <c r="B144" s="15" t="str">
        <f t="shared" si="14"/>
        <v>10_0</v>
      </c>
      <c r="C144" s="20">
        <v>45694.513888888891</v>
      </c>
      <c r="D144" t="s">
        <v>175</v>
      </c>
      <c r="E144">
        <v>2</v>
      </c>
      <c r="F144" t="s">
        <v>135</v>
      </c>
      <c r="G144" t="str">
        <f t="shared" si="15"/>
        <v>Gobiomorphus cotidianus</v>
      </c>
      <c r="H144" t="str">
        <f t="shared" si="16"/>
        <v>Common_bully</v>
      </c>
      <c r="I144" t="str">
        <f t="shared" si="17"/>
        <v>Toitoi</v>
      </c>
      <c r="J144" t="str">
        <f t="shared" si="18"/>
        <v>Native</v>
      </c>
      <c r="K144" t="str">
        <f t="shared" si="19"/>
        <v>No</v>
      </c>
      <c r="O144">
        <f>464-117</f>
        <v>347</v>
      </c>
      <c r="S144">
        <v>1.5</v>
      </c>
      <c r="T144">
        <f t="shared" si="20"/>
        <v>354.88200000000001</v>
      </c>
    </row>
    <row r="145" spans="1:20" x14ac:dyDescent="0.55000000000000004">
      <c r="A145">
        <v>11</v>
      </c>
      <c r="B145" s="15" t="str">
        <f t="shared" si="14"/>
        <v>11_0</v>
      </c>
      <c r="C145" s="20">
        <v>45693.380555555559</v>
      </c>
      <c r="D145" t="s">
        <v>174</v>
      </c>
      <c r="E145">
        <v>2</v>
      </c>
      <c r="F145" t="s">
        <v>135</v>
      </c>
      <c r="G145" t="str">
        <f t="shared" si="15"/>
        <v>Gobiomorphus cotidianus</v>
      </c>
      <c r="H145" t="str">
        <f t="shared" si="16"/>
        <v>Common_bully</v>
      </c>
      <c r="I145" t="str">
        <f t="shared" si="17"/>
        <v>Toitoi</v>
      </c>
      <c r="J145" t="str">
        <f t="shared" si="18"/>
        <v>Native</v>
      </c>
      <c r="K145" t="str">
        <f t="shared" si="19"/>
        <v>No</v>
      </c>
      <c r="L145">
        <v>18</v>
      </c>
      <c r="O145">
        <f>131-117</f>
        <v>14</v>
      </c>
      <c r="T145" t="str">
        <f t="shared" si="20"/>
        <v/>
      </c>
    </row>
    <row r="146" spans="1:20" x14ac:dyDescent="0.55000000000000004">
      <c r="A146">
        <v>11</v>
      </c>
      <c r="B146" s="15" t="str">
        <f t="shared" si="14"/>
        <v>11_0</v>
      </c>
      <c r="C146" s="20">
        <v>45693.380555555559</v>
      </c>
      <c r="D146" t="s">
        <v>175</v>
      </c>
      <c r="E146">
        <v>2</v>
      </c>
      <c r="F146" t="s">
        <v>124</v>
      </c>
      <c r="G146" t="str">
        <f t="shared" si="15"/>
        <v>Carassius auratus</v>
      </c>
      <c r="H146" t="str">
        <f t="shared" si="16"/>
        <v>Goldfish</v>
      </c>
      <c r="I146" t="str">
        <f t="shared" si="17"/>
        <v>Morihana</v>
      </c>
      <c r="J146" t="str">
        <f t="shared" si="18"/>
        <v>Nonnative</v>
      </c>
      <c r="K146" t="str">
        <f t="shared" si="19"/>
        <v>No</v>
      </c>
      <c r="L146">
        <v>1</v>
      </c>
      <c r="N146">
        <v>207</v>
      </c>
      <c r="O146">
        <v>204</v>
      </c>
      <c r="T146" t="str">
        <f t="shared" si="20"/>
        <v/>
      </c>
    </row>
    <row r="147" spans="1:20" x14ac:dyDescent="0.55000000000000004">
      <c r="A147">
        <v>11</v>
      </c>
      <c r="B147" s="15" t="str">
        <f t="shared" si="14"/>
        <v>11_0</v>
      </c>
      <c r="C147" s="20">
        <v>45693.380555555559</v>
      </c>
      <c r="D147" t="s">
        <v>175</v>
      </c>
      <c r="E147">
        <v>2</v>
      </c>
      <c r="F147" t="s">
        <v>124</v>
      </c>
      <c r="G147" t="str">
        <f t="shared" si="15"/>
        <v>Carassius auratus</v>
      </c>
      <c r="H147" t="str">
        <f t="shared" si="16"/>
        <v>Goldfish</v>
      </c>
      <c r="I147" t="str">
        <f t="shared" si="17"/>
        <v>Morihana</v>
      </c>
      <c r="J147" t="str">
        <f t="shared" si="18"/>
        <v>Nonnative</v>
      </c>
      <c r="K147" t="str">
        <f t="shared" si="19"/>
        <v>No</v>
      </c>
      <c r="L147">
        <v>1</v>
      </c>
      <c r="N147">
        <v>196</v>
      </c>
      <c r="O147">
        <v>184</v>
      </c>
      <c r="T147" t="str">
        <f t="shared" si="20"/>
        <v/>
      </c>
    </row>
    <row r="148" spans="1:20" x14ac:dyDescent="0.55000000000000004">
      <c r="A148">
        <v>11</v>
      </c>
      <c r="B148" s="15" t="str">
        <f t="shared" si="14"/>
        <v>11_0</v>
      </c>
      <c r="C148" s="20">
        <v>45693.380555555559</v>
      </c>
      <c r="D148" t="s">
        <v>175</v>
      </c>
      <c r="E148">
        <v>2</v>
      </c>
      <c r="F148" t="s">
        <v>124</v>
      </c>
      <c r="G148" t="str">
        <f t="shared" si="15"/>
        <v>Carassius auratus</v>
      </c>
      <c r="H148" t="str">
        <f t="shared" si="16"/>
        <v>Goldfish</v>
      </c>
      <c r="I148" t="str">
        <f t="shared" si="17"/>
        <v>Morihana</v>
      </c>
      <c r="J148" t="str">
        <f t="shared" si="18"/>
        <v>Nonnative</v>
      </c>
      <c r="K148" t="str">
        <f t="shared" si="19"/>
        <v>No</v>
      </c>
      <c r="L148">
        <v>1</v>
      </c>
      <c r="N148">
        <v>140</v>
      </c>
      <c r="O148">
        <v>59</v>
      </c>
      <c r="T148" t="str">
        <f t="shared" si="20"/>
        <v/>
      </c>
    </row>
    <row r="149" spans="1:20" x14ac:dyDescent="0.55000000000000004">
      <c r="A149">
        <v>11</v>
      </c>
      <c r="B149" s="15" t="str">
        <f t="shared" si="14"/>
        <v>11_0</v>
      </c>
      <c r="C149" s="20">
        <v>45693.380555555559</v>
      </c>
      <c r="D149" t="s">
        <v>175</v>
      </c>
      <c r="E149">
        <v>2</v>
      </c>
      <c r="F149" t="s">
        <v>127</v>
      </c>
      <c r="G149" t="str">
        <f t="shared" si="15"/>
        <v>Galaxias brevipinnis</v>
      </c>
      <c r="H149" t="str">
        <f t="shared" si="16"/>
        <v>Climbing_galaxias</v>
      </c>
      <c r="I149" t="str">
        <f t="shared" si="17"/>
        <v>Kōaro</v>
      </c>
      <c r="J149" t="str">
        <f t="shared" si="18"/>
        <v>Native</v>
      </c>
      <c r="K149" t="str">
        <f t="shared" si="19"/>
        <v>Yes</v>
      </c>
      <c r="L149">
        <v>1</v>
      </c>
      <c r="N149">
        <v>107</v>
      </c>
      <c r="O149">
        <v>8</v>
      </c>
      <c r="T149" t="str">
        <f t="shared" si="20"/>
        <v/>
      </c>
    </row>
    <row r="150" spans="1:20" x14ac:dyDescent="0.55000000000000004">
      <c r="A150">
        <v>11</v>
      </c>
      <c r="B150" s="15" t="str">
        <f t="shared" si="14"/>
        <v>11_0</v>
      </c>
      <c r="C150" s="20">
        <v>45693.380555555559</v>
      </c>
      <c r="D150" t="s">
        <v>175</v>
      </c>
      <c r="E150">
        <v>2</v>
      </c>
      <c r="F150" t="s">
        <v>133</v>
      </c>
      <c r="G150" t="str">
        <f t="shared" si="15"/>
        <v>Retropinna retropinna</v>
      </c>
      <c r="H150" t="str">
        <f t="shared" si="16"/>
        <v>Common_smelt</v>
      </c>
      <c r="I150" t="str">
        <f t="shared" si="17"/>
        <v>Common_smelt</v>
      </c>
      <c r="J150" t="str">
        <f t="shared" si="18"/>
        <v>Native</v>
      </c>
      <c r="K150" t="str">
        <f t="shared" si="19"/>
        <v>No</v>
      </c>
      <c r="L150">
        <v>3</v>
      </c>
      <c r="O150">
        <v>2</v>
      </c>
      <c r="T150" t="str">
        <f t="shared" si="20"/>
        <v/>
      </c>
    </row>
    <row r="151" spans="1:20" x14ac:dyDescent="0.55000000000000004">
      <c r="A151">
        <v>11</v>
      </c>
      <c r="B151" s="15" t="str">
        <f t="shared" si="14"/>
        <v>11_0</v>
      </c>
      <c r="C151" s="20">
        <v>45693.380555555559</v>
      </c>
      <c r="D151" t="s">
        <v>175</v>
      </c>
      <c r="E151">
        <v>2</v>
      </c>
      <c r="F151" t="s">
        <v>135</v>
      </c>
      <c r="G151" t="str">
        <f t="shared" si="15"/>
        <v>Gobiomorphus cotidianus</v>
      </c>
      <c r="H151" t="str">
        <f t="shared" si="16"/>
        <v>Common_bully</v>
      </c>
      <c r="I151" t="str">
        <f t="shared" si="17"/>
        <v>Toitoi</v>
      </c>
      <c r="J151" t="str">
        <f t="shared" si="18"/>
        <v>Native</v>
      </c>
      <c r="K151" t="str">
        <f t="shared" si="19"/>
        <v>No</v>
      </c>
      <c r="L151">
        <v>100</v>
      </c>
      <c r="O151">
        <f>206-117</f>
        <v>89</v>
      </c>
      <c r="S151">
        <v>0.5</v>
      </c>
      <c r="T151">
        <f t="shared" si="20"/>
        <v>118.294</v>
      </c>
    </row>
    <row r="152" spans="1:20" x14ac:dyDescent="0.55000000000000004">
      <c r="A152">
        <v>11</v>
      </c>
      <c r="B152" s="15" t="str">
        <f t="shared" si="14"/>
        <v>11_0</v>
      </c>
      <c r="C152" s="20">
        <v>45693.380555555559</v>
      </c>
      <c r="D152" t="s">
        <v>175</v>
      </c>
      <c r="E152">
        <v>2</v>
      </c>
      <c r="F152" t="s">
        <v>135</v>
      </c>
      <c r="G152" t="str">
        <f t="shared" si="15"/>
        <v>Gobiomorphus cotidianus</v>
      </c>
      <c r="H152" t="str">
        <f t="shared" si="16"/>
        <v>Common_bully</v>
      </c>
      <c r="I152" t="str">
        <f t="shared" si="17"/>
        <v>Toitoi</v>
      </c>
      <c r="J152" t="str">
        <f t="shared" si="18"/>
        <v>Native</v>
      </c>
      <c r="K152" t="str">
        <f t="shared" si="19"/>
        <v>No</v>
      </c>
      <c r="O152">
        <f>644-117</f>
        <v>527</v>
      </c>
      <c r="S152">
        <v>2.5</v>
      </c>
      <c r="T152">
        <f t="shared" si="20"/>
        <v>591.47</v>
      </c>
    </row>
    <row r="153" spans="1:20" x14ac:dyDescent="0.55000000000000004">
      <c r="A153">
        <v>11</v>
      </c>
      <c r="B153" s="15" t="str">
        <f t="shared" si="14"/>
        <v>11_0</v>
      </c>
      <c r="C153" s="20">
        <v>45693.380555555559</v>
      </c>
      <c r="D153" t="s">
        <v>175</v>
      </c>
      <c r="E153">
        <v>2</v>
      </c>
      <c r="F153" t="s">
        <v>133</v>
      </c>
      <c r="G153" t="str">
        <f t="shared" si="15"/>
        <v>Retropinna retropinna</v>
      </c>
      <c r="H153" t="str">
        <f t="shared" si="16"/>
        <v>Common_smelt</v>
      </c>
      <c r="I153" t="str">
        <f t="shared" si="17"/>
        <v>Common_smelt</v>
      </c>
      <c r="J153" t="str">
        <f t="shared" si="18"/>
        <v>Native</v>
      </c>
      <c r="K153" t="str">
        <f t="shared" si="19"/>
        <v>No</v>
      </c>
      <c r="L153">
        <v>1</v>
      </c>
      <c r="T153" t="str">
        <f t="shared" si="20"/>
        <v/>
      </c>
    </row>
    <row r="154" spans="1:20" x14ac:dyDescent="0.55000000000000004">
      <c r="A154">
        <v>11</v>
      </c>
      <c r="B154" s="15" t="str">
        <f t="shared" si="14"/>
        <v>11_0</v>
      </c>
      <c r="C154" s="20">
        <v>45693.380555555559</v>
      </c>
      <c r="D154" t="s">
        <v>175</v>
      </c>
      <c r="E154">
        <v>2</v>
      </c>
      <c r="F154" t="s">
        <v>135</v>
      </c>
      <c r="G154" t="str">
        <f t="shared" si="15"/>
        <v>Gobiomorphus cotidianus</v>
      </c>
      <c r="H154" t="str">
        <f t="shared" si="16"/>
        <v>Common_bully</v>
      </c>
      <c r="I154" t="str">
        <f t="shared" si="17"/>
        <v>Toitoi</v>
      </c>
      <c r="J154" t="str">
        <f t="shared" si="18"/>
        <v>Native</v>
      </c>
      <c r="K154" t="str">
        <f t="shared" si="19"/>
        <v>No</v>
      </c>
      <c r="O154">
        <f>577-117</f>
        <v>460</v>
      </c>
      <c r="S154">
        <v>2.5</v>
      </c>
      <c r="T154">
        <f t="shared" si="20"/>
        <v>591.47</v>
      </c>
    </row>
    <row r="155" spans="1:20" x14ac:dyDescent="0.55000000000000004">
      <c r="A155">
        <v>11</v>
      </c>
      <c r="B155" s="15" t="str">
        <f t="shared" si="14"/>
        <v>11_0</v>
      </c>
      <c r="C155" s="20">
        <v>45693.380555555559</v>
      </c>
      <c r="D155" t="s">
        <v>175</v>
      </c>
      <c r="E155">
        <v>2</v>
      </c>
      <c r="F155" t="s">
        <v>135</v>
      </c>
      <c r="G155" t="str">
        <f t="shared" si="15"/>
        <v>Gobiomorphus cotidianus</v>
      </c>
      <c r="H155" t="str">
        <f t="shared" si="16"/>
        <v>Common_bully</v>
      </c>
      <c r="I155" t="str">
        <f t="shared" si="17"/>
        <v>Toitoi</v>
      </c>
      <c r="J155" t="str">
        <f t="shared" si="18"/>
        <v>Native</v>
      </c>
      <c r="K155" t="str">
        <f t="shared" si="19"/>
        <v>No</v>
      </c>
      <c r="O155">
        <f>550-117</f>
        <v>433</v>
      </c>
      <c r="S155">
        <v>2.5</v>
      </c>
      <c r="T155">
        <f t="shared" si="20"/>
        <v>591.47</v>
      </c>
    </row>
    <row r="156" spans="1:20" x14ac:dyDescent="0.55000000000000004">
      <c r="A156">
        <v>11</v>
      </c>
      <c r="B156" s="15" t="str">
        <f t="shared" si="14"/>
        <v>11_0</v>
      </c>
      <c r="C156" s="20">
        <v>45693.380555555559</v>
      </c>
      <c r="D156" t="s">
        <v>175</v>
      </c>
      <c r="E156">
        <v>2</v>
      </c>
      <c r="F156" t="s">
        <v>135</v>
      </c>
      <c r="G156" t="str">
        <f t="shared" si="15"/>
        <v>Gobiomorphus cotidianus</v>
      </c>
      <c r="H156" t="str">
        <f t="shared" si="16"/>
        <v>Common_bully</v>
      </c>
      <c r="I156" t="str">
        <f t="shared" si="17"/>
        <v>Toitoi</v>
      </c>
      <c r="J156" t="str">
        <f t="shared" si="18"/>
        <v>Native</v>
      </c>
      <c r="K156" t="str">
        <f t="shared" si="19"/>
        <v>No</v>
      </c>
      <c r="O156">
        <v>600</v>
      </c>
      <c r="S156">
        <v>2.5</v>
      </c>
      <c r="T156">
        <f t="shared" si="20"/>
        <v>591.47</v>
      </c>
    </row>
    <row r="157" spans="1:20" x14ac:dyDescent="0.55000000000000004">
      <c r="A157">
        <v>11</v>
      </c>
      <c r="B157" s="15" t="str">
        <f t="shared" si="14"/>
        <v>11_0</v>
      </c>
      <c r="C157" s="20">
        <v>45693.380555555559</v>
      </c>
      <c r="D157" t="s">
        <v>175</v>
      </c>
      <c r="E157">
        <v>2</v>
      </c>
      <c r="F157" t="s">
        <v>135</v>
      </c>
      <c r="G157" t="str">
        <f t="shared" si="15"/>
        <v>Gobiomorphus cotidianus</v>
      </c>
      <c r="H157" t="str">
        <f t="shared" si="16"/>
        <v>Common_bully</v>
      </c>
      <c r="I157" t="str">
        <f t="shared" si="17"/>
        <v>Toitoi</v>
      </c>
      <c r="J157" t="str">
        <f t="shared" si="18"/>
        <v>Native</v>
      </c>
      <c r="K157" t="str">
        <f t="shared" si="19"/>
        <v>No</v>
      </c>
      <c r="O157">
        <v>557</v>
      </c>
      <c r="S157">
        <v>2.5</v>
      </c>
      <c r="T157">
        <f t="shared" si="20"/>
        <v>591.47</v>
      </c>
    </row>
    <row r="158" spans="1:20" x14ac:dyDescent="0.55000000000000004">
      <c r="A158">
        <v>11</v>
      </c>
      <c r="B158" s="15" t="str">
        <f t="shared" si="14"/>
        <v>11_0</v>
      </c>
      <c r="C158" s="20">
        <v>45693.380555555559</v>
      </c>
      <c r="D158" t="s">
        <v>175</v>
      </c>
      <c r="E158">
        <v>2</v>
      </c>
      <c r="F158" t="s">
        <v>127</v>
      </c>
      <c r="G158" t="str">
        <f t="shared" si="15"/>
        <v>Galaxias brevipinnis</v>
      </c>
      <c r="H158" t="str">
        <f t="shared" si="16"/>
        <v>Climbing_galaxias</v>
      </c>
      <c r="I158" t="str">
        <f t="shared" si="17"/>
        <v>Kōaro</v>
      </c>
      <c r="J158" t="str">
        <f t="shared" si="18"/>
        <v>Native</v>
      </c>
      <c r="K158" t="str">
        <f t="shared" si="19"/>
        <v>Yes</v>
      </c>
      <c r="L158">
        <v>1</v>
      </c>
      <c r="N158">
        <v>116</v>
      </c>
      <c r="O158">
        <v>15</v>
      </c>
      <c r="T158" t="str">
        <f t="shared" si="20"/>
        <v/>
      </c>
    </row>
    <row r="159" spans="1:20" x14ac:dyDescent="0.55000000000000004">
      <c r="A159">
        <v>12</v>
      </c>
      <c r="B159" s="15" t="str">
        <f t="shared" si="14"/>
        <v>12_0</v>
      </c>
      <c r="C159" s="20">
        <v>45693.40902777778</v>
      </c>
      <c r="D159" t="s">
        <v>174</v>
      </c>
      <c r="E159">
        <v>2</v>
      </c>
      <c r="F159" t="s">
        <v>115</v>
      </c>
      <c r="G159" t="str">
        <f t="shared" si="15"/>
        <v>Paranephrops planifrons</v>
      </c>
      <c r="H159" t="str">
        <f t="shared" si="16"/>
        <v>Freshwater_crayfish</v>
      </c>
      <c r="I159" t="str">
        <f t="shared" si="17"/>
        <v>Kōura</v>
      </c>
      <c r="J159" t="str">
        <f t="shared" si="18"/>
        <v>Native</v>
      </c>
      <c r="K159" t="str">
        <f t="shared" si="19"/>
        <v>Yes</v>
      </c>
      <c r="L159">
        <v>1</v>
      </c>
      <c r="M159" t="s">
        <v>177</v>
      </c>
      <c r="N159">
        <v>33.56</v>
      </c>
      <c r="O159">
        <v>27</v>
      </c>
      <c r="T159" t="str">
        <f t="shared" si="20"/>
        <v/>
      </c>
    </row>
    <row r="160" spans="1:20" x14ac:dyDescent="0.55000000000000004">
      <c r="A160">
        <v>12</v>
      </c>
      <c r="B160" s="15" t="str">
        <f t="shared" si="14"/>
        <v>12_0</v>
      </c>
      <c r="C160" s="20">
        <v>45693.40902777778</v>
      </c>
      <c r="D160" t="s">
        <v>174</v>
      </c>
      <c r="E160">
        <v>2</v>
      </c>
      <c r="F160" t="s">
        <v>135</v>
      </c>
      <c r="G160" t="str">
        <f t="shared" si="15"/>
        <v>Gobiomorphus cotidianus</v>
      </c>
      <c r="H160" t="str">
        <f t="shared" si="16"/>
        <v>Common_bully</v>
      </c>
      <c r="I160" t="str">
        <f t="shared" si="17"/>
        <v>Toitoi</v>
      </c>
      <c r="J160" t="str">
        <f t="shared" si="18"/>
        <v>Native</v>
      </c>
      <c r="K160" t="str">
        <f t="shared" si="19"/>
        <v>No</v>
      </c>
      <c r="L160">
        <v>35</v>
      </c>
      <c r="O160">
        <v>29</v>
      </c>
      <c r="T160" t="str">
        <f t="shared" si="20"/>
        <v/>
      </c>
    </row>
    <row r="161" spans="1:20" x14ac:dyDescent="0.55000000000000004">
      <c r="A161">
        <v>12</v>
      </c>
      <c r="B161" s="15" t="str">
        <f t="shared" si="14"/>
        <v>12_0</v>
      </c>
      <c r="C161" s="20">
        <v>45693.40902777778</v>
      </c>
      <c r="D161" t="s">
        <v>175</v>
      </c>
      <c r="E161">
        <v>2</v>
      </c>
      <c r="F161" t="s">
        <v>124</v>
      </c>
      <c r="G161" t="str">
        <f t="shared" si="15"/>
        <v>Carassius auratus</v>
      </c>
      <c r="H161" t="str">
        <f t="shared" si="16"/>
        <v>Goldfish</v>
      </c>
      <c r="I161" t="str">
        <f t="shared" si="17"/>
        <v>Morihana</v>
      </c>
      <c r="J161" t="str">
        <f t="shared" si="18"/>
        <v>Nonnative</v>
      </c>
      <c r="K161" t="str">
        <f t="shared" si="19"/>
        <v>No</v>
      </c>
      <c r="L161">
        <v>1</v>
      </c>
      <c r="N161">
        <v>87</v>
      </c>
      <c r="O161">
        <v>17</v>
      </c>
      <c r="T161" t="str">
        <f t="shared" si="20"/>
        <v/>
      </c>
    </row>
    <row r="162" spans="1:20" x14ac:dyDescent="0.55000000000000004">
      <c r="A162">
        <v>12</v>
      </c>
      <c r="B162" s="15" t="str">
        <f t="shared" si="14"/>
        <v>12_0</v>
      </c>
      <c r="C162" s="20">
        <v>45693.40902777778</v>
      </c>
      <c r="D162" t="s">
        <v>175</v>
      </c>
      <c r="E162">
        <v>2</v>
      </c>
      <c r="F162" t="s">
        <v>124</v>
      </c>
      <c r="G162" t="str">
        <f t="shared" si="15"/>
        <v>Carassius auratus</v>
      </c>
      <c r="H162" t="str">
        <f t="shared" si="16"/>
        <v>Goldfish</v>
      </c>
      <c r="I162" t="str">
        <f t="shared" si="17"/>
        <v>Morihana</v>
      </c>
      <c r="J162" t="str">
        <f t="shared" si="18"/>
        <v>Nonnative</v>
      </c>
      <c r="K162" t="str">
        <f t="shared" si="19"/>
        <v>No</v>
      </c>
      <c r="L162">
        <v>1</v>
      </c>
      <c r="N162">
        <v>120</v>
      </c>
      <c r="O162">
        <v>46</v>
      </c>
      <c r="T162" t="str">
        <f t="shared" si="20"/>
        <v/>
      </c>
    </row>
    <row r="163" spans="1:20" x14ac:dyDescent="0.55000000000000004">
      <c r="A163">
        <v>12</v>
      </c>
      <c r="B163" s="15" t="str">
        <f t="shared" si="14"/>
        <v>12_0</v>
      </c>
      <c r="C163" s="20">
        <v>45693.40902777778</v>
      </c>
      <c r="D163" t="s">
        <v>175</v>
      </c>
      <c r="E163">
        <v>2</v>
      </c>
      <c r="F163" t="s">
        <v>124</v>
      </c>
      <c r="G163" t="str">
        <f t="shared" si="15"/>
        <v>Carassius auratus</v>
      </c>
      <c r="H163" t="str">
        <f t="shared" si="16"/>
        <v>Goldfish</v>
      </c>
      <c r="I163" t="str">
        <f t="shared" si="17"/>
        <v>Morihana</v>
      </c>
      <c r="J163" t="str">
        <f t="shared" si="18"/>
        <v>Nonnative</v>
      </c>
      <c r="K163" t="str">
        <f t="shared" si="19"/>
        <v>No</v>
      </c>
      <c r="L163">
        <v>1</v>
      </c>
      <c r="N163">
        <v>131</v>
      </c>
      <c r="O163">
        <v>59</v>
      </c>
      <c r="T163" t="str">
        <f t="shared" si="20"/>
        <v/>
      </c>
    </row>
    <row r="164" spans="1:20" x14ac:dyDescent="0.55000000000000004">
      <c r="A164">
        <v>12</v>
      </c>
      <c r="B164" s="15" t="str">
        <f t="shared" si="14"/>
        <v>12_0</v>
      </c>
      <c r="C164" s="20">
        <v>45693.40902777778</v>
      </c>
      <c r="D164" t="s">
        <v>175</v>
      </c>
      <c r="E164">
        <v>2</v>
      </c>
      <c r="F164" t="s">
        <v>124</v>
      </c>
      <c r="G164" t="str">
        <f t="shared" si="15"/>
        <v>Carassius auratus</v>
      </c>
      <c r="H164" t="str">
        <f t="shared" si="16"/>
        <v>Goldfish</v>
      </c>
      <c r="I164" t="str">
        <f t="shared" si="17"/>
        <v>Morihana</v>
      </c>
      <c r="J164" t="str">
        <f t="shared" si="18"/>
        <v>Nonnative</v>
      </c>
      <c r="K164" t="str">
        <f t="shared" si="19"/>
        <v>No</v>
      </c>
      <c r="L164">
        <v>1</v>
      </c>
      <c r="N164">
        <v>102</v>
      </c>
      <c r="O164">
        <v>26</v>
      </c>
      <c r="T164" t="str">
        <f t="shared" si="20"/>
        <v/>
      </c>
    </row>
    <row r="165" spans="1:20" x14ac:dyDescent="0.55000000000000004">
      <c r="A165">
        <v>12</v>
      </c>
      <c r="B165" s="15" t="str">
        <f t="shared" si="14"/>
        <v>12_0</v>
      </c>
      <c r="C165" s="20">
        <v>45693.40902777778</v>
      </c>
      <c r="D165" t="s">
        <v>175</v>
      </c>
      <c r="E165">
        <v>2</v>
      </c>
      <c r="F165" t="s">
        <v>124</v>
      </c>
      <c r="G165" t="str">
        <f t="shared" si="15"/>
        <v>Carassius auratus</v>
      </c>
      <c r="H165" t="str">
        <f t="shared" si="16"/>
        <v>Goldfish</v>
      </c>
      <c r="I165" t="str">
        <f t="shared" si="17"/>
        <v>Morihana</v>
      </c>
      <c r="J165" t="str">
        <f t="shared" si="18"/>
        <v>Nonnative</v>
      </c>
      <c r="K165" t="str">
        <f t="shared" si="19"/>
        <v>No</v>
      </c>
      <c r="L165">
        <v>1</v>
      </c>
      <c r="N165">
        <v>86</v>
      </c>
      <c r="O165">
        <v>15</v>
      </c>
      <c r="T165" t="str">
        <f t="shared" si="20"/>
        <v/>
      </c>
    </row>
    <row r="166" spans="1:20" x14ac:dyDescent="0.55000000000000004">
      <c r="A166">
        <v>12</v>
      </c>
      <c r="B166" s="15" t="str">
        <f t="shared" si="14"/>
        <v>12_0</v>
      </c>
      <c r="C166" s="20">
        <v>45693.40902777778</v>
      </c>
      <c r="D166" t="s">
        <v>175</v>
      </c>
      <c r="E166">
        <v>2</v>
      </c>
      <c r="F166" t="s">
        <v>133</v>
      </c>
      <c r="G166" t="str">
        <f t="shared" si="15"/>
        <v>Retropinna retropinna</v>
      </c>
      <c r="H166" t="str">
        <f t="shared" si="16"/>
        <v>Common_smelt</v>
      </c>
      <c r="I166" t="str">
        <f t="shared" si="17"/>
        <v>Common_smelt</v>
      </c>
      <c r="J166" t="str">
        <f t="shared" si="18"/>
        <v>Native</v>
      </c>
      <c r="K166" t="str">
        <f t="shared" si="19"/>
        <v>No</v>
      </c>
      <c r="L166">
        <v>7</v>
      </c>
      <c r="O166">
        <v>7</v>
      </c>
      <c r="T166" t="str">
        <f t="shared" si="20"/>
        <v/>
      </c>
    </row>
    <row r="167" spans="1:20" x14ac:dyDescent="0.55000000000000004">
      <c r="A167">
        <v>12</v>
      </c>
      <c r="B167" s="15" t="str">
        <f t="shared" si="14"/>
        <v>12_0</v>
      </c>
      <c r="C167" s="20">
        <v>45693.40902777778</v>
      </c>
      <c r="D167" t="s">
        <v>175</v>
      </c>
      <c r="E167">
        <v>2</v>
      </c>
      <c r="F167" t="s">
        <v>135</v>
      </c>
      <c r="G167" t="str">
        <f t="shared" si="15"/>
        <v>Gobiomorphus cotidianus</v>
      </c>
      <c r="H167" t="str">
        <f t="shared" si="16"/>
        <v>Common_bully</v>
      </c>
      <c r="I167" t="str">
        <f t="shared" si="17"/>
        <v>Toitoi</v>
      </c>
      <c r="J167" t="str">
        <f t="shared" si="18"/>
        <v>Native</v>
      </c>
      <c r="K167" t="str">
        <f t="shared" si="19"/>
        <v>No</v>
      </c>
      <c r="O167">
        <v>540</v>
      </c>
      <c r="S167">
        <v>2.5</v>
      </c>
      <c r="T167">
        <f t="shared" si="20"/>
        <v>591.47</v>
      </c>
    </row>
    <row r="168" spans="1:20" x14ac:dyDescent="0.55000000000000004">
      <c r="A168">
        <v>12</v>
      </c>
      <c r="B168" s="15" t="str">
        <f t="shared" si="14"/>
        <v>12_0</v>
      </c>
      <c r="C168" s="20">
        <v>45693.40902777778</v>
      </c>
      <c r="D168" t="s">
        <v>175</v>
      </c>
      <c r="E168">
        <v>2</v>
      </c>
      <c r="F168" t="s">
        <v>135</v>
      </c>
      <c r="G168" t="str">
        <f t="shared" si="15"/>
        <v>Gobiomorphus cotidianus</v>
      </c>
      <c r="H168" t="str">
        <f t="shared" si="16"/>
        <v>Common_bully</v>
      </c>
      <c r="I168" t="str">
        <f t="shared" si="17"/>
        <v>Toitoi</v>
      </c>
      <c r="J168" t="str">
        <f t="shared" si="18"/>
        <v>Native</v>
      </c>
      <c r="K168" t="str">
        <f t="shared" si="19"/>
        <v>No</v>
      </c>
      <c r="O168">
        <v>555</v>
      </c>
      <c r="S168">
        <v>2.5</v>
      </c>
      <c r="T168">
        <f t="shared" si="20"/>
        <v>591.47</v>
      </c>
    </row>
    <row r="169" spans="1:20" x14ac:dyDescent="0.55000000000000004">
      <c r="A169">
        <v>12</v>
      </c>
      <c r="B169" s="15" t="str">
        <f t="shared" si="14"/>
        <v>12_0</v>
      </c>
      <c r="C169" s="20">
        <v>45693.40902777778</v>
      </c>
      <c r="D169" t="s">
        <v>175</v>
      </c>
      <c r="E169">
        <v>2</v>
      </c>
      <c r="F169" t="s">
        <v>135</v>
      </c>
      <c r="G169" t="str">
        <f t="shared" si="15"/>
        <v>Gobiomorphus cotidianus</v>
      </c>
      <c r="H169" t="str">
        <f t="shared" si="16"/>
        <v>Common_bully</v>
      </c>
      <c r="I169" t="str">
        <f t="shared" si="17"/>
        <v>Toitoi</v>
      </c>
      <c r="J169" t="str">
        <f t="shared" si="18"/>
        <v>Native</v>
      </c>
      <c r="K169" t="str">
        <f t="shared" si="19"/>
        <v>No</v>
      </c>
      <c r="O169">
        <v>541</v>
      </c>
      <c r="S169">
        <v>2.5</v>
      </c>
      <c r="T169">
        <f t="shared" si="20"/>
        <v>591.47</v>
      </c>
    </row>
    <row r="170" spans="1:20" x14ac:dyDescent="0.55000000000000004">
      <c r="A170">
        <v>12</v>
      </c>
      <c r="B170" s="15" t="str">
        <f t="shared" si="14"/>
        <v>12_0</v>
      </c>
      <c r="C170" s="20">
        <v>45693.40902777778</v>
      </c>
      <c r="D170" t="s">
        <v>175</v>
      </c>
      <c r="E170">
        <v>2</v>
      </c>
      <c r="F170" t="s">
        <v>135</v>
      </c>
      <c r="G170" t="str">
        <f t="shared" si="15"/>
        <v>Gobiomorphus cotidianus</v>
      </c>
      <c r="H170" t="str">
        <f t="shared" si="16"/>
        <v>Common_bully</v>
      </c>
      <c r="I170" t="str">
        <f t="shared" si="17"/>
        <v>Toitoi</v>
      </c>
      <c r="J170" t="str">
        <f t="shared" si="18"/>
        <v>Native</v>
      </c>
      <c r="K170" t="str">
        <f t="shared" si="19"/>
        <v>No</v>
      </c>
      <c r="O170">
        <f>490-117</f>
        <v>373</v>
      </c>
      <c r="S170">
        <v>1.5</v>
      </c>
      <c r="T170">
        <f t="shared" si="20"/>
        <v>354.88200000000001</v>
      </c>
    </row>
    <row r="171" spans="1:20" x14ac:dyDescent="0.55000000000000004">
      <c r="A171">
        <v>12</v>
      </c>
      <c r="B171" s="15" t="str">
        <f t="shared" si="14"/>
        <v>12_0</v>
      </c>
      <c r="C171" s="20">
        <v>45693.40902777778</v>
      </c>
      <c r="D171" t="s">
        <v>175</v>
      </c>
      <c r="E171">
        <v>2</v>
      </c>
      <c r="F171" t="s">
        <v>135</v>
      </c>
      <c r="G171" t="str">
        <f t="shared" si="15"/>
        <v>Gobiomorphus cotidianus</v>
      </c>
      <c r="H171" t="str">
        <f t="shared" si="16"/>
        <v>Common_bully</v>
      </c>
      <c r="I171" t="str">
        <f t="shared" si="17"/>
        <v>Toitoi</v>
      </c>
      <c r="J171" t="str">
        <f t="shared" si="18"/>
        <v>Native</v>
      </c>
      <c r="K171" t="str">
        <f t="shared" si="19"/>
        <v>No</v>
      </c>
      <c r="O171">
        <f>526-117</f>
        <v>409</v>
      </c>
      <c r="S171">
        <v>2</v>
      </c>
      <c r="T171">
        <f t="shared" si="20"/>
        <v>473.17599999999999</v>
      </c>
    </row>
    <row r="172" spans="1:20" x14ac:dyDescent="0.55000000000000004">
      <c r="A172">
        <v>13</v>
      </c>
      <c r="B172" s="15" t="str">
        <f t="shared" si="14"/>
        <v>13_0</v>
      </c>
      <c r="C172" s="20">
        <v>45695.576388888891</v>
      </c>
      <c r="D172" t="s">
        <v>174</v>
      </c>
      <c r="E172">
        <v>2</v>
      </c>
      <c r="F172" t="s">
        <v>135</v>
      </c>
      <c r="G172" t="str">
        <f t="shared" si="15"/>
        <v>Gobiomorphus cotidianus</v>
      </c>
      <c r="H172" t="str">
        <f t="shared" si="16"/>
        <v>Common_bully</v>
      </c>
      <c r="I172" t="str">
        <f t="shared" si="17"/>
        <v>Toitoi</v>
      </c>
      <c r="J172" t="str">
        <f t="shared" si="18"/>
        <v>Native</v>
      </c>
      <c r="K172" t="str">
        <f t="shared" si="19"/>
        <v>No</v>
      </c>
      <c r="L172">
        <v>22</v>
      </c>
      <c r="O172">
        <v>14</v>
      </c>
      <c r="T172" t="str">
        <f t="shared" si="20"/>
        <v/>
      </c>
    </row>
    <row r="173" spans="1:20" x14ac:dyDescent="0.55000000000000004">
      <c r="A173">
        <v>13</v>
      </c>
      <c r="B173" s="15" t="str">
        <f t="shared" si="14"/>
        <v>13_0</v>
      </c>
      <c r="C173" s="20">
        <v>45695.576388888891</v>
      </c>
      <c r="D173" t="s">
        <v>175</v>
      </c>
      <c r="E173">
        <v>2</v>
      </c>
      <c r="F173" t="s">
        <v>133</v>
      </c>
      <c r="G173" t="str">
        <f t="shared" si="15"/>
        <v>Retropinna retropinna</v>
      </c>
      <c r="H173" t="str">
        <f t="shared" si="16"/>
        <v>Common_smelt</v>
      </c>
      <c r="I173" t="str">
        <f t="shared" si="17"/>
        <v>Common_smelt</v>
      </c>
      <c r="J173" t="str">
        <f t="shared" si="18"/>
        <v>Native</v>
      </c>
      <c r="K173" t="str">
        <f t="shared" si="19"/>
        <v>No</v>
      </c>
      <c r="L173">
        <v>50</v>
      </c>
      <c r="O173">
        <f>174-117</f>
        <v>57</v>
      </c>
      <c r="T173" t="str">
        <f t="shared" si="20"/>
        <v/>
      </c>
    </row>
    <row r="174" spans="1:20" x14ac:dyDescent="0.55000000000000004">
      <c r="A174">
        <v>13</v>
      </c>
      <c r="B174" s="15" t="str">
        <f t="shared" si="14"/>
        <v>13_0</v>
      </c>
      <c r="C174" s="20">
        <v>45695.576388888891</v>
      </c>
      <c r="D174" t="s">
        <v>175</v>
      </c>
      <c r="E174">
        <v>2</v>
      </c>
      <c r="F174" t="s">
        <v>124</v>
      </c>
      <c r="G174" t="str">
        <f t="shared" si="15"/>
        <v>Carassius auratus</v>
      </c>
      <c r="H174" t="str">
        <f t="shared" si="16"/>
        <v>Goldfish</v>
      </c>
      <c r="I174" t="str">
        <f t="shared" si="17"/>
        <v>Morihana</v>
      </c>
      <c r="J174" t="str">
        <f t="shared" si="18"/>
        <v>Nonnative</v>
      </c>
      <c r="K174" t="str">
        <f t="shared" si="19"/>
        <v>No</v>
      </c>
      <c r="L174">
        <v>1</v>
      </c>
      <c r="N174">
        <v>100</v>
      </c>
      <c r="O174">
        <v>26</v>
      </c>
      <c r="T174" t="str">
        <f t="shared" si="20"/>
        <v/>
      </c>
    </row>
    <row r="175" spans="1:20" x14ac:dyDescent="0.55000000000000004">
      <c r="A175">
        <v>13</v>
      </c>
      <c r="B175" s="15" t="str">
        <f t="shared" si="14"/>
        <v>13_0</v>
      </c>
      <c r="C175" s="20">
        <v>45695.576388888891</v>
      </c>
      <c r="D175" t="s">
        <v>175</v>
      </c>
      <c r="E175">
        <v>2</v>
      </c>
      <c r="F175" t="s">
        <v>124</v>
      </c>
      <c r="G175" t="str">
        <f t="shared" si="15"/>
        <v>Carassius auratus</v>
      </c>
      <c r="H175" t="str">
        <f t="shared" si="16"/>
        <v>Goldfish</v>
      </c>
      <c r="I175" t="str">
        <f t="shared" si="17"/>
        <v>Morihana</v>
      </c>
      <c r="J175" t="str">
        <f t="shared" si="18"/>
        <v>Nonnative</v>
      </c>
      <c r="K175" t="str">
        <f t="shared" si="19"/>
        <v>No</v>
      </c>
      <c r="L175">
        <v>1</v>
      </c>
      <c r="N175">
        <v>120</v>
      </c>
      <c r="O175">
        <v>44</v>
      </c>
      <c r="T175" t="str">
        <f t="shared" si="20"/>
        <v/>
      </c>
    </row>
    <row r="176" spans="1:20" x14ac:dyDescent="0.55000000000000004">
      <c r="A176">
        <v>13</v>
      </c>
      <c r="B176" s="15" t="str">
        <f t="shared" si="14"/>
        <v>13_0</v>
      </c>
      <c r="C176" s="20">
        <v>45695.576388888891</v>
      </c>
      <c r="D176" t="s">
        <v>175</v>
      </c>
      <c r="E176">
        <v>2</v>
      </c>
      <c r="F176" t="s">
        <v>124</v>
      </c>
      <c r="G176" t="str">
        <f t="shared" si="15"/>
        <v>Carassius auratus</v>
      </c>
      <c r="H176" t="str">
        <f t="shared" si="16"/>
        <v>Goldfish</v>
      </c>
      <c r="I176" t="str">
        <f t="shared" si="17"/>
        <v>Morihana</v>
      </c>
      <c r="J176" t="str">
        <f t="shared" si="18"/>
        <v>Nonnative</v>
      </c>
      <c r="K176" t="str">
        <f t="shared" si="19"/>
        <v>No</v>
      </c>
      <c r="L176">
        <v>1</v>
      </c>
      <c r="N176">
        <v>125</v>
      </c>
      <c r="O176">
        <v>48</v>
      </c>
      <c r="T176" t="str">
        <f t="shared" si="20"/>
        <v/>
      </c>
    </row>
    <row r="177" spans="1:20" x14ac:dyDescent="0.55000000000000004">
      <c r="A177">
        <v>13</v>
      </c>
      <c r="B177" s="15" t="str">
        <f t="shared" si="14"/>
        <v>13_0</v>
      </c>
      <c r="C177" s="20">
        <v>45695.576388888891</v>
      </c>
      <c r="D177" t="s">
        <v>175</v>
      </c>
      <c r="E177">
        <v>2</v>
      </c>
      <c r="F177" t="s">
        <v>124</v>
      </c>
      <c r="G177" t="str">
        <f t="shared" si="15"/>
        <v>Carassius auratus</v>
      </c>
      <c r="H177" t="str">
        <f t="shared" si="16"/>
        <v>Goldfish</v>
      </c>
      <c r="I177" t="str">
        <f t="shared" si="17"/>
        <v>Morihana</v>
      </c>
      <c r="J177" t="str">
        <f t="shared" si="18"/>
        <v>Nonnative</v>
      </c>
      <c r="K177" t="str">
        <f t="shared" si="19"/>
        <v>No</v>
      </c>
      <c r="L177">
        <v>1</v>
      </c>
      <c r="N177">
        <v>120</v>
      </c>
      <c r="O177">
        <v>45</v>
      </c>
      <c r="T177" t="str">
        <f t="shared" si="20"/>
        <v/>
      </c>
    </row>
    <row r="178" spans="1:20" x14ac:dyDescent="0.55000000000000004">
      <c r="A178">
        <v>13</v>
      </c>
      <c r="B178" s="15" t="str">
        <f t="shared" si="14"/>
        <v>13_0</v>
      </c>
      <c r="C178" s="20">
        <v>45695.576388888891</v>
      </c>
      <c r="D178" t="s">
        <v>175</v>
      </c>
      <c r="E178">
        <v>2</v>
      </c>
      <c r="F178" t="s">
        <v>124</v>
      </c>
      <c r="G178" t="str">
        <f t="shared" si="15"/>
        <v>Carassius auratus</v>
      </c>
      <c r="H178" t="str">
        <f t="shared" si="16"/>
        <v>Goldfish</v>
      </c>
      <c r="I178" t="str">
        <f t="shared" si="17"/>
        <v>Morihana</v>
      </c>
      <c r="J178" t="str">
        <f t="shared" si="18"/>
        <v>Nonnative</v>
      </c>
      <c r="K178" t="str">
        <f t="shared" si="19"/>
        <v>No</v>
      </c>
      <c r="L178">
        <v>1</v>
      </c>
      <c r="N178">
        <v>95</v>
      </c>
      <c r="O178">
        <v>21</v>
      </c>
      <c r="T178" t="str">
        <f t="shared" si="20"/>
        <v/>
      </c>
    </row>
    <row r="179" spans="1:20" x14ac:dyDescent="0.55000000000000004">
      <c r="A179">
        <v>13</v>
      </c>
      <c r="B179" s="15" t="str">
        <f t="shared" si="14"/>
        <v>13_0</v>
      </c>
      <c r="C179" s="20">
        <v>45695.576388888891</v>
      </c>
      <c r="D179" t="s">
        <v>175</v>
      </c>
      <c r="E179">
        <v>2</v>
      </c>
      <c r="F179" t="s">
        <v>124</v>
      </c>
      <c r="G179" t="str">
        <f t="shared" si="15"/>
        <v>Carassius auratus</v>
      </c>
      <c r="H179" t="str">
        <f t="shared" si="16"/>
        <v>Goldfish</v>
      </c>
      <c r="I179" t="str">
        <f t="shared" si="17"/>
        <v>Morihana</v>
      </c>
      <c r="J179" t="str">
        <f t="shared" si="18"/>
        <v>Nonnative</v>
      </c>
      <c r="K179" t="str">
        <f t="shared" si="19"/>
        <v>No</v>
      </c>
      <c r="L179">
        <v>1</v>
      </c>
      <c r="N179">
        <v>107</v>
      </c>
      <c r="O179">
        <v>33</v>
      </c>
      <c r="T179" t="str">
        <f t="shared" si="20"/>
        <v/>
      </c>
    </row>
    <row r="180" spans="1:20" x14ac:dyDescent="0.55000000000000004">
      <c r="A180">
        <v>13</v>
      </c>
      <c r="B180" s="15" t="str">
        <f t="shared" si="14"/>
        <v>13_0</v>
      </c>
      <c r="C180" s="20">
        <v>45695.576388888891</v>
      </c>
      <c r="D180" t="s">
        <v>175</v>
      </c>
      <c r="E180">
        <v>2</v>
      </c>
      <c r="F180" t="s">
        <v>124</v>
      </c>
      <c r="G180" t="str">
        <f t="shared" si="15"/>
        <v>Carassius auratus</v>
      </c>
      <c r="H180" t="str">
        <f t="shared" si="16"/>
        <v>Goldfish</v>
      </c>
      <c r="I180" t="str">
        <f t="shared" si="17"/>
        <v>Morihana</v>
      </c>
      <c r="J180" t="str">
        <f t="shared" si="18"/>
        <v>Nonnative</v>
      </c>
      <c r="K180" t="str">
        <f t="shared" si="19"/>
        <v>No</v>
      </c>
      <c r="L180">
        <v>1</v>
      </c>
      <c r="N180">
        <v>90</v>
      </c>
      <c r="O180">
        <v>15</v>
      </c>
      <c r="T180" t="str">
        <f t="shared" si="20"/>
        <v/>
      </c>
    </row>
    <row r="181" spans="1:20" x14ac:dyDescent="0.55000000000000004">
      <c r="A181">
        <v>13</v>
      </c>
      <c r="B181" s="15" t="str">
        <f t="shared" si="14"/>
        <v>13_0</v>
      </c>
      <c r="C181" s="20">
        <v>45695.576388888891</v>
      </c>
      <c r="D181" t="s">
        <v>175</v>
      </c>
      <c r="E181">
        <v>2</v>
      </c>
      <c r="F181" t="s">
        <v>124</v>
      </c>
      <c r="G181" t="str">
        <f t="shared" si="15"/>
        <v>Carassius auratus</v>
      </c>
      <c r="H181" t="str">
        <f t="shared" si="16"/>
        <v>Goldfish</v>
      </c>
      <c r="I181" t="str">
        <f t="shared" si="17"/>
        <v>Morihana</v>
      </c>
      <c r="J181" t="str">
        <f t="shared" si="18"/>
        <v>Nonnative</v>
      </c>
      <c r="K181" t="str">
        <f t="shared" si="19"/>
        <v>No</v>
      </c>
      <c r="L181">
        <v>1</v>
      </c>
      <c r="N181">
        <v>98</v>
      </c>
      <c r="O181">
        <v>22</v>
      </c>
      <c r="T181" t="str">
        <f t="shared" si="20"/>
        <v/>
      </c>
    </row>
    <row r="182" spans="1:20" x14ac:dyDescent="0.55000000000000004">
      <c r="A182">
        <v>13</v>
      </c>
      <c r="B182" s="15" t="str">
        <f t="shared" si="14"/>
        <v>13_0</v>
      </c>
      <c r="C182" s="20">
        <v>45695.576388888891</v>
      </c>
      <c r="D182" t="s">
        <v>175</v>
      </c>
      <c r="E182">
        <v>2</v>
      </c>
      <c r="F182" t="s">
        <v>124</v>
      </c>
      <c r="G182" t="str">
        <f t="shared" si="15"/>
        <v>Carassius auratus</v>
      </c>
      <c r="H182" t="str">
        <f t="shared" si="16"/>
        <v>Goldfish</v>
      </c>
      <c r="I182" t="str">
        <f t="shared" si="17"/>
        <v>Morihana</v>
      </c>
      <c r="J182" t="str">
        <f t="shared" si="18"/>
        <v>Nonnative</v>
      </c>
      <c r="K182" t="str">
        <f t="shared" si="19"/>
        <v>No</v>
      </c>
      <c r="L182">
        <v>1</v>
      </c>
      <c r="N182">
        <v>80</v>
      </c>
      <c r="O182">
        <v>20</v>
      </c>
      <c r="T182" t="str">
        <f t="shared" si="20"/>
        <v/>
      </c>
    </row>
    <row r="183" spans="1:20" x14ac:dyDescent="0.55000000000000004">
      <c r="A183">
        <v>13</v>
      </c>
      <c r="B183" s="15" t="str">
        <f t="shared" si="14"/>
        <v>13_0</v>
      </c>
      <c r="C183" s="20">
        <v>45695.576388888891</v>
      </c>
      <c r="D183" t="s">
        <v>175</v>
      </c>
      <c r="E183">
        <v>2</v>
      </c>
      <c r="F183" t="s">
        <v>124</v>
      </c>
      <c r="G183" t="str">
        <f t="shared" si="15"/>
        <v>Carassius auratus</v>
      </c>
      <c r="H183" t="str">
        <f t="shared" si="16"/>
        <v>Goldfish</v>
      </c>
      <c r="I183" t="str">
        <f t="shared" si="17"/>
        <v>Morihana</v>
      </c>
      <c r="J183" t="str">
        <f t="shared" si="18"/>
        <v>Nonnative</v>
      </c>
      <c r="K183" t="str">
        <f t="shared" si="19"/>
        <v>No</v>
      </c>
      <c r="L183">
        <v>1</v>
      </c>
      <c r="N183">
        <v>87</v>
      </c>
      <c r="O183">
        <v>21</v>
      </c>
      <c r="T183" t="str">
        <f t="shared" si="20"/>
        <v/>
      </c>
    </row>
    <row r="184" spans="1:20" x14ac:dyDescent="0.55000000000000004">
      <c r="A184">
        <v>13</v>
      </c>
      <c r="B184" s="15" t="str">
        <f t="shared" si="14"/>
        <v>13_0</v>
      </c>
      <c r="C184" s="20">
        <v>45695.576388888891</v>
      </c>
      <c r="D184" t="s">
        <v>175</v>
      </c>
      <c r="E184">
        <v>2</v>
      </c>
      <c r="F184" t="s">
        <v>124</v>
      </c>
      <c r="G184" t="str">
        <f t="shared" si="15"/>
        <v>Carassius auratus</v>
      </c>
      <c r="H184" t="str">
        <f t="shared" si="16"/>
        <v>Goldfish</v>
      </c>
      <c r="I184" t="str">
        <f t="shared" si="17"/>
        <v>Morihana</v>
      </c>
      <c r="J184" t="str">
        <f t="shared" si="18"/>
        <v>Nonnative</v>
      </c>
      <c r="K184" t="str">
        <f t="shared" si="19"/>
        <v>No</v>
      </c>
      <c r="L184">
        <v>1</v>
      </c>
      <c r="N184">
        <v>82</v>
      </c>
      <c r="O184">
        <v>17</v>
      </c>
      <c r="T184" t="str">
        <f t="shared" si="20"/>
        <v/>
      </c>
    </row>
    <row r="185" spans="1:20" x14ac:dyDescent="0.55000000000000004">
      <c r="A185">
        <v>13</v>
      </c>
      <c r="B185" s="15" t="str">
        <f t="shared" si="14"/>
        <v>13_0</v>
      </c>
      <c r="C185" s="20">
        <v>45695.576388888891</v>
      </c>
      <c r="D185" t="s">
        <v>175</v>
      </c>
      <c r="E185">
        <v>2</v>
      </c>
      <c r="F185" t="s">
        <v>120</v>
      </c>
      <c r="G185" t="str">
        <f t="shared" si="15"/>
        <v>Ameiurus nebulosus</v>
      </c>
      <c r="H185" t="str">
        <f t="shared" si="16"/>
        <v>Catfish</v>
      </c>
      <c r="I185" t="str">
        <f t="shared" si="17"/>
        <v>Catfish</v>
      </c>
      <c r="J185" t="str">
        <f t="shared" si="18"/>
        <v>Nonnative</v>
      </c>
      <c r="K185" t="str">
        <f t="shared" si="19"/>
        <v>No</v>
      </c>
      <c r="L185">
        <v>1</v>
      </c>
      <c r="N185">
        <v>133</v>
      </c>
      <c r="O185">
        <v>35</v>
      </c>
      <c r="T185" t="str">
        <f t="shared" si="20"/>
        <v/>
      </c>
    </row>
    <row r="186" spans="1:20" x14ac:dyDescent="0.55000000000000004">
      <c r="A186">
        <v>13</v>
      </c>
      <c r="B186" s="15" t="str">
        <f t="shared" si="14"/>
        <v>13_0</v>
      </c>
      <c r="C186" s="20">
        <v>45695.576388888891</v>
      </c>
      <c r="D186" t="s">
        <v>175</v>
      </c>
      <c r="E186">
        <v>2</v>
      </c>
      <c r="F186" t="s">
        <v>135</v>
      </c>
      <c r="G186" t="str">
        <f t="shared" si="15"/>
        <v>Gobiomorphus cotidianus</v>
      </c>
      <c r="H186" t="str">
        <f t="shared" si="16"/>
        <v>Common_bully</v>
      </c>
      <c r="I186" t="str">
        <f t="shared" si="17"/>
        <v>Toitoi</v>
      </c>
      <c r="J186" t="str">
        <f t="shared" si="18"/>
        <v>Native</v>
      </c>
      <c r="K186" t="str">
        <f t="shared" si="19"/>
        <v>No</v>
      </c>
      <c r="O186">
        <v>528</v>
      </c>
      <c r="S186">
        <v>2.5</v>
      </c>
      <c r="T186">
        <f t="shared" si="20"/>
        <v>591.47</v>
      </c>
    </row>
    <row r="187" spans="1:20" x14ac:dyDescent="0.55000000000000004">
      <c r="A187">
        <v>13</v>
      </c>
      <c r="B187" s="15" t="str">
        <f t="shared" si="14"/>
        <v>13_0</v>
      </c>
      <c r="C187" s="20">
        <v>45695.576388888891</v>
      </c>
      <c r="D187" t="s">
        <v>175</v>
      </c>
      <c r="E187">
        <v>2</v>
      </c>
      <c r="F187" t="s">
        <v>135</v>
      </c>
      <c r="G187" t="str">
        <f t="shared" si="15"/>
        <v>Gobiomorphus cotidianus</v>
      </c>
      <c r="H187" t="str">
        <f t="shared" si="16"/>
        <v>Common_bully</v>
      </c>
      <c r="I187" t="str">
        <f t="shared" si="17"/>
        <v>Toitoi</v>
      </c>
      <c r="J187" t="str">
        <f t="shared" si="18"/>
        <v>Native</v>
      </c>
      <c r="K187" t="str">
        <f t="shared" si="19"/>
        <v>No</v>
      </c>
      <c r="O187">
        <v>577</v>
      </c>
      <c r="S187">
        <v>2.5</v>
      </c>
      <c r="T187">
        <f t="shared" si="20"/>
        <v>591.47</v>
      </c>
    </row>
    <row r="188" spans="1:20" x14ac:dyDescent="0.55000000000000004">
      <c r="A188">
        <v>13</v>
      </c>
      <c r="B188" s="15" t="str">
        <f t="shared" si="14"/>
        <v>13_0</v>
      </c>
      <c r="C188" s="20">
        <v>45695.576388888891</v>
      </c>
      <c r="D188" t="s">
        <v>175</v>
      </c>
      <c r="E188">
        <v>2</v>
      </c>
      <c r="F188" t="s">
        <v>135</v>
      </c>
      <c r="G188" t="str">
        <f t="shared" si="15"/>
        <v>Gobiomorphus cotidianus</v>
      </c>
      <c r="H188" t="str">
        <f t="shared" si="16"/>
        <v>Common_bully</v>
      </c>
      <c r="I188" t="str">
        <f t="shared" si="17"/>
        <v>Toitoi</v>
      </c>
      <c r="J188" t="str">
        <f t="shared" si="18"/>
        <v>Native</v>
      </c>
      <c r="K188" t="str">
        <f t="shared" si="19"/>
        <v>No</v>
      </c>
      <c r="O188">
        <v>361</v>
      </c>
      <c r="S188">
        <v>2</v>
      </c>
      <c r="T188">
        <f t="shared" si="20"/>
        <v>473.17599999999999</v>
      </c>
    </row>
    <row r="189" spans="1:20" x14ac:dyDescent="0.55000000000000004">
      <c r="A189">
        <v>14</v>
      </c>
      <c r="B189" s="15" t="str">
        <f t="shared" si="14"/>
        <v>14_0</v>
      </c>
      <c r="C189" s="20">
        <v>45695.59375</v>
      </c>
      <c r="D189" t="s">
        <v>174</v>
      </c>
      <c r="E189">
        <v>2</v>
      </c>
      <c r="F189" t="s">
        <v>135</v>
      </c>
      <c r="G189" t="str">
        <f t="shared" si="15"/>
        <v>Gobiomorphus cotidianus</v>
      </c>
      <c r="H189" t="str">
        <f t="shared" si="16"/>
        <v>Common_bully</v>
      </c>
      <c r="I189" t="str">
        <f t="shared" si="17"/>
        <v>Toitoi</v>
      </c>
      <c r="J189" t="str">
        <f t="shared" si="18"/>
        <v>Native</v>
      </c>
      <c r="K189" t="str">
        <f t="shared" si="19"/>
        <v>No</v>
      </c>
      <c r="L189">
        <v>8</v>
      </c>
      <c r="O189">
        <v>5</v>
      </c>
      <c r="T189" t="str">
        <f t="shared" si="20"/>
        <v/>
      </c>
    </row>
    <row r="190" spans="1:20" x14ac:dyDescent="0.55000000000000004">
      <c r="A190">
        <v>14</v>
      </c>
      <c r="B190" s="15" t="str">
        <f t="shared" si="14"/>
        <v>14_0</v>
      </c>
      <c r="C190" s="20">
        <v>45695.59375</v>
      </c>
      <c r="D190" t="s">
        <v>175</v>
      </c>
      <c r="E190">
        <v>2</v>
      </c>
      <c r="F190" t="s">
        <v>124</v>
      </c>
      <c r="G190" t="str">
        <f t="shared" si="15"/>
        <v>Carassius auratus</v>
      </c>
      <c r="H190" t="str">
        <f t="shared" si="16"/>
        <v>Goldfish</v>
      </c>
      <c r="I190" t="str">
        <f t="shared" si="17"/>
        <v>Morihana</v>
      </c>
      <c r="J190" t="str">
        <f t="shared" si="18"/>
        <v>Nonnative</v>
      </c>
      <c r="K190" t="str">
        <f t="shared" si="19"/>
        <v>No</v>
      </c>
      <c r="L190">
        <v>1</v>
      </c>
      <c r="N190">
        <v>180</v>
      </c>
      <c r="O190">
        <v>148</v>
      </c>
      <c r="T190" t="str">
        <f t="shared" si="20"/>
        <v/>
      </c>
    </row>
    <row r="191" spans="1:20" x14ac:dyDescent="0.55000000000000004">
      <c r="A191">
        <v>14</v>
      </c>
      <c r="B191" s="15" t="str">
        <f t="shared" si="14"/>
        <v>14_0</v>
      </c>
      <c r="C191" s="20">
        <v>45695.59375</v>
      </c>
      <c r="D191" t="s">
        <v>175</v>
      </c>
      <c r="E191">
        <v>2</v>
      </c>
      <c r="F191" t="s">
        <v>124</v>
      </c>
      <c r="G191" t="str">
        <f t="shared" si="15"/>
        <v>Carassius auratus</v>
      </c>
      <c r="H191" t="str">
        <f t="shared" si="16"/>
        <v>Goldfish</v>
      </c>
      <c r="I191" t="str">
        <f t="shared" si="17"/>
        <v>Morihana</v>
      </c>
      <c r="J191" t="str">
        <f t="shared" si="18"/>
        <v>Nonnative</v>
      </c>
      <c r="K191" t="str">
        <f t="shared" si="19"/>
        <v>No</v>
      </c>
      <c r="L191">
        <v>1</v>
      </c>
      <c r="N191">
        <v>114</v>
      </c>
      <c r="O191">
        <v>45</v>
      </c>
      <c r="T191" t="str">
        <f t="shared" si="20"/>
        <v/>
      </c>
    </row>
    <row r="192" spans="1:20" x14ac:dyDescent="0.55000000000000004">
      <c r="A192">
        <v>14</v>
      </c>
      <c r="B192" s="15" t="str">
        <f t="shared" si="14"/>
        <v>14_0</v>
      </c>
      <c r="C192" s="20">
        <v>45695.59375</v>
      </c>
      <c r="D192" t="s">
        <v>175</v>
      </c>
      <c r="E192">
        <v>2</v>
      </c>
      <c r="F192" t="s">
        <v>124</v>
      </c>
      <c r="G192" t="str">
        <f t="shared" si="15"/>
        <v>Carassius auratus</v>
      </c>
      <c r="H192" t="str">
        <f t="shared" si="16"/>
        <v>Goldfish</v>
      </c>
      <c r="I192" t="str">
        <f t="shared" si="17"/>
        <v>Morihana</v>
      </c>
      <c r="J192" t="str">
        <f t="shared" si="18"/>
        <v>Nonnative</v>
      </c>
      <c r="K192" t="str">
        <f t="shared" si="19"/>
        <v>No</v>
      </c>
      <c r="L192">
        <v>1</v>
      </c>
      <c r="N192">
        <v>144</v>
      </c>
      <c r="O192">
        <v>73</v>
      </c>
      <c r="T192" t="str">
        <f t="shared" si="20"/>
        <v/>
      </c>
    </row>
    <row r="193" spans="1:20" x14ac:dyDescent="0.55000000000000004">
      <c r="A193">
        <v>14</v>
      </c>
      <c r="B193" s="15" t="str">
        <f t="shared" si="14"/>
        <v>14_0</v>
      </c>
      <c r="C193" s="20">
        <v>45695.59375</v>
      </c>
      <c r="D193" t="s">
        <v>175</v>
      </c>
      <c r="E193">
        <v>2</v>
      </c>
      <c r="F193" t="s">
        <v>124</v>
      </c>
      <c r="G193" t="str">
        <f t="shared" si="15"/>
        <v>Carassius auratus</v>
      </c>
      <c r="H193" t="str">
        <f t="shared" si="16"/>
        <v>Goldfish</v>
      </c>
      <c r="I193" t="str">
        <f t="shared" si="17"/>
        <v>Morihana</v>
      </c>
      <c r="J193" t="str">
        <f t="shared" si="18"/>
        <v>Nonnative</v>
      </c>
      <c r="K193" t="str">
        <f t="shared" si="19"/>
        <v>No</v>
      </c>
      <c r="L193">
        <v>1</v>
      </c>
      <c r="N193">
        <v>116</v>
      </c>
      <c r="O193">
        <v>129</v>
      </c>
      <c r="T193" t="str">
        <f t="shared" si="20"/>
        <v/>
      </c>
    </row>
    <row r="194" spans="1:20" x14ac:dyDescent="0.55000000000000004">
      <c r="A194">
        <v>14</v>
      </c>
      <c r="B194" s="15" t="str">
        <f t="shared" ref="B194:B257" si="21">A194 &amp; "_0"</f>
        <v>14_0</v>
      </c>
      <c r="C194" s="20">
        <v>45695.59375</v>
      </c>
      <c r="D194" t="s">
        <v>175</v>
      </c>
      <c r="E194">
        <v>2</v>
      </c>
      <c r="F194" t="s">
        <v>124</v>
      </c>
      <c r="G194" t="str">
        <f t="shared" ref="G194:G257" si="22">VLOOKUP($F194, $W$1:$AB$10, 2, FALSE)</f>
        <v>Carassius auratus</v>
      </c>
      <c r="H194" t="str">
        <f t="shared" ref="H194:H257" si="23">VLOOKUP($F194, $W$1:$AB$10, 3, FALSE)</f>
        <v>Goldfish</v>
      </c>
      <c r="I194" t="str">
        <f t="shared" ref="I194:I257" si="24">VLOOKUP($F194, $W$1:$AB$10, 4, FALSE)</f>
        <v>Morihana</v>
      </c>
      <c r="J194" t="str">
        <f t="shared" ref="J194:J257" si="25">VLOOKUP($F194, $W$1:$AC$10, 5, FALSE)</f>
        <v>Nonnative</v>
      </c>
      <c r="K194" t="str">
        <f t="shared" ref="K194:K257" si="26">VLOOKUP($F194, $W$1:$AB$10, 6, FALSE)</f>
        <v>No</v>
      </c>
      <c r="L194">
        <v>1</v>
      </c>
      <c r="N194">
        <v>152</v>
      </c>
      <c r="O194">
        <v>88</v>
      </c>
      <c r="T194" t="str">
        <f t="shared" ref="T194:T257" si="27">IF(S194&lt;&gt;"", S194*236.588, "")</f>
        <v/>
      </c>
    </row>
    <row r="195" spans="1:20" x14ac:dyDescent="0.55000000000000004">
      <c r="A195">
        <v>14</v>
      </c>
      <c r="B195" s="15" t="str">
        <f t="shared" si="21"/>
        <v>14_0</v>
      </c>
      <c r="C195" s="20">
        <v>45695.59375</v>
      </c>
      <c r="D195" t="s">
        <v>175</v>
      </c>
      <c r="E195">
        <v>2</v>
      </c>
      <c r="F195" t="s">
        <v>124</v>
      </c>
      <c r="G195" t="str">
        <f t="shared" si="22"/>
        <v>Carassius auratus</v>
      </c>
      <c r="H195" t="str">
        <f t="shared" si="23"/>
        <v>Goldfish</v>
      </c>
      <c r="I195" t="str">
        <f t="shared" si="24"/>
        <v>Morihana</v>
      </c>
      <c r="J195" t="str">
        <f t="shared" si="25"/>
        <v>Nonnative</v>
      </c>
      <c r="K195" t="str">
        <f t="shared" si="26"/>
        <v>No</v>
      </c>
      <c r="L195">
        <v>1</v>
      </c>
      <c r="N195">
        <v>71</v>
      </c>
      <c r="O195">
        <v>10</v>
      </c>
      <c r="T195" t="str">
        <f t="shared" si="27"/>
        <v/>
      </c>
    </row>
    <row r="196" spans="1:20" x14ac:dyDescent="0.55000000000000004">
      <c r="A196">
        <v>14</v>
      </c>
      <c r="B196" s="15" t="str">
        <f t="shared" si="21"/>
        <v>14_0</v>
      </c>
      <c r="C196" s="20">
        <v>45695.59375</v>
      </c>
      <c r="D196" t="s">
        <v>175</v>
      </c>
      <c r="E196">
        <v>2</v>
      </c>
      <c r="F196" t="s">
        <v>124</v>
      </c>
      <c r="G196" t="str">
        <f t="shared" si="22"/>
        <v>Carassius auratus</v>
      </c>
      <c r="H196" t="str">
        <f t="shared" si="23"/>
        <v>Goldfish</v>
      </c>
      <c r="I196" t="str">
        <f t="shared" si="24"/>
        <v>Morihana</v>
      </c>
      <c r="J196" t="str">
        <f t="shared" si="25"/>
        <v>Nonnative</v>
      </c>
      <c r="K196" t="str">
        <f t="shared" si="26"/>
        <v>No</v>
      </c>
      <c r="L196">
        <v>1</v>
      </c>
      <c r="N196">
        <v>135</v>
      </c>
      <c r="O196">
        <v>68</v>
      </c>
      <c r="T196" t="str">
        <f t="shared" si="27"/>
        <v/>
      </c>
    </row>
    <row r="197" spans="1:20" x14ac:dyDescent="0.55000000000000004">
      <c r="A197">
        <v>14</v>
      </c>
      <c r="B197" s="15" t="str">
        <f t="shared" si="21"/>
        <v>14_0</v>
      </c>
      <c r="C197" s="20">
        <v>45695.59375</v>
      </c>
      <c r="D197" t="s">
        <v>175</v>
      </c>
      <c r="E197">
        <v>2</v>
      </c>
      <c r="F197" t="s">
        <v>124</v>
      </c>
      <c r="G197" t="str">
        <f t="shared" si="22"/>
        <v>Carassius auratus</v>
      </c>
      <c r="H197" t="str">
        <f t="shared" si="23"/>
        <v>Goldfish</v>
      </c>
      <c r="I197" t="str">
        <f t="shared" si="24"/>
        <v>Morihana</v>
      </c>
      <c r="J197" t="str">
        <f t="shared" si="25"/>
        <v>Nonnative</v>
      </c>
      <c r="K197" t="str">
        <f t="shared" si="26"/>
        <v>No</v>
      </c>
      <c r="L197">
        <v>1</v>
      </c>
      <c r="N197">
        <v>88</v>
      </c>
      <c r="O197">
        <v>14</v>
      </c>
      <c r="T197" t="str">
        <f t="shared" si="27"/>
        <v/>
      </c>
    </row>
    <row r="198" spans="1:20" x14ac:dyDescent="0.55000000000000004">
      <c r="A198">
        <v>14</v>
      </c>
      <c r="B198" s="15" t="str">
        <f t="shared" si="21"/>
        <v>14_0</v>
      </c>
      <c r="C198" s="20">
        <v>45695.59375</v>
      </c>
      <c r="D198" t="s">
        <v>175</v>
      </c>
      <c r="E198">
        <v>2</v>
      </c>
      <c r="F198" t="s">
        <v>124</v>
      </c>
      <c r="G198" t="str">
        <f t="shared" si="22"/>
        <v>Carassius auratus</v>
      </c>
      <c r="H198" t="str">
        <f t="shared" si="23"/>
        <v>Goldfish</v>
      </c>
      <c r="I198" t="str">
        <f t="shared" si="24"/>
        <v>Morihana</v>
      </c>
      <c r="J198" t="str">
        <f t="shared" si="25"/>
        <v>Nonnative</v>
      </c>
      <c r="K198" t="str">
        <f t="shared" si="26"/>
        <v>No</v>
      </c>
      <c r="L198">
        <v>1</v>
      </c>
      <c r="N198">
        <v>135</v>
      </c>
      <c r="O198">
        <v>65</v>
      </c>
      <c r="T198" t="str">
        <f t="shared" si="27"/>
        <v/>
      </c>
    </row>
    <row r="199" spans="1:20" x14ac:dyDescent="0.55000000000000004">
      <c r="A199">
        <v>14</v>
      </c>
      <c r="B199" s="15" t="str">
        <f t="shared" si="21"/>
        <v>14_0</v>
      </c>
      <c r="C199" s="20">
        <v>45695.59375</v>
      </c>
      <c r="D199" t="s">
        <v>175</v>
      </c>
      <c r="E199">
        <v>2</v>
      </c>
      <c r="F199" t="s">
        <v>124</v>
      </c>
      <c r="G199" t="str">
        <f t="shared" si="22"/>
        <v>Carassius auratus</v>
      </c>
      <c r="H199" t="str">
        <f t="shared" si="23"/>
        <v>Goldfish</v>
      </c>
      <c r="I199" t="str">
        <f t="shared" si="24"/>
        <v>Morihana</v>
      </c>
      <c r="J199" t="str">
        <f t="shared" si="25"/>
        <v>Nonnative</v>
      </c>
      <c r="K199" t="str">
        <f t="shared" si="26"/>
        <v>No</v>
      </c>
      <c r="L199">
        <v>1</v>
      </c>
      <c r="N199">
        <v>119</v>
      </c>
      <c r="O199">
        <v>46</v>
      </c>
      <c r="T199" t="str">
        <f t="shared" si="27"/>
        <v/>
      </c>
    </row>
    <row r="200" spans="1:20" x14ac:dyDescent="0.55000000000000004">
      <c r="A200">
        <v>14</v>
      </c>
      <c r="B200" s="15" t="str">
        <f t="shared" si="21"/>
        <v>14_0</v>
      </c>
      <c r="C200" s="20">
        <v>45695.59375</v>
      </c>
      <c r="D200" t="s">
        <v>175</v>
      </c>
      <c r="E200">
        <v>2</v>
      </c>
      <c r="F200" t="s">
        <v>124</v>
      </c>
      <c r="G200" t="str">
        <f t="shared" si="22"/>
        <v>Carassius auratus</v>
      </c>
      <c r="H200" t="str">
        <f t="shared" si="23"/>
        <v>Goldfish</v>
      </c>
      <c r="I200" t="str">
        <f t="shared" si="24"/>
        <v>Morihana</v>
      </c>
      <c r="J200" t="str">
        <f t="shared" si="25"/>
        <v>Nonnative</v>
      </c>
      <c r="K200" t="str">
        <f t="shared" si="26"/>
        <v>No</v>
      </c>
      <c r="L200">
        <v>1</v>
      </c>
      <c r="N200">
        <v>111</v>
      </c>
      <c r="O200">
        <v>40</v>
      </c>
      <c r="T200" t="str">
        <f t="shared" si="27"/>
        <v/>
      </c>
    </row>
    <row r="201" spans="1:20" x14ac:dyDescent="0.55000000000000004">
      <c r="A201">
        <v>14</v>
      </c>
      <c r="B201" s="15" t="str">
        <f t="shared" si="21"/>
        <v>14_0</v>
      </c>
      <c r="C201" s="20">
        <v>45695.59375</v>
      </c>
      <c r="D201" t="s">
        <v>175</v>
      </c>
      <c r="E201">
        <v>2</v>
      </c>
      <c r="F201" t="s">
        <v>124</v>
      </c>
      <c r="G201" t="str">
        <f t="shared" si="22"/>
        <v>Carassius auratus</v>
      </c>
      <c r="H201" t="str">
        <f t="shared" si="23"/>
        <v>Goldfish</v>
      </c>
      <c r="I201" t="str">
        <f t="shared" si="24"/>
        <v>Morihana</v>
      </c>
      <c r="J201" t="str">
        <f t="shared" si="25"/>
        <v>Nonnative</v>
      </c>
      <c r="K201" t="str">
        <f t="shared" si="26"/>
        <v>No</v>
      </c>
      <c r="L201">
        <v>1</v>
      </c>
      <c r="N201">
        <v>89</v>
      </c>
      <c r="O201">
        <v>16</v>
      </c>
      <c r="T201" t="str">
        <f t="shared" si="27"/>
        <v/>
      </c>
    </row>
    <row r="202" spans="1:20" x14ac:dyDescent="0.55000000000000004">
      <c r="A202">
        <v>14</v>
      </c>
      <c r="B202" s="15" t="str">
        <f t="shared" si="21"/>
        <v>14_0</v>
      </c>
      <c r="C202" s="20">
        <v>45695.59375</v>
      </c>
      <c r="D202" t="s">
        <v>175</v>
      </c>
      <c r="E202">
        <v>2</v>
      </c>
      <c r="F202" t="s">
        <v>124</v>
      </c>
      <c r="G202" t="str">
        <f t="shared" si="22"/>
        <v>Carassius auratus</v>
      </c>
      <c r="H202" t="str">
        <f t="shared" si="23"/>
        <v>Goldfish</v>
      </c>
      <c r="I202" t="str">
        <f t="shared" si="24"/>
        <v>Morihana</v>
      </c>
      <c r="J202" t="str">
        <f t="shared" si="25"/>
        <v>Nonnative</v>
      </c>
      <c r="K202" t="str">
        <f t="shared" si="26"/>
        <v>No</v>
      </c>
      <c r="L202">
        <v>1</v>
      </c>
      <c r="N202">
        <v>103</v>
      </c>
      <c r="O202">
        <v>23</v>
      </c>
      <c r="T202" t="str">
        <f t="shared" si="27"/>
        <v/>
      </c>
    </row>
    <row r="203" spans="1:20" x14ac:dyDescent="0.55000000000000004">
      <c r="A203">
        <v>14</v>
      </c>
      <c r="B203" s="15" t="str">
        <f t="shared" si="21"/>
        <v>14_0</v>
      </c>
      <c r="C203" s="20">
        <v>45695.59375</v>
      </c>
      <c r="D203" t="s">
        <v>175</v>
      </c>
      <c r="E203">
        <v>2</v>
      </c>
      <c r="F203" t="s">
        <v>124</v>
      </c>
      <c r="G203" t="str">
        <f t="shared" si="22"/>
        <v>Carassius auratus</v>
      </c>
      <c r="H203" t="str">
        <f t="shared" si="23"/>
        <v>Goldfish</v>
      </c>
      <c r="I203" t="str">
        <f t="shared" si="24"/>
        <v>Morihana</v>
      </c>
      <c r="J203" t="str">
        <f t="shared" si="25"/>
        <v>Nonnative</v>
      </c>
      <c r="K203" t="str">
        <f t="shared" si="26"/>
        <v>No</v>
      </c>
      <c r="L203">
        <v>1</v>
      </c>
      <c r="N203">
        <v>90</v>
      </c>
      <c r="O203">
        <v>25</v>
      </c>
      <c r="T203" t="str">
        <f t="shared" si="27"/>
        <v/>
      </c>
    </row>
    <row r="204" spans="1:20" x14ac:dyDescent="0.55000000000000004">
      <c r="A204">
        <v>14</v>
      </c>
      <c r="B204" s="15" t="str">
        <f t="shared" si="21"/>
        <v>14_0</v>
      </c>
      <c r="C204" s="20">
        <v>45695.59375</v>
      </c>
      <c r="D204" t="s">
        <v>175</v>
      </c>
      <c r="E204">
        <v>2</v>
      </c>
      <c r="F204" t="s">
        <v>124</v>
      </c>
      <c r="G204" t="str">
        <f t="shared" si="22"/>
        <v>Carassius auratus</v>
      </c>
      <c r="H204" t="str">
        <f t="shared" si="23"/>
        <v>Goldfish</v>
      </c>
      <c r="I204" t="str">
        <f t="shared" si="24"/>
        <v>Morihana</v>
      </c>
      <c r="J204" t="str">
        <f t="shared" si="25"/>
        <v>Nonnative</v>
      </c>
      <c r="K204" t="str">
        <f t="shared" si="26"/>
        <v>No</v>
      </c>
      <c r="L204">
        <v>1</v>
      </c>
      <c r="N204">
        <v>85</v>
      </c>
      <c r="O204">
        <v>9</v>
      </c>
      <c r="T204" t="str">
        <f t="shared" si="27"/>
        <v/>
      </c>
    </row>
    <row r="205" spans="1:20" x14ac:dyDescent="0.55000000000000004">
      <c r="A205">
        <v>14</v>
      </c>
      <c r="B205" s="15" t="str">
        <f t="shared" si="21"/>
        <v>14_0</v>
      </c>
      <c r="C205" s="20">
        <v>45695.59375</v>
      </c>
      <c r="D205" t="s">
        <v>175</v>
      </c>
      <c r="E205">
        <v>2</v>
      </c>
      <c r="F205" t="s">
        <v>124</v>
      </c>
      <c r="G205" t="str">
        <f t="shared" si="22"/>
        <v>Carassius auratus</v>
      </c>
      <c r="H205" t="str">
        <f t="shared" si="23"/>
        <v>Goldfish</v>
      </c>
      <c r="I205" t="str">
        <f t="shared" si="24"/>
        <v>Morihana</v>
      </c>
      <c r="J205" t="str">
        <f t="shared" si="25"/>
        <v>Nonnative</v>
      </c>
      <c r="K205" t="str">
        <f t="shared" si="26"/>
        <v>No</v>
      </c>
      <c r="L205">
        <v>1</v>
      </c>
      <c r="N205">
        <v>98</v>
      </c>
      <c r="O205">
        <v>14</v>
      </c>
      <c r="T205" t="str">
        <f t="shared" si="27"/>
        <v/>
      </c>
    </row>
    <row r="206" spans="1:20" x14ac:dyDescent="0.55000000000000004">
      <c r="A206">
        <v>14</v>
      </c>
      <c r="B206" s="15" t="str">
        <f t="shared" si="21"/>
        <v>14_0</v>
      </c>
      <c r="C206" s="20">
        <v>45695.59375</v>
      </c>
      <c r="D206" t="s">
        <v>175</v>
      </c>
      <c r="E206">
        <v>2</v>
      </c>
      <c r="F206" t="s">
        <v>124</v>
      </c>
      <c r="G206" t="str">
        <f t="shared" si="22"/>
        <v>Carassius auratus</v>
      </c>
      <c r="H206" t="str">
        <f t="shared" si="23"/>
        <v>Goldfish</v>
      </c>
      <c r="I206" t="str">
        <f t="shared" si="24"/>
        <v>Morihana</v>
      </c>
      <c r="J206" t="str">
        <f t="shared" si="25"/>
        <v>Nonnative</v>
      </c>
      <c r="K206" t="str">
        <f t="shared" si="26"/>
        <v>No</v>
      </c>
      <c r="L206">
        <v>1</v>
      </c>
      <c r="N206">
        <v>80</v>
      </c>
      <c r="O206">
        <v>13</v>
      </c>
      <c r="T206" t="str">
        <f t="shared" si="27"/>
        <v/>
      </c>
    </row>
    <row r="207" spans="1:20" x14ac:dyDescent="0.55000000000000004">
      <c r="A207">
        <v>14</v>
      </c>
      <c r="B207" s="15" t="str">
        <f t="shared" si="21"/>
        <v>14_0</v>
      </c>
      <c r="C207" s="20">
        <v>45695.59375</v>
      </c>
      <c r="D207" t="s">
        <v>175</v>
      </c>
      <c r="E207">
        <v>2</v>
      </c>
      <c r="F207" t="s">
        <v>124</v>
      </c>
      <c r="G207" t="str">
        <f t="shared" si="22"/>
        <v>Carassius auratus</v>
      </c>
      <c r="H207" t="str">
        <f t="shared" si="23"/>
        <v>Goldfish</v>
      </c>
      <c r="I207" t="str">
        <f t="shared" si="24"/>
        <v>Morihana</v>
      </c>
      <c r="J207" t="str">
        <f t="shared" si="25"/>
        <v>Nonnative</v>
      </c>
      <c r="K207" t="str">
        <f t="shared" si="26"/>
        <v>No</v>
      </c>
      <c r="L207">
        <v>1</v>
      </c>
      <c r="N207">
        <v>100</v>
      </c>
      <c r="O207">
        <v>25</v>
      </c>
      <c r="T207" t="str">
        <f t="shared" si="27"/>
        <v/>
      </c>
    </row>
    <row r="208" spans="1:20" x14ac:dyDescent="0.55000000000000004">
      <c r="A208">
        <v>14</v>
      </c>
      <c r="B208" s="15" t="str">
        <f t="shared" si="21"/>
        <v>14_0</v>
      </c>
      <c r="C208" s="20">
        <v>45695.59375</v>
      </c>
      <c r="D208" t="s">
        <v>175</v>
      </c>
      <c r="E208">
        <v>2</v>
      </c>
      <c r="F208" t="s">
        <v>124</v>
      </c>
      <c r="G208" t="str">
        <f t="shared" si="22"/>
        <v>Carassius auratus</v>
      </c>
      <c r="H208" t="str">
        <f t="shared" si="23"/>
        <v>Goldfish</v>
      </c>
      <c r="I208" t="str">
        <f t="shared" si="24"/>
        <v>Morihana</v>
      </c>
      <c r="J208" t="str">
        <f t="shared" si="25"/>
        <v>Nonnative</v>
      </c>
      <c r="K208" t="str">
        <f t="shared" si="26"/>
        <v>No</v>
      </c>
      <c r="L208">
        <v>1</v>
      </c>
      <c r="N208">
        <v>86</v>
      </c>
      <c r="O208">
        <v>13</v>
      </c>
      <c r="T208" t="str">
        <f t="shared" si="27"/>
        <v/>
      </c>
    </row>
    <row r="209" spans="1:20" x14ac:dyDescent="0.55000000000000004">
      <c r="A209">
        <v>14</v>
      </c>
      <c r="B209" s="15" t="str">
        <f t="shared" si="21"/>
        <v>14_0</v>
      </c>
      <c r="C209" s="20">
        <v>45695.59375</v>
      </c>
      <c r="D209" t="s">
        <v>175</v>
      </c>
      <c r="E209">
        <v>2</v>
      </c>
      <c r="F209" t="s">
        <v>124</v>
      </c>
      <c r="G209" t="str">
        <f t="shared" si="22"/>
        <v>Carassius auratus</v>
      </c>
      <c r="H209" t="str">
        <f t="shared" si="23"/>
        <v>Goldfish</v>
      </c>
      <c r="I209" t="str">
        <f t="shared" si="24"/>
        <v>Morihana</v>
      </c>
      <c r="J209" t="str">
        <f t="shared" si="25"/>
        <v>Nonnative</v>
      </c>
      <c r="K209" t="str">
        <f t="shared" si="26"/>
        <v>No</v>
      </c>
      <c r="L209">
        <v>1</v>
      </c>
      <c r="N209">
        <v>80</v>
      </c>
      <c r="O209">
        <v>13</v>
      </c>
      <c r="T209" t="str">
        <f t="shared" si="27"/>
        <v/>
      </c>
    </row>
    <row r="210" spans="1:20" x14ac:dyDescent="0.55000000000000004">
      <c r="A210">
        <v>14</v>
      </c>
      <c r="B210" s="15" t="str">
        <f t="shared" si="21"/>
        <v>14_0</v>
      </c>
      <c r="C210" s="20">
        <v>45695.59375</v>
      </c>
      <c r="D210" t="s">
        <v>175</v>
      </c>
      <c r="E210">
        <v>2</v>
      </c>
      <c r="F210" t="s">
        <v>124</v>
      </c>
      <c r="G210" t="str">
        <f t="shared" si="22"/>
        <v>Carassius auratus</v>
      </c>
      <c r="H210" t="str">
        <f t="shared" si="23"/>
        <v>Goldfish</v>
      </c>
      <c r="I210" t="str">
        <f t="shared" si="24"/>
        <v>Morihana</v>
      </c>
      <c r="J210" t="str">
        <f t="shared" si="25"/>
        <v>Nonnative</v>
      </c>
      <c r="K210" t="str">
        <f t="shared" si="26"/>
        <v>No</v>
      </c>
      <c r="L210">
        <v>1</v>
      </c>
      <c r="N210">
        <v>78</v>
      </c>
      <c r="O210">
        <v>13</v>
      </c>
    </row>
    <row r="211" spans="1:20" x14ac:dyDescent="0.55000000000000004">
      <c r="A211">
        <v>14</v>
      </c>
      <c r="B211" s="15" t="str">
        <f t="shared" si="21"/>
        <v>14_0</v>
      </c>
      <c r="C211" s="20">
        <v>45695.59375</v>
      </c>
      <c r="D211" t="s">
        <v>175</v>
      </c>
      <c r="E211">
        <v>2</v>
      </c>
      <c r="F211" t="s">
        <v>120</v>
      </c>
      <c r="G211" t="str">
        <f t="shared" si="22"/>
        <v>Ameiurus nebulosus</v>
      </c>
      <c r="H211" t="str">
        <f t="shared" si="23"/>
        <v>Catfish</v>
      </c>
      <c r="I211" t="str">
        <f t="shared" si="24"/>
        <v>Catfish</v>
      </c>
      <c r="J211" t="str">
        <f t="shared" si="25"/>
        <v>Nonnative</v>
      </c>
      <c r="K211" t="str">
        <f t="shared" si="26"/>
        <v>No</v>
      </c>
      <c r="L211">
        <v>1</v>
      </c>
      <c r="N211">
        <v>130</v>
      </c>
      <c r="O211">
        <v>27</v>
      </c>
      <c r="T211" t="str">
        <f t="shared" si="27"/>
        <v/>
      </c>
    </row>
    <row r="212" spans="1:20" x14ac:dyDescent="0.55000000000000004">
      <c r="A212">
        <v>14</v>
      </c>
      <c r="B212" s="15" t="str">
        <f t="shared" si="21"/>
        <v>14_0</v>
      </c>
      <c r="C212" s="20">
        <v>45695.59375</v>
      </c>
      <c r="D212" t="s">
        <v>175</v>
      </c>
      <c r="E212">
        <v>2</v>
      </c>
      <c r="F212" t="s">
        <v>133</v>
      </c>
      <c r="G212" t="str">
        <f t="shared" si="22"/>
        <v>Retropinna retropinna</v>
      </c>
      <c r="H212" t="str">
        <f t="shared" si="23"/>
        <v>Common_smelt</v>
      </c>
      <c r="I212" t="str">
        <f t="shared" si="24"/>
        <v>Common_smelt</v>
      </c>
      <c r="J212" t="str">
        <f t="shared" si="25"/>
        <v>Native</v>
      </c>
      <c r="K212" t="str">
        <f t="shared" si="26"/>
        <v>No</v>
      </c>
      <c r="L212">
        <v>20</v>
      </c>
      <c r="O212">
        <v>25</v>
      </c>
      <c r="T212" t="str">
        <f t="shared" si="27"/>
        <v/>
      </c>
    </row>
    <row r="213" spans="1:20" x14ac:dyDescent="0.55000000000000004">
      <c r="A213">
        <v>14</v>
      </c>
      <c r="B213" s="15" t="str">
        <f t="shared" si="21"/>
        <v>14_0</v>
      </c>
      <c r="C213" s="20">
        <v>45695.59375</v>
      </c>
      <c r="D213" t="s">
        <v>175</v>
      </c>
      <c r="E213">
        <v>2</v>
      </c>
      <c r="F213" t="s">
        <v>135</v>
      </c>
      <c r="G213" t="str">
        <f t="shared" si="22"/>
        <v>Gobiomorphus cotidianus</v>
      </c>
      <c r="H213" t="str">
        <f t="shared" si="23"/>
        <v>Common_bully</v>
      </c>
      <c r="I213" t="str">
        <f t="shared" si="24"/>
        <v>Toitoi</v>
      </c>
      <c r="J213" t="str">
        <f t="shared" si="25"/>
        <v>Native</v>
      </c>
      <c r="K213" t="str">
        <f t="shared" si="26"/>
        <v>No</v>
      </c>
      <c r="O213">
        <v>597</v>
      </c>
      <c r="S213">
        <v>2.5</v>
      </c>
      <c r="T213">
        <f t="shared" si="27"/>
        <v>591.47</v>
      </c>
    </row>
    <row r="214" spans="1:20" x14ac:dyDescent="0.55000000000000004">
      <c r="A214">
        <v>14</v>
      </c>
      <c r="B214" s="15" t="str">
        <f t="shared" si="21"/>
        <v>14_0</v>
      </c>
      <c r="C214" s="20">
        <v>45695.59375</v>
      </c>
      <c r="D214" t="s">
        <v>175</v>
      </c>
      <c r="E214">
        <v>2</v>
      </c>
      <c r="F214" t="s">
        <v>135</v>
      </c>
      <c r="G214" t="str">
        <f t="shared" si="22"/>
        <v>Gobiomorphus cotidianus</v>
      </c>
      <c r="H214" t="str">
        <f t="shared" si="23"/>
        <v>Common_bully</v>
      </c>
      <c r="I214" t="str">
        <f t="shared" si="24"/>
        <v>Toitoi</v>
      </c>
      <c r="J214" t="str">
        <f t="shared" si="25"/>
        <v>Native</v>
      </c>
      <c r="K214" t="str">
        <f t="shared" si="26"/>
        <v>No</v>
      </c>
      <c r="O214">
        <v>628</v>
      </c>
      <c r="S214">
        <v>2.5</v>
      </c>
      <c r="T214">
        <f t="shared" si="27"/>
        <v>591.47</v>
      </c>
    </row>
    <row r="215" spans="1:20" x14ac:dyDescent="0.55000000000000004">
      <c r="A215">
        <v>14</v>
      </c>
      <c r="B215" s="15" t="str">
        <f t="shared" si="21"/>
        <v>14_0</v>
      </c>
      <c r="C215" s="20">
        <v>45695.59375</v>
      </c>
      <c r="D215" t="s">
        <v>175</v>
      </c>
      <c r="E215">
        <v>2</v>
      </c>
      <c r="F215" t="s">
        <v>135</v>
      </c>
      <c r="G215" t="str">
        <f t="shared" si="22"/>
        <v>Gobiomorphus cotidianus</v>
      </c>
      <c r="H215" t="str">
        <f t="shared" si="23"/>
        <v>Common_bully</v>
      </c>
      <c r="I215" t="str">
        <f t="shared" si="24"/>
        <v>Toitoi</v>
      </c>
      <c r="J215" t="str">
        <f t="shared" si="25"/>
        <v>Native</v>
      </c>
      <c r="K215" t="str">
        <f t="shared" si="26"/>
        <v>No</v>
      </c>
      <c r="O215">
        <v>599</v>
      </c>
      <c r="S215">
        <v>2.5</v>
      </c>
      <c r="T215">
        <f t="shared" si="27"/>
        <v>591.47</v>
      </c>
    </row>
    <row r="216" spans="1:20" x14ac:dyDescent="0.55000000000000004">
      <c r="A216">
        <v>14</v>
      </c>
      <c r="B216" s="15" t="str">
        <f t="shared" si="21"/>
        <v>14_0</v>
      </c>
      <c r="C216" s="20">
        <v>45695.59375</v>
      </c>
      <c r="D216" t="s">
        <v>175</v>
      </c>
      <c r="E216">
        <v>2</v>
      </c>
      <c r="F216" t="s">
        <v>135</v>
      </c>
      <c r="G216" t="str">
        <f t="shared" si="22"/>
        <v>Gobiomorphus cotidianus</v>
      </c>
      <c r="H216" t="str">
        <f t="shared" si="23"/>
        <v>Common_bully</v>
      </c>
      <c r="I216" t="str">
        <f t="shared" si="24"/>
        <v>Toitoi</v>
      </c>
      <c r="J216" t="str">
        <f t="shared" si="25"/>
        <v>Native</v>
      </c>
      <c r="K216" t="str">
        <f t="shared" si="26"/>
        <v>No</v>
      </c>
      <c r="O216">
        <v>622</v>
      </c>
      <c r="S216">
        <v>2.5</v>
      </c>
      <c r="T216">
        <f t="shared" si="27"/>
        <v>591.47</v>
      </c>
    </row>
    <row r="217" spans="1:20" x14ac:dyDescent="0.55000000000000004">
      <c r="A217">
        <v>14</v>
      </c>
      <c r="B217" s="15" t="str">
        <f t="shared" si="21"/>
        <v>14_0</v>
      </c>
      <c r="C217" s="20">
        <v>45695.59375</v>
      </c>
      <c r="D217" t="s">
        <v>175</v>
      </c>
      <c r="E217">
        <v>2</v>
      </c>
      <c r="F217" t="s">
        <v>135</v>
      </c>
      <c r="G217" t="str">
        <f t="shared" si="22"/>
        <v>Gobiomorphus cotidianus</v>
      </c>
      <c r="H217" t="str">
        <f t="shared" si="23"/>
        <v>Common_bully</v>
      </c>
      <c r="I217" t="str">
        <f t="shared" si="24"/>
        <v>Toitoi</v>
      </c>
      <c r="J217" t="str">
        <f t="shared" si="25"/>
        <v>Native</v>
      </c>
      <c r="K217" t="str">
        <f t="shared" si="26"/>
        <v>No</v>
      </c>
      <c r="O217">
        <f>444-117</f>
        <v>327</v>
      </c>
      <c r="S217">
        <v>1.5</v>
      </c>
      <c r="T217">
        <f t="shared" si="27"/>
        <v>354.88200000000001</v>
      </c>
    </row>
    <row r="218" spans="1:20" x14ac:dyDescent="0.55000000000000004">
      <c r="A218">
        <v>15</v>
      </c>
      <c r="B218" s="15" t="str">
        <f t="shared" si="21"/>
        <v>15_0</v>
      </c>
      <c r="C218" s="20">
        <v>45695.5</v>
      </c>
      <c r="D218" t="s">
        <v>174</v>
      </c>
      <c r="E218">
        <v>2</v>
      </c>
      <c r="F218" t="s">
        <v>135</v>
      </c>
      <c r="G218" t="str">
        <f t="shared" si="22"/>
        <v>Gobiomorphus cotidianus</v>
      </c>
      <c r="H218" t="str">
        <f t="shared" si="23"/>
        <v>Common_bully</v>
      </c>
      <c r="I218" t="str">
        <f t="shared" si="24"/>
        <v>Toitoi</v>
      </c>
      <c r="J218" t="str">
        <f t="shared" si="25"/>
        <v>Native</v>
      </c>
      <c r="K218" t="str">
        <f t="shared" si="26"/>
        <v>No</v>
      </c>
      <c r="L218">
        <v>3</v>
      </c>
      <c r="T218" t="str">
        <f t="shared" si="27"/>
        <v/>
      </c>
    </row>
    <row r="219" spans="1:20" x14ac:dyDescent="0.55000000000000004">
      <c r="A219">
        <v>15</v>
      </c>
      <c r="B219" s="15" t="str">
        <f t="shared" si="21"/>
        <v>15_0</v>
      </c>
      <c r="C219" s="20">
        <v>45695.5</v>
      </c>
      <c r="D219" t="s">
        <v>175</v>
      </c>
      <c r="E219">
        <v>2</v>
      </c>
      <c r="F219" t="s">
        <v>135</v>
      </c>
      <c r="G219" t="str">
        <f t="shared" si="22"/>
        <v>Gobiomorphus cotidianus</v>
      </c>
      <c r="H219" t="str">
        <f t="shared" si="23"/>
        <v>Common_bully</v>
      </c>
      <c r="I219" t="str">
        <f t="shared" si="24"/>
        <v>Toitoi</v>
      </c>
      <c r="J219" t="str">
        <f t="shared" si="25"/>
        <v>Native</v>
      </c>
      <c r="K219" t="str">
        <f t="shared" si="26"/>
        <v>No</v>
      </c>
      <c r="O219">
        <v>619</v>
      </c>
      <c r="S219">
        <v>2.5</v>
      </c>
      <c r="T219">
        <f t="shared" si="27"/>
        <v>591.47</v>
      </c>
    </row>
    <row r="220" spans="1:20" x14ac:dyDescent="0.55000000000000004">
      <c r="A220">
        <v>15</v>
      </c>
      <c r="B220" s="15" t="str">
        <f t="shared" si="21"/>
        <v>15_0</v>
      </c>
      <c r="C220" s="20">
        <v>45695.5</v>
      </c>
      <c r="D220" t="s">
        <v>175</v>
      </c>
      <c r="E220">
        <v>2</v>
      </c>
      <c r="F220" t="s">
        <v>135</v>
      </c>
      <c r="G220" t="str">
        <f t="shared" si="22"/>
        <v>Gobiomorphus cotidianus</v>
      </c>
      <c r="H220" t="str">
        <f t="shared" si="23"/>
        <v>Common_bully</v>
      </c>
      <c r="I220" t="str">
        <f t="shared" si="24"/>
        <v>Toitoi</v>
      </c>
      <c r="J220" t="str">
        <f t="shared" si="25"/>
        <v>Native</v>
      </c>
      <c r="K220" t="str">
        <f t="shared" si="26"/>
        <v>No</v>
      </c>
      <c r="O220">
        <v>550</v>
      </c>
      <c r="S220">
        <v>2.5</v>
      </c>
      <c r="T220">
        <f t="shared" si="27"/>
        <v>591.47</v>
      </c>
    </row>
    <row r="221" spans="1:20" x14ac:dyDescent="0.55000000000000004">
      <c r="A221">
        <v>15</v>
      </c>
      <c r="B221" s="15" t="str">
        <f t="shared" si="21"/>
        <v>15_0</v>
      </c>
      <c r="C221" s="20">
        <v>45695.5</v>
      </c>
      <c r="D221" t="s">
        <v>175</v>
      </c>
      <c r="E221">
        <v>2</v>
      </c>
      <c r="F221" t="s">
        <v>124</v>
      </c>
      <c r="G221" t="str">
        <f t="shared" si="22"/>
        <v>Carassius auratus</v>
      </c>
      <c r="H221" t="str">
        <f t="shared" si="23"/>
        <v>Goldfish</v>
      </c>
      <c r="I221" t="str">
        <f t="shared" si="24"/>
        <v>Morihana</v>
      </c>
      <c r="J221" t="str">
        <f t="shared" si="25"/>
        <v>Nonnative</v>
      </c>
      <c r="K221" t="str">
        <f t="shared" si="26"/>
        <v>No</v>
      </c>
      <c r="L221">
        <v>1</v>
      </c>
      <c r="N221">
        <v>90</v>
      </c>
      <c r="O221">
        <v>22</v>
      </c>
      <c r="T221" t="str">
        <f t="shared" si="27"/>
        <v/>
      </c>
    </row>
    <row r="222" spans="1:20" x14ac:dyDescent="0.55000000000000004">
      <c r="A222">
        <v>15</v>
      </c>
      <c r="B222" s="15" t="str">
        <f t="shared" si="21"/>
        <v>15_0</v>
      </c>
      <c r="C222" s="20">
        <v>45695.5</v>
      </c>
      <c r="D222" t="s">
        <v>175</v>
      </c>
      <c r="E222">
        <v>2</v>
      </c>
      <c r="F222" t="s">
        <v>135</v>
      </c>
      <c r="G222" t="str">
        <f t="shared" si="22"/>
        <v>Gobiomorphus cotidianus</v>
      </c>
      <c r="H222" t="str">
        <f t="shared" si="23"/>
        <v>Common_bully</v>
      </c>
      <c r="I222" t="str">
        <f t="shared" si="24"/>
        <v>Toitoi</v>
      </c>
      <c r="J222" t="str">
        <f t="shared" si="25"/>
        <v>Native</v>
      </c>
      <c r="K222" t="str">
        <f t="shared" si="26"/>
        <v>No</v>
      </c>
      <c r="O222">
        <v>610</v>
      </c>
      <c r="S222">
        <v>2.5</v>
      </c>
      <c r="T222">
        <f t="shared" si="27"/>
        <v>591.47</v>
      </c>
    </row>
    <row r="223" spans="1:20" x14ac:dyDescent="0.55000000000000004">
      <c r="A223">
        <v>15</v>
      </c>
      <c r="B223" s="15" t="str">
        <f t="shared" si="21"/>
        <v>15_0</v>
      </c>
      <c r="C223" s="20">
        <v>45695.5</v>
      </c>
      <c r="D223" t="s">
        <v>175</v>
      </c>
      <c r="E223">
        <v>2</v>
      </c>
      <c r="F223" t="s">
        <v>135</v>
      </c>
      <c r="G223" t="str">
        <f t="shared" si="22"/>
        <v>Gobiomorphus cotidianus</v>
      </c>
      <c r="H223" t="str">
        <f t="shared" si="23"/>
        <v>Common_bully</v>
      </c>
      <c r="I223" t="str">
        <f t="shared" si="24"/>
        <v>Toitoi</v>
      </c>
      <c r="J223" t="str">
        <f t="shared" si="25"/>
        <v>Native</v>
      </c>
      <c r="K223" t="str">
        <f t="shared" si="26"/>
        <v>No</v>
      </c>
      <c r="O223">
        <v>55</v>
      </c>
      <c r="S223">
        <v>2.5</v>
      </c>
      <c r="T223">
        <f t="shared" si="27"/>
        <v>591.47</v>
      </c>
    </row>
    <row r="224" spans="1:20" x14ac:dyDescent="0.55000000000000004">
      <c r="A224">
        <v>15</v>
      </c>
      <c r="B224" s="15" t="str">
        <f t="shared" si="21"/>
        <v>15_0</v>
      </c>
      <c r="C224" s="20">
        <v>45695.5</v>
      </c>
      <c r="D224" t="s">
        <v>175</v>
      </c>
      <c r="E224">
        <v>2</v>
      </c>
      <c r="F224" t="s">
        <v>135</v>
      </c>
      <c r="G224" t="str">
        <f t="shared" si="22"/>
        <v>Gobiomorphus cotidianus</v>
      </c>
      <c r="H224" t="str">
        <f t="shared" si="23"/>
        <v>Common_bully</v>
      </c>
      <c r="I224" t="str">
        <f t="shared" si="24"/>
        <v>Toitoi</v>
      </c>
      <c r="J224" t="str">
        <f t="shared" si="25"/>
        <v>Native</v>
      </c>
      <c r="K224" t="str">
        <f t="shared" si="26"/>
        <v>No</v>
      </c>
      <c r="O224">
        <v>593</v>
      </c>
      <c r="S224">
        <v>2.5</v>
      </c>
      <c r="T224">
        <f t="shared" si="27"/>
        <v>591.47</v>
      </c>
    </row>
    <row r="225" spans="1:21" x14ac:dyDescent="0.55000000000000004">
      <c r="A225">
        <v>15</v>
      </c>
      <c r="B225" s="15" t="str">
        <f t="shared" si="21"/>
        <v>15_0</v>
      </c>
      <c r="C225" s="20">
        <v>45695.5</v>
      </c>
      <c r="D225" t="s">
        <v>175</v>
      </c>
      <c r="E225">
        <v>2</v>
      </c>
      <c r="F225" t="s">
        <v>135</v>
      </c>
      <c r="G225" t="str">
        <f t="shared" si="22"/>
        <v>Gobiomorphus cotidianus</v>
      </c>
      <c r="H225" t="str">
        <f t="shared" si="23"/>
        <v>Common_bully</v>
      </c>
      <c r="I225" t="str">
        <f t="shared" si="24"/>
        <v>Toitoi</v>
      </c>
      <c r="J225" t="str">
        <f t="shared" si="25"/>
        <v>Native</v>
      </c>
      <c r="K225" t="str">
        <f t="shared" si="26"/>
        <v>No</v>
      </c>
      <c r="O225">
        <v>121</v>
      </c>
      <c r="S225">
        <v>0.5</v>
      </c>
      <c r="T225">
        <f t="shared" si="27"/>
        <v>118.294</v>
      </c>
    </row>
    <row r="226" spans="1:21" x14ac:dyDescent="0.55000000000000004">
      <c r="A226">
        <v>16</v>
      </c>
      <c r="B226" s="15" t="str">
        <f t="shared" si="21"/>
        <v>16_0</v>
      </c>
      <c r="C226" s="20">
        <v>45695.489583333336</v>
      </c>
      <c r="D226" t="s">
        <v>174</v>
      </c>
      <c r="E226">
        <v>2</v>
      </c>
      <c r="F226" t="s">
        <v>135</v>
      </c>
      <c r="G226" t="str">
        <f t="shared" si="22"/>
        <v>Gobiomorphus cotidianus</v>
      </c>
      <c r="H226" t="str">
        <f t="shared" si="23"/>
        <v>Common_bully</v>
      </c>
      <c r="I226" t="str">
        <f t="shared" si="24"/>
        <v>Toitoi</v>
      </c>
      <c r="J226" t="str">
        <f t="shared" si="25"/>
        <v>Native</v>
      </c>
      <c r="K226" t="str">
        <f t="shared" si="26"/>
        <v>No</v>
      </c>
      <c r="L226">
        <v>3</v>
      </c>
      <c r="T226" t="str">
        <f t="shared" si="27"/>
        <v/>
      </c>
    </row>
    <row r="227" spans="1:21" x14ac:dyDescent="0.55000000000000004">
      <c r="A227">
        <v>16</v>
      </c>
      <c r="B227" s="15" t="str">
        <f t="shared" si="21"/>
        <v>16_0</v>
      </c>
      <c r="C227" s="20">
        <v>45695.489583333336</v>
      </c>
      <c r="D227" t="s">
        <v>175</v>
      </c>
      <c r="E227">
        <v>1</v>
      </c>
      <c r="F227" t="s">
        <v>115</v>
      </c>
      <c r="G227" t="str">
        <f t="shared" si="22"/>
        <v>Paranephrops planifrons</v>
      </c>
      <c r="H227" t="str">
        <f t="shared" si="23"/>
        <v>Freshwater_crayfish</v>
      </c>
      <c r="I227" t="str">
        <f t="shared" si="24"/>
        <v>Kōura</v>
      </c>
      <c r="J227" t="str">
        <f t="shared" si="25"/>
        <v>Native</v>
      </c>
      <c r="K227" t="str">
        <f t="shared" si="26"/>
        <v>Yes</v>
      </c>
      <c r="L227">
        <v>1</v>
      </c>
      <c r="M227" t="s">
        <v>176</v>
      </c>
      <c r="N227">
        <v>37.11</v>
      </c>
      <c r="O227">
        <v>35</v>
      </c>
      <c r="T227" t="str">
        <f t="shared" si="27"/>
        <v/>
      </c>
      <c r="U227" t="s">
        <v>182</v>
      </c>
    </row>
    <row r="228" spans="1:21" x14ac:dyDescent="0.55000000000000004">
      <c r="A228">
        <v>16</v>
      </c>
      <c r="B228" s="15" t="str">
        <f t="shared" si="21"/>
        <v>16_0</v>
      </c>
      <c r="C228" s="20">
        <v>45695.489583333336</v>
      </c>
      <c r="D228" t="s">
        <v>175</v>
      </c>
      <c r="E228">
        <v>1</v>
      </c>
      <c r="F228" t="s">
        <v>135</v>
      </c>
      <c r="G228" t="str">
        <f t="shared" si="22"/>
        <v>Gobiomorphus cotidianus</v>
      </c>
      <c r="H228" t="str">
        <f t="shared" si="23"/>
        <v>Common_bully</v>
      </c>
      <c r="I228" t="str">
        <f t="shared" si="24"/>
        <v>Toitoi</v>
      </c>
      <c r="J228" t="str">
        <f t="shared" si="25"/>
        <v>Native</v>
      </c>
      <c r="K228" t="str">
        <f t="shared" si="26"/>
        <v>No</v>
      </c>
      <c r="O228">
        <v>548</v>
      </c>
      <c r="S228">
        <v>2.5</v>
      </c>
      <c r="T228">
        <f t="shared" si="27"/>
        <v>591.47</v>
      </c>
      <c r="U228" t="s">
        <v>182</v>
      </c>
    </row>
    <row r="229" spans="1:21" x14ac:dyDescent="0.55000000000000004">
      <c r="A229">
        <v>16</v>
      </c>
      <c r="B229" s="15" t="str">
        <f t="shared" si="21"/>
        <v>16_0</v>
      </c>
      <c r="C229" s="20">
        <v>45695.489583333336</v>
      </c>
      <c r="D229" t="s">
        <v>175</v>
      </c>
      <c r="E229">
        <v>1</v>
      </c>
      <c r="F229" t="s">
        <v>135</v>
      </c>
      <c r="G229" t="str">
        <f t="shared" si="22"/>
        <v>Gobiomorphus cotidianus</v>
      </c>
      <c r="H229" t="str">
        <f t="shared" si="23"/>
        <v>Common_bully</v>
      </c>
      <c r="I229" t="str">
        <f t="shared" si="24"/>
        <v>Toitoi</v>
      </c>
      <c r="J229" t="str">
        <f t="shared" si="25"/>
        <v>Native</v>
      </c>
      <c r="K229" t="str">
        <f t="shared" si="26"/>
        <v>No</v>
      </c>
      <c r="O229">
        <v>578</v>
      </c>
      <c r="S229">
        <v>2.5</v>
      </c>
      <c r="T229">
        <f t="shared" si="27"/>
        <v>591.47</v>
      </c>
      <c r="U229" t="s">
        <v>182</v>
      </c>
    </row>
    <row r="230" spans="1:21" x14ac:dyDescent="0.55000000000000004">
      <c r="A230">
        <v>16</v>
      </c>
      <c r="B230" s="15" t="str">
        <f t="shared" si="21"/>
        <v>16_0</v>
      </c>
      <c r="C230" s="20">
        <v>45695.489583333336</v>
      </c>
      <c r="D230" t="s">
        <v>175</v>
      </c>
      <c r="E230">
        <v>1</v>
      </c>
      <c r="F230" t="s">
        <v>135</v>
      </c>
      <c r="G230" t="str">
        <f t="shared" si="22"/>
        <v>Gobiomorphus cotidianus</v>
      </c>
      <c r="H230" t="str">
        <f t="shared" si="23"/>
        <v>Common_bully</v>
      </c>
      <c r="I230" t="str">
        <f t="shared" si="24"/>
        <v>Toitoi</v>
      </c>
      <c r="J230" t="str">
        <f t="shared" si="25"/>
        <v>Native</v>
      </c>
      <c r="K230" t="str">
        <f t="shared" si="26"/>
        <v>No</v>
      </c>
      <c r="O230">
        <v>392</v>
      </c>
      <c r="S230">
        <v>2</v>
      </c>
      <c r="T230">
        <f t="shared" si="27"/>
        <v>473.17599999999999</v>
      </c>
      <c r="U230" t="s">
        <v>182</v>
      </c>
    </row>
    <row r="231" spans="1:21" x14ac:dyDescent="0.55000000000000004">
      <c r="A231">
        <v>17</v>
      </c>
      <c r="B231" s="15" t="str">
        <f t="shared" si="21"/>
        <v>17_0</v>
      </c>
      <c r="C231" s="20">
        <v>45695.395833333336</v>
      </c>
      <c r="D231" t="s">
        <v>174</v>
      </c>
      <c r="E231">
        <v>2</v>
      </c>
      <c r="F231" t="s">
        <v>135</v>
      </c>
      <c r="G231" t="str">
        <f t="shared" si="22"/>
        <v>Gobiomorphus cotidianus</v>
      </c>
      <c r="H231" t="str">
        <f t="shared" si="23"/>
        <v>Common_bully</v>
      </c>
      <c r="I231" t="str">
        <f t="shared" si="24"/>
        <v>Toitoi</v>
      </c>
      <c r="J231" t="str">
        <f t="shared" si="25"/>
        <v>Native</v>
      </c>
      <c r="K231" t="str">
        <f t="shared" si="26"/>
        <v>No</v>
      </c>
      <c r="L231">
        <v>1</v>
      </c>
      <c r="T231" t="str">
        <f t="shared" si="27"/>
        <v/>
      </c>
    </row>
    <row r="232" spans="1:21" x14ac:dyDescent="0.55000000000000004">
      <c r="A232">
        <v>17</v>
      </c>
      <c r="B232" s="15" t="str">
        <f t="shared" si="21"/>
        <v>17_0</v>
      </c>
      <c r="C232" s="20">
        <v>45695.395833333336</v>
      </c>
      <c r="D232" t="s">
        <v>175</v>
      </c>
      <c r="E232">
        <v>2</v>
      </c>
      <c r="F232" t="s">
        <v>127</v>
      </c>
      <c r="G232" t="str">
        <f t="shared" si="22"/>
        <v>Galaxias brevipinnis</v>
      </c>
      <c r="H232" t="str">
        <f t="shared" si="23"/>
        <v>Climbing_galaxias</v>
      </c>
      <c r="I232" t="str">
        <f t="shared" si="24"/>
        <v>Kōaro</v>
      </c>
      <c r="J232" t="str">
        <f t="shared" si="25"/>
        <v>Native</v>
      </c>
      <c r="K232" t="str">
        <f t="shared" si="26"/>
        <v>Yes</v>
      </c>
      <c r="L232">
        <v>1</v>
      </c>
      <c r="N232">
        <v>100</v>
      </c>
      <c r="O232">
        <v>7</v>
      </c>
      <c r="T232" t="str">
        <f t="shared" si="27"/>
        <v/>
      </c>
    </row>
    <row r="233" spans="1:21" x14ac:dyDescent="0.55000000000000004">
      <c r="A233">
        <v>17</v>
      </c>
      <c r="B233" s="15" t="str">
        <f t="shared" si="21"/>
        <v>17_0</v>
      </c>
      <c r="C233" s="20">
        <v>45695.395833333336</v>
      </c>
      <c r="D233" t="s">
        <v>175</v>
      </c>
      <c r="E233">
        <v>2</v>
      </c>
      <c r="F233" t="s">
        <v>124</v>
      </c>
      <c r="G233" t="str">
        <f t="shared" si="22"/>
        <v>Carassius auratus</v>
      </c>
      <c r="H233" t="str">
        <f t="shared" si="23"/>
        <v>Goldfish</v>
      </c>
      <c r="I233" t="str">
        <f t="shared" si="24"/>
        <v>Morihana</v>
      </c>
      <c r="J233" t="str">
        <f t="shared" si="25"/>
        <v>Nonnative</v>
      </c>
      <c r="K233" t="str">
        <f t="shared" si="26"/>
        <v>No</v>
      </c>
      <c r="L233">
        <v>1</v>
      </c>
      <c r="N233">
        <v>180</v>
      </c>
      <c r="O233">
        <v>175</v>
      </c>
      <c r="T233" t="str">
        <f t="shared" si="27"/>
        <v/>
      </c>
    </row>
    <row r="234" spans="1:21" x14ac:dyDescent="0.55000000000000004">
      <c r="A234">
        <v>17</v>
      </c>
      <c r="B234" s="15" t="str">
        <f t="shared" si="21"/>
        <v>17_0</v>
      </c>
      <c r="C234" s="20">
        <v>45695.395833333336</v>
      </c>
      <c r="D234" t="s">
        <v>175</v>
      </c>
      <c r="E234">
        <v>2</v>
      </c>
      <c r="F234" t="s">
        <v>124</v>
      </c>
      <c r="G234" t="str">
        <f t="shared" si="22"/>
        <v>Carassius auratus</v>
      </c>
      <c r="H234" t="str">
        <f t="shared" si="23"/>
        <v>Goldfish</v>
      </c>
      <c r="I234" t="str">
        <f t="shared" si="24"/>
        <v>Morihana</v>
      </c>
      <c r="J234" t="str">
        <f t="shared" si="25"/>
        <v>Nonnative</v>
      </c>
      <c r="K234" t="str">
        <f t="shared" si="26"/>
        <v>No</v>
      </c>
      <c r="L234">
        <v>1</v>
      </c>
      <c r="N234">
        <v>182</v>
      </c>
      <c r="O234">
        <v>141</v>
      </c>
      <c r="T234" t="str">
        <f t="shared" si="27"/>
        <v/>
      </c>
    </row>
    <row r="235" spans="1:21" x14ac:dyDescent="0.55000000000000004">
      <c r="A235">
        <v>17</v>
      </c>
      <c r="B235" s="15" t="str">
        <f t="shared" si="21"/>
        <v>17_0</v>
      </c>
      <c r="C235" s="20">
        <v>45695.395833333336</v>
      </c>
      <c r="D235" t="s">
        <v>175</v>
      </c>
      <c r="E235">
        <v>2</v>
      </c>
      <c r="F235" t="s">
        <v>124</v>
      </c>
      <c r="G235" t="str">
        <f t="shared" si="22"/>
        <v>Carassius auratus</v>
      </c>
      <c r="H235" t="str">
        <f t="shared" si="23"/>
        <v>Goldfish</v>
      </c>
      <c r="I235" t="str">
        <f t="shared" si="24"/>
        <v>Morihana</v>
      </c>
      <c r="J235" t="str">
        <f t="shared" si="25"/>
        <v>Nonnative</v>
      </c>
      <c r="K235" t="str">
        <f t="shared" si="26"/>
        <v>No</v>
      </c>
      <c r="L235">
        <v>1</v>
      </c>
      <c r="N235">
        <v>180</v>
      </c>
      <c r="O235">
        <v>163</v>
      </c>
      <c r="T235" t="str">
        <f t="shared" si="27"/>
        <v/>
      </c>
    </row>
    <row r="236" spans="1:21" x14ac:dyDescent="0.55000000000000004">
      <c r="A236">
        <v>17</v>
      </c>
      <c r="B236" s="15" t="str">
        <f t="shared" si="21"/>
        <v>17_0</v>
      </c>
      <c r="C236" s="20">
        <v>45695.395833333336</v>
      </c>
      <c r="D236" t="s">
        <v>175</v>
      </c>
      <c r="E236">
        <v>2</v>
      </c>
      <c r="F236" t="s">
        <v>124</v>
      </c>
      <c r="G236" t="str">
        <f t="shared" si="22"/>
        <v>Carassius auratus</v>
      </c>
      <c r="H236" t="str">
        <f t="shared" si="23"/>
        <v>Goldfish</v>
      </c>
      <c r="I236" t="str">
        <f t="shared" si="24"/>
        <v>Morihana</v>
      </c>
      <c r="J236" t="str">
        <f t="shared" si="25"/>
        <v>Nonnative</v>
      </c>
      <c r="K236" t="str">
        <f t="shared" si="26"/>
        <v>No</v>
      </c>
      <c r="L236">
        <v>1</v>
      </c>
      <c r="N236">
        <v>101</v>
      </c>
      <c r="O236">
        <v>27</v>
      </c>
      <c r="T236" t="str">
        <f t="shared" si="27"/>
        <v/>
      </c>
    </row>
    <row r="237" spans="1:21" x14ac:dyDescent="0.55000000000000004">
      <c r="A237">
        <v>17</v>
      </c>
      <c r="B237" s="15" t="str">
        <f t="shared" si="21"/>
        <v>17_0</v>
      </c>
      <c r="C237" s="20">
        <v>45695.395833333336</v>
      </c>
      <c r="D237" t="s">
        <v>175</v>
      </c>
      <c r="E237">
        <v>2</v>
      </c>
      <c r="F237" t="s">
        <v>124</v>
      </c>
      <c r="G237" t="str">
        <f t="shared" si="22"/>
        <v>Carassius auratus</v>
      </c>
      <c r="H237" t="str">
        <f t="shared" si="23"/>
        <v>Goldfish</v>
      </c>
      <c r="I237" t="str">
        <f t="shared" si="24"/>
        <v>Morihana</v>
      </c>
      <c r="J237" t="str">
        <f t="shared" si="25"/>
        <v>Nonnative</v>
      </c>
      <c r="K237" t="str">
        <f t="shared" si="26"/>
        <v>No</v>
      </c>
      <c r="L237">
        <v>1</v>
      </c>
      <c r="N237">
        <v>101</v>
      </c>
      <c r="O237">
        <v>34</v>
      </c>
      <c r="T237" t="str">
        <f t="shared" si="27"/>
        <v/>
      </c>
    </row>
    <row r="238" spans="1:21" x14ac:dyDescent="0.55000000000000004">
      <c r="A238">
        <v>17</v>
      </c>
      <c r="B238" s="15" t="str">
        <f t="shared" si="21"/>
        <v>17_0</v>
      </c>
      <c r="C238" s="20">
        <v>45695.395833333336</v>
      </c>
      <c r="D238" t="s">
        <v>175</v>
      </c>
      <c r="E238">
        <v>2</v>
      </c>
      <c r="F238" t="s">
        <v>124</v>
      </c>
      <c r="G238" t="str">
        <f t="shared" si="22"/>
        <v>Carassius auratus</v>
      </c>
      <c r="H238" t="str">
        <f t="shared" si="23"/>
        <v>Goldfish</v>
      </c>
      <c r="I238" t="str">
        <f t="shared" si="24"/>
        <v>Morihana</v>
      </c>
      <c r="J238" t="str">
        <f t="shared" si="25"/>
        <v>Nonnative</v>
      </c>
      <c r="K238" t="str">
        <f t="shared" si="26"/>
        <v>No</v>
      </c>
      <c r="L238">
        <v>1</v>
      </c>
      <c r="N238">
        <v>110</v>
      </c>
      <c r="O238">
        <v>35</v>
      </c>
      <c r="T238" t="str">
        <f t="shared" si="27"/>
        <v/>
      </c>
    </row>
    <row r="239" spans="1:21" x14ac:dyDescent="0.55000000000000004">
      <c r="A239">
        <v>17</v>
      </c>
      <c r="B239" s="15" t="str">
        <f t="shared" si="21"/>
        <v>17_0</v>
      </c>
      <c r="C239" s="20">
        <v>45695.395833333336</v>
      </c>
      <c r="D239" t="s">
        <v>175</v>
      </c>
      <c r="E239">
        <v>2</v>
      </c>
      <c r="F239" t="s">
        <v>124</v>
      </c>
      <c r="G239" t="str">
        <f t="shared" si="22"/>
        <v>Carassius auratus</v>
      </c>
      <c r="H239" t="str">
        <f t="shared" si="23"/>
        <v>Goldfish</v>
      </c>
      <c r="I239" t="str">
        <f t="shared" si="24"/>
        <v>Morihana</v>
      </c>
      <c r="J239" t="str">
        <f t="shared" si="25"/>
        <v>Nonnative</v>
      </c>
      <c r="K239" t="str">
        <f t="shared" si="26"/>
        <v>No</v>
      </c>
      <c r="L239">
        <v>1</v>
      </c>
      <c r="N239">
        <v>120</v>
      </c>
      <c r="O239">
        <v>44</v>
      </c>
      <c r="T239" t="str">
        <f t="shared" si="27"/>
        <v/>
      </c>
    </row>
    <row r="240" spans="1:21" x14ac:dyDescent="0.55000000000000004">
      <c r="A240">
        <v>17</v>
      </c>
      <c r="B240" s="15" t="str">
        <f t="shared" si="21"/>
        <v>17_0</v>
      </c>
      <c r="C240" s="20">
        <v>45695.395833333336</v>
      </c>
      <c r="D240" t="s">
        <v>175</v>
      </c>
      <c r="E240">
        <v>2</v>
      </c>
      <c r="F240" t="s">
        <v>124</v>
      </c>
      <c r="G240" t="str">
        <f t="shared" si="22"/>
        <v>Carassius auratus</v>
      </c>
      <c r="H240" t="str">
        <f t="shared" si="23"/>
        <v>Goldfish</v>
      </c>
      <c r="I240" t="str">
        <f t="shared" si="24"/>
        <v>Morihana</v>
      </c>
      <c r="J240" t="str">
        <f t="shared" si="25"/>
        <v>Nonnative</v>
      </c>
      <c r="K240" t="str">
        <f t="shared" si="26"/>
        <v>No</v>
      </c>
      <c r="L240">
        <v>1</v>
      </c>
      <c r="N240">
        <v>84</v>
      </c>
      <c r="O240">
        <v>20</v>
      </c>
      <c r="T240" t="str">
        <f t="shared" si="27"/>
        <v/>
      </c>
    </row>
    <row r="241" spans="1:20" x14ac:dyDescent="0.55000000000000004">
      <c r="A241">
        <v>17</v>
      </c>
      <c r="B241" s="15" t="str">
        <f t="shared" si="21"/>
        <v>17_0</v>
      </c>
      <c r="C241" s="20">
        <v>45695.395833333336</v>
      </c>
      <c r="D241" t="s">
        <v>175</v>
      </c>
      <c r="E241">
        <v>2</v>
      </c>
      <c r="F241" t="s">
        <v>124</v>
      </c>
      <c r="G241" t="str">
        <f t="shared" si="22"/>
        <v>Carassius auratus</v>
      </c>
      <c r="H241" t="str">
        <f t="shared" si="23"/>
        <v>Goldfish</v>
      </c>
      <c r="I241" t="str">
        <f t="shared" si="24"/>
        <v>Morihana</v>
      </c>
      <c r="J241" t="str">
        <f t="shared" si="25"/>
        <v>Nonnative</v>
      </c>
      <c r="K241" t="str">
        <f t="shared" si="26"/>
        <v>No</v>
      </c>
      <c r="L241">
        <v>1</v>
      </c>
      <c r="N241">
        <v>105</v>
      </c>
      <c r="O241">
        <v>32</v>
      </c>
      <c r="T241" t="str">
        <f t="shared" si="27"/>
        <v/>
      </c>
    </row>
    <row r="242" spans="1:20" x14ac:dyDescent="0.55000000000000004">
      <c r="A242">
        <v>17</v>
      </c>
      <c r="B242" s="15" t="str">
        <f t="shared" si="21"/>
        <v>17_0</v>
      </c>
      <c r="C242" s="20">
        <v>45695.395833333336</v>
      </c>
      <c r="D242" t="s">
        <v>175</v>
      </c>
      <c r="E242">
        <v>2</v>
      </c>
      <c r="F242" t="s">
        <v>124</v>
      </c>
      <c r="G242" t="str">
        <f t="shared" si="22"/>
        <v>Carassius auratus</v>
      </c>
      <c r="H242" t="str">
        <f t="shared" si="23"/>
        <v>Goldfish</v>
      </c>
      <c r="I242" t="str">
        <f t="shared" si="24"/>
        <v>Morihana</v>
      </c>
      <c r="J242" t="str">
        <f t="shared" si="25"/>
        <v>Nonnative</v>
      </c>
      <c r="K242" t="str">
        <f t="shared" si="26"/>
        <v>No</v>
      </c>
      <c r="L242">
        <v>1</v>
      </c>
      <c r="N242">
        <v>90</v>
      </c>
      <c r="O242">
        <v>22</v>
      </c>
      <c r="T242" t="str">
        <f t="shared" si="27"/>
        <v/>
      </c>
    </row>
    <row r="243" spans="1:20" x14ac:dyDescent="0.55000000000000004">
      <c r="A243">
        <v>17</v>
      </c>
      <c r="B243" s="15" t="str">
        <f t="shared" si="21"/>
        <v>17_0</v>
      </c>
      <c r="C243" s="20">
        <v>45695.395833333336</v>
      </c>
      <c r="D243" t="s">
        <v>175</v>
      </c>
      <c r="E243">
        <v>2</v>
      </c>
      <c r="F243" t="s">
        <v>124</v>
      </c>
      <c r="G243" t="str">
        <f t="shared" si="22"/>
        <v>Carassius auratus</v>
      </c>
      <c r="H243" t="str">
        <f t="shared" si="23"/>
        <v>Goldfish</v>
      </c>
      <c r="I243" t="str">
        <f t="shared" si="24"/>
        <v>Morihana</v>
      </c>
      <c r="J243" t="str">
        <f t="shared" si="25"/>
        <v>Nonnative</v>
      </c>
      <c r="K243" t="str">
        <f t="shared" si="26"/>
        <v>No</v>
      </c>
      <c r="L243">
        <v>1</v>
      </c>
      <c r="N243">
        <v>85</v>
      </c>
      <c r="O243">
        <v>15</v>
      </c>
      <c r="T243" t="str">
        <f t="shared" si="27"/>
        <v/>
      </c>
    </row>
    <row r="244" spans="1:20" x14ac:dyDescent="0.55000000000000004">
      <c r="A244">
        <v>17</v>
      </c>
      <c r="B244" s="15" t="str">
        <f t="shared" si="21"/>
        <v>17_0</v>
      </c>
      <c r="C244" s="20">
        <v>45695.395833333336</v>
      </c>
      <c r="D244" t="s">
        <v>175</v>
      </c>
      <c r="E244">
        <v>2</v>
      </c>
      <c r="F244" t="s">
        <v>124</v>
      </c>
      <c r="G244" t="str">
        <f t="shared" si="22"/>
        <v>Carassius auratus</v>
      </c>
      <c r="H244" t="str">
        <f t="shared" si="23"/>
        <v>Goldfish</v>
      </c>
      <c r="I244" t="str">
        <f t="shared" si="24"/>
        <v>Morihana</v>
      </c>
      <c r="J244" t="str">
        <f t="shared" si="25"/>
        <v>Nonnative</v>
      </c>
      <c r="K244" t="str">
        <f t="shared" si="26"/>
        <v>No</v>
      </c>
      <c r="L244">
        <v>1</v>
      </c>
      <c r="N244">
        <v>85</v>
      </c>
      <c r="O244">
        <v>17</v>
      </c>
      <c r="T244" t="str">
        <f t="shared" si="27"/>
        <v/>
      </c>
    </row>
    <row r="245" spans="1:20" x14ac:dyDescent="0.55000000000000004">
      <c r="A245">
        <v>17</v>
      </c>
      <c r="B245" s="15" t="str">
        <f t="shared" si="21"/>
        <v>17_0</v>
      </c>
      <c r="C245" s="20">
        <v>45695.395833333336</v>
      </c>
      <c r="D245" t="s">
        <v>175</v>
      </c>
      <c r="E245">
        <v>2</v>
      </c>
      <c r="F245" t="s">
        <v>124</v>
      </c>
      <c r="G245" t="str">
        <f t="shared" si="22"/>
        <v>Carassius auratus</v>
      </c>
      <c r="H245" t="str">
        <f t="shared" si="23"/>
        <v>Goldfish</v>
      </c>
      <c r="I245" t="str">
        <f t="shared" si="24"/>
        <v>Morihana</v>
      </c>
      <c r="J245" t="str">
        <f t="shared" si="25"/>
        <v>Nonnative</v>
      </c>
      <c r="K245" t="str">
        <f t="shared" si="26"/>
        <v>No</v>
      </c>
      <c r="L245">
        <v>1</v>
      </c>
      <c r="N245">
        <v>72</v>
      </c>
      <c r="O245">
        <v>11</v>
      </c>
      <c r="T245" t="str">
        <f t="shared" si="27"/>
        <v/>
      </c>
    </row>
    <row r="246" spans="1:20" x14ac:dyDescent="0.55000000000000004">
      <c r="A246">
        <v>17</v>
      </c>
      <c r="B246" s="15" t="str">
        <f t="shared" si="21"/>
        <v>17_0</v>
      </c>
      <c r="C246" s="20">
        <v>45695.395833333336</v>
      </c>
      <c r="D246" t="s">
        <v>175</v>
      </c>
      <c r="E246">
        <v>2</v>
      </c>
      <c r="F246" t="s">
        <v>124</v>
      </c>
      <c r="G246" t="str">
        <f t="shared" si="22"/>
        <v>Carassius auratus</v>
      </c>
      <c r="H246" t="str">
        <f t="shared" si="23"/>
        <v>Goldfish</v>
      </c>
      <c r="I246" t="str">
        <f t="shared" si="24"/>
        <v>Morihana</v>
      </c>
      <c r="J246" t="str">
        <f t="shared" si="25"/>
        <v>Nonnative</v>
      </c>
      <c r="K246" t="str">
        <f t="shared" si="26"/>
        <v>No</v>
      </c>
      <c r="L246">
        <v>1</v>
      </c>
      <c r="N246">
        <v>92</v>
      </c>
      <c r="O246">
        <v>21</v>
      </c>
      <c r="T246" t="str">
        <f t="shared" si="27"/>
        <v/>
      </c>
    </row>
    <row r="247" spans="1:20" x14ac:dyDescent="0.55000000000000004">
      <c r="A247">
        <v>17</v>
      </c>
      <c r="B247" s="15" t="str">
        <f t="shared" si="21"/>
        <v>17_0</v>
      </c>
      <c r="C247" s="20">
        <v>45695.395833333336</v>
      </c>
      <c r="D247" t="s">
        <v>175</v>
      </c>
      <c r="E247">
        <v>2</v>
      </c>
      <c r="F247" t="s">
        <v>124</v>
      </c>
      <c r="G247" t="str">
        <f t="shared" si="22"/>
        <v>Carassius auratus</v>
      </c>
      <c r="H247" t="str">
        <f t="shared" si="23"/>
        <v>Goldfish</v>
      </c>
      <c r="I247" t="str">
        <f t="shared" si="24"/>
        <v>Morihana</v>
      </c>
      <c r="J247" t="str">
        <f t="shared" si="25"/>
        <v>Nonnative</v>
      </c>
      <c r="K247" t="str">
        <f t="shared" si="26"/>
        <v>No</v>
      </c>
      <c r="L247">
        <v>1</v>
      </c>
      <c r="N247">
        <v>79</v>
      </c>
      <c r="O247">
        <v>10</v>
      </c>
      <c r="T247" t="str">
        <f t="shared" si="27"/>
        <v/>
      </c>
    </row>
    <row r="248" spans="1:20" x14ac:dyDescent="0.55000000000000004">
      <c r="A248">
        <v>17</v>
      </c>
      <c r="B248" s="15" t="str">
        <f t="shared" si="21"/>
        <v>17_0</v>
      </c>
      <c r="C248" s="20">
        <v>45695.395833333336</v>
      </c>
      <c r="D248" t="s">
        <v>175</v>
      </c>
      <c r="E248">
        <v>2</v>
      </c>
      <c r="F248" t="s">
        <v>124</v>
      </c>
      <c r="G248" t="str">
        <f t="shared" si="22"/>
        <v>Carassius auratus</v>
      </c>
      <c r="H248" t="str">
        <f t="shared" si="23"/>
        <v>Goldfish</v>
      </c>
      <c r="I248" t="str">
        <f t="shared" si="24"/>
        <v>Morihana</v>
      </c>
      <c r="J248" t="str">
        <f t="shared" si="25"/>
        <v>Nonnative</v>
      </c>
      <c r="K248" t="str">
        <f t="shared" si="26"/>
        <v>No</v>
      </c>
      <c r="L248">
        <v>1</v>
      </c>
      <c r="N248">
        <v>80</v>
      </c>
      <c r="O248">
        <v>16</v>
      </c>
      <c r="T248" t="str">
        <f t="shared" si="27"/>
        <v/>
      </c>
    </row>
    <row r="249" spans="1:20" x14ac:dyDescent="0.55000000000000004">
      <c r="A249">
        <v>17</v>
      </c>
      <c r="B249" s="15" t="str">
        <f t="shared" si="21"/>
        <v>17_0</v>
      </c>
      <c r="C249" s="20">
        <v>45695.395833333336</v>
      </c>
      <c r="D249" t="s">
        <v>175</v>
      </c>
      <c r="E249">
        <v>2</v>
      </c>
      <c r="F249" t="s">
        <v>115</v>
      </c>
      <c r="G249" t="str">
        <f t="shared" si="22"/>
        <v>Paranephrops planifrons</v>
      </c>
      <c r="H249" t="str">
        <f t="shared" si="23"/>
        <v>Freshwater_crayfish</v>
      </c>
      <c r="I249" t="str">
        <f t="shared" si="24"/>
        <v>Kōura</v>
      </c>
      <c r="J249" t="str">
        <f t="shared" si="25"/>
        <v>Native</v>
      </c>
      <c r="K249" t="str">
        <f t="shared" si="26"/>
        <v>Yes</v>
      </c>
      <c r="L249">
        <v>1</v>
      </c>
      <c r="M249" t="s">
        <v>176</v>
      </c>
      <c r="N249">
        <v>36.22</v>
      </c>
      <c r="O249">
        <v>38</v>
      </c>
      <c r="T249" t="str">
        <f t="shared" si="27"/>
        <v/>
      </c>
    </row>
    <row r="250" spans="1:20" x14ac:dyDescent="0.55000000000000004">
      <c r="A250">
        <v>17</v>
      </c>
      <c r="B250" s="15" t="str">
        <f t="shared" si="21"/>
        <v>17_0</v>
      </c>
      <c r="C250" s="20">
        <v>45695.395833333336</v>
      </c>
      <c r="D250" t="s">
        <v>175</v>
      </c>
      <c r="E250">
        <v>2</v>
      </c>
      <c r="F250" t="s">
        <v>115</v>
      </c>
      <c r="G250" t="str">
        <f t="shared" si="22"/>
        <v>Paranephrops planifrons</v>
      </c>
      <c r="H250" t="str">
        <f t="shared" si="23"/>
        <v>Freshwater_crayfish</v>
      </c>
      <c r="I250" t="str">
        <f t="shared" si="24"/>
        <v>Kōura</v>
      </c>
      <c r="J250" t="str">
        <f t="shared" si="25"/>
        <v>Native</v>
      </c>
      <c r="K250" t="str">
        <f t="shared" si="26"/>
        <v>Yes</v>
      </c>
      <c r="L250">
        <v>1</v>
      </c>
      <c r="M250" t="s">
        <v>176</v>
      </c>
      <c r="N250">
        <v>28.93</v>
      </c>
      <c r="O250">
        <v>18</v>
      </c>
      <c r="T250" t="str">
        <f t="shared" si="27"/>
        <v/>
      </c>
    </row>
    <row r="251" spans="1:20" x14ac:dyDescent="0.55000000000000004">
      <c r="A251">
        <v>17</v>
      </c>
      <c r="B251" s="15" t="str">
        <f t="shared" si="21"/>
        <v>17_0</v>
      </c>
      <c r="C251" s="20">
        <v>45695.395833333336</v>
      </c>
      <c r="D251" t="s">
        <v>175</v>
      </c>
      <c r="E251">
        <v>2</v>
      </c>
      <c r="F251" t="s">
        <v>115</v>
      </c>
      <c r="G251" t="str">
        <f t="shared" si="22"/>
        <v>Paranephrops planifrons</v>
      </c>
      <c r="H251" t="str">
        <f t="shared" si="23"/>
        <v>Freshwater_crayfish</v>
      </c>
      <c r="I251" t="str">
        <f t="shared" si="24"/>
        <v>Kōura</v>
      </c>
      <c r="J251" t="str">
        <f t="shared" si="25"/>
        <v>Native</v>
      </c>
      <c r="K251" t="str">
        <f t="shared" si="26"/>
        <v>Yes</v>
      </c>
      <c r="L251">
        <v>1</v>
      </c>
      <c r="M251" t="s">
        <v>176</v>
      </c>
      <c r="N251">
        <v>20.75</v>
      </c>
      <c r="O251">
        <v>6</v>
      </c>
      <c r="T251" t="str">
        <f t="shared" si="27"/>
        <v/>
      </c>
    </row>
    <row r="252" spans="1:20" x14ac:dyDescent="0.55000000000000004">
      <c r="A252">
        <v>17</v>
      </c>
      <c r="B252" s="15" t="str">
        <f t="shared" si="21"/>
        <v>17_0</v>
      </c>
      <c r="C252" s="20">
        <v>45695.395833333336</v>
      </c>
      <c r="D252" t="s">
        <v>175</v>
      </c>
      <c r="E252">
        <v>2</v>
      </c>
      <c r="F252" t="s">
        <v>115</v>
      </c>
      <c r="G252" t="str">
        <f t="shared" si="22"/>
        <v>Paranephrops planifrons</v>
      </c>
      <c r="H252" t="str">
        <f t="shared" si="23"/>
        <v>Freshwater_crayfish</v>
      </c>
      <c r="I252" t="str">
        <f t="shared" si="24"/>
        <v>Kōura</v>
      </c>
      <c r="J252" t="str">
        <f t="shared" si="25"/>
        <v>Native</v>
      </c>
      <c r="K252" t="str">
        <f t="shared" si="26"/>
        <v>Yes</v>
      </c>
      <c r="L252">
        <v>1</v>
      </c>
      <c r="M252" t="s">
        <v>176</v>
      </c>
      <c r="N252">
        <v>27.99</v>
      </c>
      <c r="O252">
        <v>12</v>
      </c>
      <c r="T252" t="str">
        <f t="shared" si="27"/>
        <v/>
      </c>
    </row>
    <row r="253" spans="1:20" x14ac:dyDescent="0.55000000000000004">
      <c r="A253">
        <v>17</v>
      </c>
      <c r="B253" s="15" t="str">
        <f t="shared" si="21"/>
        <v>17_0</v>
      </c>
      <c r="C253" s="20">
        <v>45695.395833333336</v>
      </c>
      <c r="D253" t="s">
        <v>175</v>
      </c>
      <c r="E253">
        <v>2</v>
      </c>
      <c r="F253" t="s">
        <v>115</v>
      </c>
      <c r="G253" t="str">
        <f t="shared" si="22"/>
        <v>Paranephrops planifrons</v>
      </c>
      <c r="H253" t="str">
        <f t="shared" si="23"/>
        <v>Freshwater_crayfish</v>
      </c>
      <c r="I253" t="str">
        <f t="shared" si="24"/>
        <v>Kōura</v>
      </c>
      <c r="J253" t="str">
        <f t="shared" si="25"/>
        <v>Native</v>
      </c>
      <c r="K253" t="str">
        <f t="shared" si="26"/>
        <v>Yes</v>
      </c>
      <c r="L253">
        <v>1</v>
      </c>
      <c r="M253" t="s">
        <v>177</v>
      </c>
      <c r="N253">
        <v>28.78</v>
      </c>
      <c r="O253">
        <v>22</v>
      </c>
      <c r="P253">
        <v>1</v>
      </c>
      <c r="T253" t="str">
        <f t="shared" si="27"/>
        <v/>
      </c>
    </row>
    <row r="254" spans="1:20" x14ac:dyDescent="0.55000000000000004">
      <c r="A254">
        <v>17</v>
      </c>
      <c r="B254" s="15" t="str">
        <f t="shared" si="21"/>
        <v>17_0</v>
      </c>
      <c r="C254" s="20">
        <v>45695.395833333336</v>
      </c>
      <c r="D254" t="s">
        <v>175</v>
      </c>
      <c r="E254">
        <v>2</v>
      </c>
      <c r="F254" t="s">
        <v>115</v>
      </c>
      <c r="G254" t="str">
        <f t="shared" si="22"/>
        <v>Paranephrops planifrons</v>
      </c>
      <c r="H254" t="str">
        <f t="shared" si="23"/>
        <v>Freshwater_crayfish</v>
      </c>
      <c r="I254" t="str">
        <f t="shared" si="24"/>
        <v>Kōura</v>
      </c>
      <c r="J254" t="str">
        <f t="shared" si="25"/>
        <v>Native</v>
      </c>
      <c r="K254" t="str">
        <f t="shared" si="26"/>
        <v>Yes</v>
      </c>
      <c r="L254">
        <v>1</v>
      </c>
      <c r="M254" t="s">
        <v>176</v>
      </c>
      <c r="N254">
        <v>33.33</v>
      </c>
      <c r="O254">
        <v>32</v>
      </c>
      <c r="T254" t="str">
        <f t="shared" si="27"/>
        <v/>
      </c>
    </row>
    <row r="255" spans="1:20" x14ac:dyDescent="0.55000000000000004">
      <c r="A255">
        <v>17</v>
      </c>
      <c r="B255" s="15" t="str">
        <f t="shared" si="21"/>
        <v>17_0</v>
      </c>
      <c r="C255" s="20">
        <v>45695.395833333336</v>
      </c>
      <c r="D255" t="s">
        <v>175</v>
      </c>
      <c r="E255">
        <v>2</v>
      </c>
      <c r="F255" t="s">
        <v>115</v>
      </c>
      <c r="G255" t="str">
        <f t="shared" si="22"/>
        <v>Paranephrops planifrons</v>
      </c>
      <c r="H255" t="str">
        <f t="shared" si="23"/>
        <v>Freshwater_crayfish</v>
      </c>
      <c r="I255" t="str">
        <f t="shared" si="24"/>
        <v>Kōura</v>
      </c>
      <c r="J255" t="str">
        <f t="shared" si="25"/>
        <v>Native</v>
      </c>
      <c r="K255" t="str">
        <f t="shared" si="26"/>
        <v>Yes</v>
      </c>
      <c r="L255">
        <v>1</v>
      </c>
      <c r="M255" t="s">
        <v>177</v>
      </c>
      <c r="N255">
        <v>27.46</v>
      </c>
      <c r="O255">
        <v>14</v>
      </c>
      <c r="T255" t="str">
        <f t="shared" si="27"/>
        <v/>
      </c>
    </row>
    <row r="256" spans="1:20" x14ac:dyDescent="0.55000000000000004">
      <c r="A256">
        <v>17</v>
      </c>
      <c r="B256" s="15" t="str">
        <f t="shared" si="21"/>
        <v>17_0</v>
      </c>
      <c r="C256" s="20">
        <v>45695.395833333336</v>
      </c>
      <c r="D256" t="s">
        <v>175</v>
      </c>
      <c r="E256">
        <v>2</v>
      </c>
      <c r="F256" t="s">
        <v>115</v>
      </c>
      <c r="G256" t="str">
        <f t="shared" si="22"/>
        <v>Paranephrops planifrons</v>
      </c>
      <c r="H256" t="str">
        <f t="shared" si="23"/>
        <v>Freshwater_crayfish</v>
      </c>
      <c r="I256" t="str">
        <f t="shared" si="24"/>
        <v>Kōura</v>
      </c>
      <c r="J256" t="str">
        <f t="shared" si="25"/>
        <v>Native</v>
      </c>
      <c r="K256" t="str">
        <f t="shared" si="26"/>
        <v>Yes</v>
      </c>
      <c r="L256">
        <v>1</v>
      </c>
      <c r="M256" t="s">
        <v>176</v>
      </c>
      <c r="N256">
        <v>32.54</v>
      </c>
      <c r="O256">
        <v>28</v>
      </c>
      <c r="T256" t="str">
        <f t="shared" si="27"/>
        <v/>
      </c>
    </row>
    <row r="257" spans="1:21" x14ac:dyDescent="0.55000000000000004">
      <c r="A257">
        <v>17</v>
      </c>
      <c r="B257" s="15" t="str">
        <f t="shared" si="21"/>
        <v>17_0</v>
      </c>
      <c r="C257" s="20">
        <v>45695.395833333336</v>
      </c>
      <c r="D257" t="s">
        <v>175</v>
      </c>
      <c r="E257">
        <v>2</v>
      </c>
      <c r="F257" t="s">
        <v>115</v>
      </c>
      <c r="G257" t="str">
        <f t="shared" si="22"/>
        <v>Paranephrops planifrons</v>
      </c>
      <c r="H257" t="str">
        <f t="shared" si="23"/>
        <v>Freshwater_crayfish</v>
      </c>
      <c r="I257" t="str">
        <f t="shared" si="24"/>
        <v>Kōura</v>
      </c>
      <c r="J257" t="str">
        <f t="shared" si="25"/>
        <v>Native</v>
      </c>
      <c r="K257" t="str">
        <f t="shared" si="26"/>
        <v>Yes</v>
      </c>
      <c r="L257">
        <v>1</v>
      </c>
      <c r="M257" t="s">
        <v>177</v>
      </c>
      <c r="N257">
        <v>33.06</v>
      </c>
      <c r="O257">
        <v>32</v>
      </c>
      <c r="T257" t="str">
        <f t="shared" si="27"/>
        <v/>
      </c>
    </row>
    <row r="258" spans="1:21" x14ac:dyDescent="0.55000000000000004">
      <c r="A258">
        <v>17</v>
      </c>
      <c r="B258" s="15" t="str">
        <f t="shared" ref="B258:B321" si="28">A258 &amp; "_0"</f>
        <v>17_0</v>
      </c>
      <c r="C258" s="20">
        <v>45695.395833333336</v>
      </c>
      <c r="D258" t="s">
        <v>175</v>
      </c>
      <c r="E258">
        <v>2</v>
      </c>
      <c r="F258" t="s">
        <v>115</v>
      </c>
      <c r="G258" t="str">
        <f t="shared" ref="G258:G321" si="29">VLOOKUP($F258, $W$1:$AB$10, 2, FALSE)</f>
        <v>Paranephrops planifrons</v>
      </c>
      <c r="H258" t="str">
        <f t="shared" ref="H258:H321" si="30">VLOOKUP($F258, $W$1:$AB$10, 3, FALSE)</f>
        <v>Freshwater_crayfish</v>
      </c>
      <c r="I258" t="str">
        <f t="shared" ref="I258:I321" si="31">VLOOKUP($F258, $W$1:$AB$10, 4, FALSE)</f>
        <v>Kōura</v>
      </c>
      <c r="J258" t="str">
        <f t="shared" ref="J258:J321" si="32">VLOOKUP($F258, $W$1:$AC$10, 5, FALSE)</f>
        <v>Native</v>
      </c>
      <c r="K258" t="str">
        <f t="shared" ref="K258:K321" si="33">VLOOKUP($F258, $W$1:$AB$10, 6, FALSE)</f>
        <v>Yes</v>
      </c>
      <c r="L258">
        <v>1</v>
      </c>
      <c r="M258" t="s">
        <v>177</v>
      </c>
      <c r="N258">
        <v>25.07</v>
      </c>
      <c r="O258">
        <v>16</v>
      </c>
      <c r="T258" t="str">
        <f t="shared" ref="T258:T311" si="34">IF(S258&lt;&gt;"", S258*236.588, "")</f>
        <v/>
      </c>
    </row>
    <row r="259" spans="1:21" x14ac:dyDescent="0.55000000000000004">
      <c r="A259">
        <v>17</v>
      </c>
      <c r="B259" s="15" t="str">
        <f t="shared" si="28"/>
        <v>17_0</v>
      </c>
      <c r="C259" s="20">
        <v>45695.395833333336</v>
      </c>
      <c r="D259" t="s">
        <v>175</v>
      </c>
      <c r="E259">
        <v>2</v>
      </c>
      <c r="F259" t="s">
        <v>115</v>
      </c>
      <c r="G259" t="str">
        <f t="shared" si="29"/>
        <v>Paranephrops planifrons</v>
      </c>
      <c r="H259" t="str">
        <f t="shared" si="30"/>
        <v>Freshwater_crayfish</v>
      </c>
      <c r="I259" t="str">
        <f t="shared" si="31"/>
        <v>Kōura</v>
      </c>
      <c r="J259" t="str">
        <f t="shared" si="32"/>
        <v>Native</v>
      </c>
      <c r="K259" t="str">
        <f t="shared" si="33"/>
        <v>Yes</v>
      </c>
      <c r="L259">
        <v>1</v>
      </c>
      <c r="M259" t="s">
        <v>177</v>
      </c>
      <c r="N259">
        <v>28.82</v>
      </c>
      <c r="O259">
        <v>16</v>
      </c>
      <c r="T259" t="str">
        <f t="shared" si="34"/>
        <v/>
      </c>
    </row>
    <row r="260" spans="1:21" x14ac:dyDescent="0.55000000000000004">
      <c r="A260">
        <v>17</v>
      </c>
      <c r="B260" s="15" t="str">
        <f t="shared" si="28"/>
        <v>17_0</v>
      </c>
      <c r="C260" s="20">
        <v>45695.395833333336</v>
      </c>
      <c r="D260" t="s">
        <v>175</v>
      </c>
      <c r="E260">
        <v>2</v>
      </c>
      <c r="F260" t="s">
        <v>115</v>
      </c>
      <c r="G260" t="str">
        <f t="shared" si="29"/>
        <v>Paranephrops planifrons</v>
      </c>
      <c r="H260" t="str">
        <f t="shared" si="30"/>
        <v>Freshwater_crayfish</v>
      </c>
      <c r="I260" t="str">
        <f t="shared" si="31"/>
        <v>Kōura</v>
      </c>
      <c r="J260" t="str">
        <f t="shared" si="32"/>
        <v>Native</v>
      </c>
      <c r="K260" t="str">
        <f t="shared" si="33"/>
        <v>Yes</v>
      </c>
      <c r="L260">
        <v>1</v>
      </c>
      <c r="M260" t="s">
        <v>176</v>
      </c>
      <c r="N260">
        <v>23.05</v>
      </c>
      <c r="O260">
        <v>7</v>
      </c>
      <c r="T260" t="str">
        <f t="shared" si="34"/>
        <v/>
      </c>
    </row>
    <row r="261" spans="1:21" x14ac:dyDescent="0.55000000000000004">
      <c r="A261">
        <v>17</v>
      </c>
      <c r="B261" s="15" t="str">
        <f t="shared" si="28"/>
        <v>17_0</v>
      </c>
      <c r="C261" s="20">
        <v>45695.395833333336</v>
      </c>
      <c r="D261" t="s">
        <v>175</v>
      </c>
      <c r="E261">
        <v>2</v>
      </c>
      <c r="F261" t="s">
        <v>115</v>
      </c>
      <c r="G261" t="str">
        <f t="shared" si="29"/>
        <v>Paranephrops planifrons</v>
      </c>
      <c r="H261" t="str">
        <f t="shared" si="30"/>
        <v>Freshwater_crayfish</v>
      </c>
      <c r="I261" t="str">
        <f t="shared" si="31"/>
        <v>Kōura</v>
      </c>
      <c r="J261" t="str">
        <f t="shared" si="32"/>
        <v>Native</v>
      </c>
      <c r="K261" t="str">
        <f t="shared" si="33"/>
        <v>Yes</v>
      </c>
      <c r="L261">
        <v>1</v>
      </c>
      <c r="M261" t="s">
        <v>176</v>
      </c>
      <c r="N261">
        <v>21.64</v>
      </c>
      <c r="O261">
        <v>5</v>
      </c>
      <c r="T261" t="str">
        <f t="shared" si="34"/>
        <v/>
      </c>
    </row>
    <row r="262" spans="1:21" x14ac:dyDescent="0.55000000000000004">
      <c r="A262">
        <v>17</v>
      </c>
      <c r="B262" s="15" t="str">
        <f t="shared" si="28"/>
        <v>17_0</v>
      </c>
      <c r="C262" s="20">
        <v>45695.395833333336</v>
      </c>
      <c r="D262" t="s">
        <v>175</v>
      </c>
      <c r="E262">
        <v>2</v>
      </c>
      <c r="F262" t="s">
        <v>115</v>
      </c>
      <c r="G262" t="str">
        <f t="shared" si="29"/>
        <v>Paranephrops planifrons</v>
      </c>
      <c r="H262" t="str">
        <f t="shared" si="30"/>
        <v>Freshwater_crayfish</v>
      </c>
      <c r="I262" t="str">
        <f t="shared" si="31"/>
        <v>Kōura</v>
      </c>
      <c r="J262" t="str">
        <f t="shared" si="32"/>
        <v>Native</v>
      </c>
      <c r="K262" t="str">
        <f t="shared" si="33"/>
        <v>Yes</v>
      </c>
      <c r="L262">
        <v>1</v>
      </c>
      <c r="M262" t="s">
        <v>176</v>
      </c>
      <c r="N262">
        <v>22.98</v>
      </c>
      <c r="O262">
        <v>12</v>
      </c>
      <c r="T262" t="str">
        <f t="shared" si="34"/>
        <v/>
      </c>
    </row>
    <row r="263" spans="1:21" x14ac:dyDescent="0.55000000000000004">
      <c r="A263">
        <v>17</v>
      </c>
      <c r="B263" s="15" t="str">
        <f t="shared" si="28"/>
        <v>17_0</v>
      </c>
      <c r="C263" s="20">
        <v>45695.395833333336</v>
      </c>
      <c r="D263" t="s">
        <v>175</v>
      </c>
      <c r="E263">
        <v>2</v>
      </c>
      <c r="F263" t="s">
        <v>115</v>
      </c>
      <c r="G263" t="str">
        <f t="shared" si="29"/>
        <v>Paranephrops planifrons</v>
      </c>
      <c r="H263" t="str">
        <f t="shared" si="30"/>
        <v>Freshwater_crayfish</v>
      </c>
      <c r="I263" t="str">
        <f t="shared" si="31"/>
        <v>Kōura</v>
      </c>
      <c r="J263" t="str">
        <f t="shared" si="32"/>
        <v>Native</v>
      </c>
      <c r="K263" t="str">
        <f t="shared" si="33"/>
        <v>Yes</v>
      </c>
      <c r="L263">
        <v>1</v>
      </c>
      <c r="M263" t="s">
        <v>177</v>
      </c>
      <c r="N263">
        <v>28.34</v>
      </c>
      <c r="O263">
        <v>19</v>
      </c>
      <c r="T263" t="str">
        <f t="shared" si="34"/>
        <v/>
      </c>
    </row>
    <row r="264" spans="1:21" x14ac:dyDescent="0.55000000000000004">
      <c r="A264">
        <v>17</v>
      </c>
      <c r="B264" s="15" t="str">
        <f t="shared" si="28"/>
        <v>17_0</v>
      </c>
      <c r="C264" s="20">
        <v>45695.395833333336</v>
      </c>
      <c r="D264" t="s">
        <v>175</v>
      </c>
      <c r="E264">
        <v>2</v>
      </c>
      <c r="F264" t="s">
        <v>115</v>
      </c>
      <c r="G264" t="str">
        <f t="shared" si="29"/>
        <v>Paranephrops planifrons</v>
      </c>
      <c r="H264" t="str">
        <f t="shared" si="30"/>
        <v>Freshwater_crayfish</v>
      </c>
      <c r="I264" t="str">
        <f t="shared" si="31"/>
        <v>Kōura</v>
      </c>
      <c r="J264" t="str">
        <f t="shared" si="32"/>
        <v>Native</v>
      </c>
      <c r="K264" t="str">
        <f t="shared" si="33"/>
        <v>Yes</v>
      </c>
      <c r="L264">
        <v>1</v>
      </c>
      <c r="M264" t="s">
        <v>176</v>
      </c>
      <c r="N264">
        <v>20.95</v>
      </c>
      <c r="O264">
        <v>5</v>
      </c>
      <c r="T264" t="str">
        <f t="shared" si="34"/>
        <v/>
      </c>
    </row>
    <row r="265" spans="1:21" x14ac:dyDescent="0.55000000000000004">
      <c r="A265">
        <v>17</v>
      </c>
      <c r="B265" s="15" t="str">
        <f t="shared" si="28"/>
        <v>17_0</v>
      </c>
      <c r="C265" s="20">
        <v>45695.395833333336</v>
      </c>
      <c r="D265" t="s">
        <v>175</v>
      </c>
      <c r="E265">
        <v>2</v>
      </c>
      <c r="F265" t="s">
        <v>115</v>
      </c>
      <c r="G265" t="str">
        <f t="shared" si="29"/>
        <v>Paranephrops planifrons</v>
      </c>
      <c r="H265" t="str">
        <f t="shared" si="30"/>
        <v>Freshwater_crayfish</v>
      </c>
      <c r="I265" t="str">
        <f t="shared" si="31"/>
        <v>Kōura</v>
      </c>
      <c r="J265" t="str">
        <f t="shared" si="32"/>
        <v>Native</v>
      </c>
      <c r="K265" t="str">
        <f t="shared" si="33"/>
        <v>Yes</v>
      </c>
      <c r="L265">
        <v>1</v>
      </c>
      <c r="M265" t="s">
        <v>177</v>
      </c>
      <c r="N265">
        <v>24.7</v>
      </c>
      <c r="O265">
        <v>12</v>
      </c>
      <c r="T265" t="str">
        <f t="shared" si="34"/>
        <v/>
      </c>
    </row>
    <row r="266" spans="1:21" x14ac:dyDescent="0.55000000000000004">
      <c r="A266">
        <v>17</v>
      </c>
      <c r="B266" s="15" t="str">
        <f t="shared" si="28"/>
        <v>17_0</v>
      </c>
      <c r="C266" s="20">
        <v>45695.395833333336</v>
      </c>
      <c r="D266" t="s">
        <v>175</v>
      </c>
      <c r="E266">
        <v>2</v>
      </c>
      <c r="F266" t="s">
        <v>133</v>
      </c>
      <c r="G266" t="str">
        <f t="shared" si="29"/>
        <v>Retropinna retropinna</v>
      </c>
      <c r="H266" t="str">
        <f t="shared" si="30"/>
        <v>Common_smelt</v>
      </c>
      <c r="I266" t="str">
        <f t="shared" si="31"/>
        <v>Common_smelt</v>
      </c>
      <c r="J266" t="str">
        <f t="shared" si="32"/>
        <v>Native</v>
      </c>
      <c r="K266" t="str">
        <f t="shared" si="33"/>
        <v>No</v>
      </c>
      <c r="L266">
        <v>10</v>
      </c>
      <c r="T266" t="str">
        <f t="shared" si="34"/>
        <v/>
      </c>
    </row>
    <row r="267" spans="1:21" x14ac:dyDescent="0.55000000000000004">
      <c r="A267">
        <v>17</v>
      </c>
      <c r="B267" s="15" t="str">
        <f t="shared" si="28"/>
        <v>17_0</v>
      </c>
      <c r="C267" s="20">
        <v>45695.395833333336</v>
      </c>
      <c r="D267" t="s">
        <v>175</v>
      </c>
      <c r="E267">
        <v>2</v>
      </c>
      <c r="F267" t="s">
        <v>135</v>
      </c>
      <c r="G267" t="str">
        <f t="shared" si="29"/>
        <v>Gobiomorphus cotidianus</v>
      </c>
      <c r="H267" t="str">
        <f t="shared" si="30"/>
        <v>Common_bully</v>
      </c>
      <c r="I267" t="str">
        <f t="shared" si="31"/>
        <v>Toitoi</v>
      </c>
      <c r="J267" t="str">
        <f t="shared" si="32"/>
        <v>Native</v>
      </c>
      <c r="K267" t="str">
        <f t="shared" si="33"/>
        <v>No</v>
      </c>
      <c r="O267">
        <v>368</v>
      </c>
      <c r="S267">
        <v>2</v>
      </c>
      <c r="T267">
        <f t="shared" si="34"/>
        <v>473.17599999999999</v>
      </c>
    </row>
    <row r="268" spans="1:21" x14ac:dyDescent="0.55000000000000004">
      <c r="A268">
        <v>17</v>
      </c>
      <c r="B268" s="15" t="str">
        <f t="shared" si="28"/>
        <v>17_0</v>
      </c>
      <c r="C268" s="20">
        <v>45695.395833333336</v>
      </c>
      <c r="D268" t="s">
        <v>175</v>
      </c>
      <c r="E268">
        <v>2</v>
      </c>
      <c r="F268" t="s">
        <v>135</v>
      </c>
      <c r="G268" t="str">
        <f t="shared" si="29"/>
        <v>Gobiomorphus cotidianus</v>
      </c>
      <c r="H268" t="str">
        <f t="shared" si="30"/>
        <v>Common_bully</v>
      </c>
      <c r="I268" t="str">
        <f t="shared" si="31"/>
        <v>Toitoi</v>
      </c>
      <c r="J268" t="str">
        <f t="shared" si="32"/>
        <v>Native</v>
      </c>
      <c r="K268" t="str">
        <f t="shared" si="33"/>
        <v>No</v>
      </c>
      <c r="O268">
        <v>349</v>
      </c>
      <c r="S268">
        <v>2</v>
      </c>
      <c r="T268">
        <f t="shared" si="34"/>
        <v>473.17599999999999</v>
      </c>
    </row>
    <row r="269" spans="1:21" x14ac:dyDescent="0.55000000000000004">
      <c r="A269">
        <v>18</v>
      </c>
      <c r="B269" s="15" t="str">
        <f t="shared" si="28"/>
        <v>18_0</v>
      </c>
      <c r="C269" s="20">
        <v>45695.4375</v>
      </c>
      <c r="D269" t="s">
        <v>174</v>
      </c>
      <c r="E269">
        <v>2</v>
      </c>
      <c r="F269" t="s">
        <v>135</v>
      </c>
      <c r="G269" t="str">
        <f t="shared" si="29"/>
        <v>Gobiomorphus cotidianus</v>
      </c>
      <c r="H269" t="str">
        <f t="shared" si="30"/>
        <v>Common_bully</v>
      </c>
      <c r="I269" t="str">
        <f t="shared" si="31"/>
        <v>Toitoi</v>
      </c>
      <c r="J269" t="str">
        <f t="shared" si="32"/>
        <v>Native</v>
      </c>
      <c r="K269" t="str">
        <f t="shared" si="33"/>
        <v>No</v>
      </c>
      <c r="L269">
        <v>2</v>
      </c>
      <c r="T269" t="str">
        <f t="shared" si="34"/>
        <v/>
      </c>
    </row>
    <row r="270" spans="1:21" x14ac:dyDescent="0.55000000000000004">
      <c r="A270">
        <v>18</v>
      </c>
      <c r="B270" s="15" t="str">
        <f t="shared" si="28"/>
        <v>18_0</v>
      </c>
      <c r="C270" s="20">
        <v>45695.4375</v>
      </c>
      <c r="D270" t="s">
        <v>175</v>
      </c>
      <c r="E270">
        <v>2</v>
      </c>
      <c r="F270" t="s">
        <v>115</v>
      </c>
      <c r="G270" t="str">
        <f t="shared" si="29"/>
        <v>Paranephrops planifrons</v>
      </c>
      <c r="H270" t="str">
        <f t="shared" si="30"/>
        <v>Freshwater_crayfish</v>
      </c>
      <c r="I270" t="str">
        <f t="shared" si="31"/>
        <v>Kōura</v>
      </c>
      <c r="J270" t="str">
        <f t="shared" si="32"/>
        <v>Native</v>
      </c>
      <c r="K270" t="str">
        <f t="shared" si="33"/>
        <v>Yes</v>
      </c>
      <c r="L270">
        <v>1</v>
      </c>
      <c r="M270" t="s">
        <v>177</v>
      </c>
      <c r="N270">
        <v>36.99</v>
      </c>
      <c r="O270">
        <v>35</v>
      </c>
      <c r="T270" t="str">
        <f t="shared" si="34"/>
        <v/>
      </c>
      <c r="U270" t="s">
        <v>179</v>
      </c>
    </row>
    <row r="271" spans="1:21" x14ac:dyDescent="0.55000000000000004">
      <c r="A271">
        <v>18</v>
      </c>
      <c r="B271" s="15" t="str">
        <f t="shared" si="28"/>
        <v>18_0</v>
      </c>
      <c r="C271" s="20">
        <v>45695.4375</v>
      </c>
      <c r="D271" t="s">
        <v>175</v>
      </c>
      <c r="E271">
        <v>2</v>
      </c>
      <c r="F271" t="s">
        <v>130</v>
      </c>
      <c r="G271" t="str">
        <f t="shared" si="29"/>
        <v>Oncorhynchus mykiss</v>
      </c>
      <c r="H271" t="str">
        <f t="shared" si="30"/>
        <v>Rainbow_trout</v>
      </c>
      <c r="I271" t="str">
        <f t="shared" si="31"/>
        <v>Rainbow_trout</v>
      </c>
      <c r="J271" t="str">
        <f t="shared" si="32"/>
        <v>Nonnative</v>
      </c>
      <c r="K271" t="str">
        <f t="shared" si="33"/>
        <v>No</v>
      </c>
      <c r="L271">
        <v>1</v>
      </c>
      <c r="N271">
        <v>97</v>
      </c>
      <c r="O271">
        <v>11</v>
      </c>
      <c r="T271" t="str">
        <f t="shared" si="34"/>
        <v/>
      </c>
      <c r="U271" t="s">
        <v>179</v>
      </c>
    </row>
    <row r="272" spans="1:21" x14ac:dyDescent="0.55000000000000004">
      <c r="A272">
        <v>18</v>
      </c>
      <c r="B272" s="15" t="str">
        <f t="shared" si="28"/>
        <v>18_0</v>
      </c>
      <c r="C272" s="20">
        <v>45695.4375</v>
      </c>
      <c r="D272" t="s">
        <v>175</v>
      </c>
      <c r="E272">
        <v>2</v>
      </c>
      <c r="F272" t="s">
        <v>133</v>
      </c>
      <c r="G272" t="str">
        <f t="shared" si="29"/>
        <v>Retropinna retropinna</v>
      </c>
      <c r="H272" t="str">
        <f t="shared" si="30"/>
        <v>Common_smelt</v>
      </c>
      <c r="I272" t="str">
        <f t="shared" si="31"/>
        <v>Common_smelt</v>
      </c>
      <c r="J272" t="str">
        <f t="shared" si="32"/>
        <v>Native</v>
      </c>
      <c r="K272" t="str">
        <f t="shared" si="33"/>
        <v>No</v>
      </c>
      <c r="L272">
        <v>6</v>
      </c>
      <c r="O272">
        <v>4</v>
      </c>
      <c r="T272" t="str">
        <f t="shared" si="34"/>
        <v/>
      </c>
      <c r="U272" t="s">
        <v>179</v>
      </c>
    </row>
    <row r="273" spans="1:21" x14ac:dyDescent="0.55000000000000004">
      <c r="A273">
        <v>18</v>
      </c>
      <c r="B273" s="15" t="str">
        <f t="shared" si="28"/>
        <v>18_0</v>
      </c>
      <c r="C273" s="20">
        <v>45695.4375</v>
      </c>
      <c r="D273" t="s">
        <v>175</v>
      </c>
      <c r="E273">
        <v>2</v>
      </c>
      <c r="F273" t="s">
        <v>135</v>
      </c>
      <c r="G273" t="str">
        <f t="shared" si="29"/>
        <v>Gobiomorphus cotidianus</v>
      </c>
      <c r="H273" t="str">
        <f t="shared" si="30"/>
        <v>Common_bully</v>
      </c>
      <c r="I273" t="str">
        <f t="shared" si="31"/>
        <v>Toitoi</v>
      </c>
      <c r="J273" t="str">
        <f t="shared" si="32"/>
        <v>Native</v>
      </c>
      <c r="K273" t="str">
        <f t="shared" si="33"/>
        <v>No</v>
      </c>
      <c r="O273">
        <v>111</v>
      </c>
      <c r="S273">
        <v>0.5</v>
      </c>
      <c r="T273">
        <f t="shared" si="34"/>
        <v>118.294</v>
      </c>
      <c r="U273" t="s">
        <v>179</v>
      </c>
    </row>
    <row r="274" spans="1:21" x14ac:dyDescent="0.55000000000000004">
      <c r="A274">
        <v>19</v>
      </c>
      <c r="B274" s="15" t="str">
        <f t="shared" si="28"/>
        <v>19_0</v>
      </c>
      <c r="C274" s="20">
        <v>45695.527777777781</v>
      </c>
      <c r="D274" t="s">
        <v>174</v>
      </c>
      <c r="E274">
        <v>2</v>
      </c>
      <c r="F274" t="s">
        <v>135</v>
      </c>
      <c r="G274" t="str">
        <f t="shared" si="29"/>
        <v>Gobiomorphus cotidianus</v>
      </c>
      <c r="H274" t="str">
        <f t="shared" si="30"/>
        <v>Common_bully</v>
      </c>
      <c r="I274" t="str">
        <f t="shared" si="31"/>
        <v>Toitoi</v>
      </c>
      <c r="J274" t="str">
        <f t="shared" si="32"/>
        <v>Native</v>
      </c>
      <c r="K274" t="str">
        <f t="shared" si="33"/>
        <v>No</v>
      </c>
      <c r="L274">
        <v>3</v>
      </c>
      <c r="T274" t="str">
        <f t="shared" si="34"/>
        <v/>
      </c>
    </row>
    <row r="275" spans="1:21" x14ac:dyDescent="0.55000000000000004">
      <c r="A275">
        <v>19</v>
      </c>
      <c r="B275" s="15" t="str">
        <f t="shared" si="28"/>
        <v>19_0</v>
      </c>
      <c r="C275" s="20">
        <v>45695.527777777781</v>
      </c>
      <c r="D275" t="s">
        <v>175</v>
      </c>
      <c r="E275">
        <v>2</v>
      </c>
      <c r="F275" t="s">
        <v>124</v>
      </c>
      <c r="G275" t="str">
        <f t="shared" si="29"/>
        <v>Carassius auratus</v>
      </c>
      <c r="H275" t="str">
        <f t="shared" si="30"/>
        <v>Goldfish</v>
      </c>
      <c r="I275" t="str">
        <f t="shared" si="31"/>
        <v>Morihana</v>
      </c>
      <c r="J275" t="str">
        <f t="shared" si="32"/>
        <v>Nonnative</v>
      </c>
      <c r="K275" t="str">
        <f t="shared" si="33"/>
        <v>No</v>
      </c>
      <c r="L275">
        <v>1</v>
      </c>
      <c r="N275">
        <v>190</v>
      </c>
      <c r="O275">
        <v>166</v>
      </c>
      <c r="T275" t="str">
        <f t="shared" si="34"/>
        <v/>
      </c>
    </row>
    <row r="276" spans="1:21" x14ac:dyDescent="0.55000000000000004">
      <c r="A276">
        <v>19</v>
      </c>
      <c r="B276" s="15" t="str">
        <f t="shared" si="28"/>
        <v>19_0</v>
      </c>
      <c r="C276" s="20">
        <v>45695.527777777781</v>
      </c>
      <c r="D276" t="s">
        <v>175</v>
      </c>
      <c r="E276">
        <v>2</v>
      </c>
      <c r="F276" t="s">
        <v>124</v>
      </c>
      <c r="G276" t="str">
        <f t="shared" si="29"/>
        <v>Carassius auratus</v>
      </c>
      <c r="H276" t="str">
        <f t="shared" si="30"/>
        <v>Goldfish</v>
      </c>
      <c r="I276" t="str">
        <f t="shared" si="31"/>
        <v>Morihana</v>
      </c>
      <c r="J276" t="str">
        <f t="shared" si="32"/>
        <v>Nonnative</v>
      </c>
      <c r="K276" t="str">
        <f t="shared" si="33"/>
        <v>No</v>
      </c>
      <c r="L276">
        <v>1</v>
      </c>
      <c r="N276">
        <v>146</v>
      </c>
      <c r="O276">
        <v>97</v>
      </c>
      <c r="T276" t="str">
        <f t="shared" si="34"/>
        <v/>
      </c>
    </row>
    <row r="277" spans="1:21" x14ac:dyDescent="0.55000000000000004">
      <c r="A277">
        <v>19</v>
      </c>
      <c r="B277" s="15" t="str">
        <f t="shared" si="28"/>
        <v>19_0</v>
      </c>
      <c r="C277" s="20">
        <v>45695.527777777781</v>
      </c>
      <c r="D277" t="s">
        <v>175</v>
      </c>
      <c r="E277">
        <v>2</v>
      </c>
      <c r="F277" t="s">
        <v>124</v>
      </c>
      <c r="G277" t="str">
        <f t="shared" si="29"/>
        <v>Carassius auratus</v>
      </c>
      <c r="H277" t="str">
        <f t="shared" si="30"/>
        <v>Goldfish</v>
      </c>
      <c r="I277" t="str">
        <f t="shared" si="31"/>
        <v>Morihana</v>
      </c>
      <c r="J277" t="str">
        <f t="shared" si="32"/>
        <v>Nonnative</v>
      </c>
      <c r="K277" t="str">
        <f t="shared" si="33"/>
        <v>No</v>
      </c>
      <c r="L277">
        <v>1</v>
      </c>
      <c r="N277">
        <v>152</v>
      </c>
      <c r="O277">
        <v>88</v>
      </c>
      <c r="T277" t="str">
        <f t="shared" si="34"/>
        <v/>
      </c>
    </row>
    <row r="278" spans="1:21" x14ac:dyDescent="0.55000000000000004">
      <c r="A278">
        <v>19</v>
      </c>
      <c r="B278" s="15" t="str">
        <f t="shared" si="28"/>
        <v>19_0</v>
      </c>
      <c r="C278" s="20">
        <v>45695.527777777781</v>
      </c>
      <c r="D278" t="s">
        <v>175</v>
      </c>
      <c r="E278">
        <v>2</v>
      </c>
      <c r="F278" t="s">
        <v>124</v>
      </c>
      <c r="G278" t="str">
        <f t="shared" si="29"/>
        <v>Carassius auratus</v>
      </c>
      <c r="H278" t="str">
        <f t="shared" si="30"/>
        <v>Goldfish</v>
      </c>
      <c r="I278" t="str">
        <f t="shared" si="31"/>
        <v>Morihana</v>
      </c>
      <c r="J278" t="str">
        <f t="shared" si="32"/>
        <v>Nonnative</v>
      </c>
      <c r="K278" t="str">
        <f t="shared" si="33"/>
        <v>No</v>
      </c>
      <c r="L278">
        <v>1</v>
      </c>
      <c r="N278">
        <v>111</v>
      </c>
      <c r="O278">
        <v>36</v>
      </c>
      <c r="T278" t="str">
        <f t="shared" si="34"/>
        <v/>
      </c>
    </row>
    <row r="279" spans="1:21" x14ac:dyDescent="0.55000000000000004">
      <c r="A279">
        <v>19</v>
      </c>
      <c r="B279" s="15" t="str">
        <f t="shared" si="28"/>
        <v>19_0</v>
      </c>
      <c r="C279" s="20">
        <v>45695.527777777781</v>
      </c>
      <c r="D279" t="s">
        <v>175</v>
      </c>
      <c r="E279">
        <v>2</v>
      </c>
      <c r="F279" t="s">
        <v>124</v>
      </c>
      <c r="G279" t="str">
        <f t="shared" si="29"/>
        <v>Carassius auratus</v>
      </c>
      <c r="H279" t="str">
        <f t="shared" si="30"/>
        <v>Goldfish</v>
      </c>
      <c r="I279" t="str">
        <f t="shared" si="31"/>
        <v>Morihana</v>
      </c>
      <c r="J279" t="str">
        <f t="shared" si="32"/>
        <v>Nonnative</v>
      </c>
      <c r="K279" t="str">
        <f t="shared" si="33"/>
        <v>No</v>
      </c>
      <c r="L279">
        <v>1</v>
      </c>
      <c r="N279">
        <v>107</v>
      </c>
      <c r="O279">
        <v>34</v>
      </c>
      <c r="T279" t="str">
        <f t="shared" si="34"/>
        <v/>
      </c>
    </row>
    <row r="280" spans="1:21" x14ac:dyDescent="0.55000000000000004">
      <c r="A280">
        <v>19</v>
      </c>
      <c r="B280" s="15" t="str">
        <f t="shared" si="28"/>
        <v>19_0</v>
      </c>
      <c r="C280" s="20">
        <v>45695.527777777781</v>
      </c>
      <c r="D280" t="s">
        <v>175</v>
      </c>
      <c r="E280">
        <v>2</v>
      </c>
      <c r="F280" t="s">
        <v>124</v>
      </c>
      <c r="G280" t="str">
        <f t="shared" si="29"/>
        <v>Carassius auratus</v>
      </c>
      <c r="H280" t="str">
        <f t="shared" si="30"/>
        <v>Goldfish</v>
      </c>
      <c r="I280" t="str">
        <f t="shared" si="31"/>
        <v>Morihana</v>
      </c>
      <c r="J280" t="str">
        <f t="shared" si="32"/>
        <v>Nonnative</v>
      </c>
      <c r="K280" t="str">
        <f t="shared" si="33"/>
        <v>No</v>
      </c>
      <c r="L280">
        <v>1</v>
      </c>
      <c r="N280">
        <v>90</v>
      </c>
      <c r="O280">
        <v>17</v>
      </c>
      <c r="T280" t="str">
        <f t="shared" si="34"/>
        <v/>
      </c>
    </row>
    <row r="281" spans="1:21" x14ac:dyDescent="0.55000000000000004">
      <c r="A281">
        <v>19</v>
      </c>
      <c r="B281" s="15" t="str">
        <f t="shared" si="28"/>
        <v>19_0</v>
      </c>
      <c r="C281" s="20">
        <v>45695.527777777781</v>
      </c>
      <c r="D281" t="s">
        <v>175</v>
      </c>
      <c r="E281">
        <v>2</v>
      </c>
      <c r="F281" t="s">
        <v>124</v>
      </c>
      <c r="G281" t="str">
        <f t="shared" si="29"/>
        <v>Carassius auratus</v>
      </c>
      <c r="H281" t="str">
        <f t="shared" si="30"/>
        <v>Goldfish</v>
      </c>
      <c r="I281" t="str">
        <f t="shared" si="31"/>
        <v>Morihana</v>
      </c>
      <c r="J281" t="str">
        <f t="shared" si="32"/>
        <v>Nonnative</v>
      </c>
      <c r="K281" t="str">
        <f t="shared" si="33"/>
        <v>No</v>
      </c>
      <c r="L281">
        <v>1</v>
      </c>
      <c r="N281">
        <v>90</v>
      </c>
      <c r="O281">
        <v>18</v>
      </c>
      <c r="T281" t="str">
        <f t="shared" si="34"/>
        <v/>
      </c>
    </row>
    <row r="282" spans="1:21" x14ac:dyDescent="0.55000000000000004">
      <c r="A282">
        <v>19</v>
      </c>
      <c r="B282" s="15" t="str">
        <f t="shared" si="28"/>
        <v>19_0</v>
      </c>
      <c r="C282" s="20">
        <v>45695.527777777781</v>
      </c>
      <c r="D282" t="s">
        <v>175</v>
      </c>
      <c r="E282">
        <v>2</v>
      </c>
      <c r="F282" t="s">
        <v>124</v>
      </c>
      <c r="G282" t="str">
        <f t="shared" si="29"/>
        <v>Carassius auratus</v>
      </c>
      <c r="H282" t="str">
        <f t="shared" si="30"/>
        <v>Goldfish</v>
      </c>
      <c r="I282" t="str">
        <f t="shared" si="31"/>
        <v>Morihana</v>
      </c>
      <c r="J282" t="str">
        <f t="shared" si="32"/>
        <v>Nonnative</v>
      </c>
      <c r="K282" t="str">
        <f t="shared" si="33"/>
        <v>No</v>
      </c>
      <c r="L282">
        <v>1</v>
      </c>
      <c r="N282">
        <v>96</v>
      </c>
      <c r="O282">
        <v>23</v>
      </c>
      <c r="T282" t="str">
        <f t="shared" si="34"/>
        <v/>
      </c>
    </row>
    <row r="283" spans="1:21" x14ac:dyDescent="0.55000000000000004">
      <c r="A283">
        <v>19</v>
      </c>
      <c r="B283" s="15" t="str">
        <f t="shared" si="28"/>
        <v>19_0</v>
      </c>
      <c r="C283" s="20">
        <v>45695.527777777781</v>
      </c>
      <c r="D283" t="s">
        <v>175</v>
      </c>
      <c r="E283">
        <v>2</v>
      </c>
      <c r="F283" t="s">
        <v>115</v>
      </c>
      <c r="G283" t="str">
        <f t="shared" si="29"/>
        <v>Paranephrops planifrons</v>
      </c>
      <c r="H283" t="str">
        <f t="shared" si="30"/>
        <v>Freshwater_crayfish</v>
      </c>
      <c r="I283" t="str">
        <f t="shared" si="31"/>
        <v>Kōura</v>
      </c>
      <c r="J283" t="str">
        <f t="shared" si="32"/>
        <v>Native</v>
      </c>
      <c r="K283" t="str">
        <f t="shared" si="33"/>
        <v>Yes</v>
      </c>
      <c r="L283">
        <v>1</v>
      </c>
      <c r="M283" t="s">
        <v>176</v>
      </c>
      <c r="N283">
        <v>42.13</v>
      </c>
      <c r="O283">
        <v>50</v>
      </c>
      <c r="T283" t="str">
        <f t="shared" si="34"/>
        <v/>
      </c>
    </row>
    <row r="284" spans="1:21" x14ac:dyDescent="0.55000000000000004">
      <c r="A284">
        <v>19</v>
      </c>
      <c r="B284" s="15" t="str">
        <f t="shared" si="28"/>
        <v>19_0</v>
      </c>
      <c r="C284" s="20">
        <v>45695.527777777781</v>
      </c>
      <c r="D284" t="s">
        <v>175</v>
      </c>
      <c r="E284">
        <v>2</v>
      </c>
      <c r="F284" t="s">
        <v>115</v>
      </c>
      <c r="G284" t="str">
        <f t="shared" si="29"/>
        <v>Paranephrops planifrons</v>
      </c>
      <c r="H284" t="str">
        <f t="shared" si="30"/>
        <v>Freshwater_crayfish</v>
      </c>
      <c r="I284" t="str">
        <f t="shared" si="31"/>
        <v>Kōura</v>
      </c>
      <c r="J284" t="str">
        <f t="shared" si="32"/>
        <v>Native</v>
      </c>
      <c r="K284" t="str">
        <f t="shared" si="33"/>
        <v>Yes</v>
      </c>
      <c r="L284">
        <v>1</v>
      </c>
      <c r="M284" t="s">
        <v>177</v>
      </c>
      <c r="N284">
        <v>34.64</v>
      </c>
      <c r="O284">
        <v>33</v>
      </c>
      <c r="T284" t="str">
        <f t="shared" si="34"/>
        <v/>
      </c>
    </row>
    <row r="285" spans="1:21" x14ac:dyDescent="0.55000000000000004">
      <c r="A285">
        <v>19</v>
      </c>
      <c r="B285" s="15" t="str">
        <f t="shared" si="28"/>
        <v>19_0</v>
      </c>
      <c r="C285" s="20">
        <v>45695.527777777781</v>
      </c>
      <c r="D285" t="s">
        <v>175</v>
      </c>
      <c r="E285">
        <v>2</v>
      </c>
      <c r="F285" t="s">
        <v>115</v>
      </c>
      <c r="G285" t="str">
        <f t="shared" si="29"/>
        <v>Paranephrops planifrons</v>
      </c>
      <c r="H285" t="str">
        <f t="shared" si="30"/>
        <v>Freshwater_crayfish</v>
      </c>
      <c r="I285" t="str">
        <f t="shared" si="31"/>
        <v>Kōura</v>
      </c>
      <c r="J285" t="str">
        <f t="shared" si="32"/>
        <v>Native</v>
      </c>
      <c r="K285" t="str">
        <f t="shared" si="33"/>
        <v>Yes</v>
      </c>
      <c r="L285">
        <v>1</v>
      </c>
      <c r="M285" t="s">
        <v>176</v>
      </c>
      <c r="N285">
        <v>27.85</v>
      </c>
      <c r="O285">
        <v>20</v>
      </c>
      <c r="T285" t="str">
        <f t="shared" si="34"/>
        <v/>
      </c>
    </row>
    <row r="286" spans="1:21" x14ac:dyDescent="0.55000000000000004">
      <c r="A286">
        <v>19</v>
      </c>
      <c r="B286" s="15" t="str">
        <f t="shared" si="28"/>
        <v>19_0</v>
      </c>
      <c r="C286" s="20">
        <v>45695.527777777781</v>
      </c>
      <c r="D286" t="s">
        <v>175</v>
      </c>
      <c r="E286">
        <v>2</v>
      </c>
      <c r="F286" t="s">
        <v>115</v>
      </c>
      <c r="G286" t="str">
        <f t="shared" si="29"/>
        <v>Paranephrops planifrons</v>
      </c>
      <c r="H286" t="str">
        <f t="shared" si="30"/>
        <v>Freshwater_crayfish</v>
      </c>
      <c r="I286" t="str">
        <f t="shared" si="31"/>
        <v>Kōura</v>
      </c>
      <c r="J286" t="str">
        <f t="shared" si="32"/>
        <v>Native</v>
      </c>
      <c r="K286" t="str">
        <f t="shared" si="33"/>
        <v>Yes</v>
      </c>
      <c r="L286">
        <v>1</v>
      </c>
      <c r="M286" t="s">
        <v>177</v>
      </c>
      <c r="N286">
        <v>24.48</v>
      </c>
      <c r="O286">
        <v>12</v>
      </c>
      <c r="T286" t="str">
        <f t="shared" si="34"/>
        <v/>
      </c>
    </row>
    <row r="287" spans="1:21" x14ac:dyDescent="0.55000000000000004">
      <c r="A287">
        <v>19</v>
      </c>
      <c r="B287" s="15" t="str">
        <f t="shared" si="28"/>
        <v>19_0</v>
      </c>
      <c r="C287" s="20">
        <v>45695.527777777781</v>
      </c>
      <c r="D287" t="s">
        <v>175</v>
      </c>
      <c r="E287">
        <v>2</v>
      </c>
      <c r="F287" t="s">
        <v>115</v>
      </c>
      <c r="G287" t="str">
        <f t="shared" si="29"/>
        <v>Paranephrops planifrons</v>
      </c>
      <c r="H287" t="str">
        <f t="shared" si="30"/>
        <v>Freshwater_crayfish</v>
      </c>
      <c r="I287" t="str">
        <f t="shared" si="31"/>
        <v>Kōura</v>
      </c>
      <c r="J287" t="str">
        <f t="shared" si="32"/>
        <v>Native</v>
      </c>
      <c r="K287" t="str">
        <f t="shared" si="33"/>
        <v>Yes</v>
      </c>
      <c r="L287">
        <v>1</v>
      </c>
      <c r="M287" t="s">
        <v>176</v>
      </c>
      <c r="N287">
        <v>32.020000000000003</v>
      </c>
      <c r="O287">
        <v>24</v>
      </c>
      <c r="T287" t="str">
        <f t="shared" si="34"/>
        <v/>
      </c>
    </row>
    <row r="288" spans="1:21" x14ac:dyDescent="0.55000000000000004">
      <c r="A288">
        <v>19</v>
      </c>
      <c r="B288" s="15" t="str">
        <f t="shared" si="28"/>
        <v>19_0</v>
      </c>
      <c r="C288" s="20">
        <v>45695.527777777781</v>
      </c>
      <c r="D288" t="s">
        <v>175</v>
      </c>
      <c r="E288">
        <v>2</v>
      </c>
      <c r="F288" t="s">
        <v>115</v>
      </c>
      <c r="G288" t="str">
        <f t="shared" si="29"/>
        <v>Paranephrops planifrons</v>
      </c>
      <c r="H288" t="str">
        <f t="shared" si="30"/>
        <v>Freshwater_crayfish</v>
      </c>
      <c r="I288" t="str">
        <f t="shared" si="31"/>
        <v>Kōura</v>
      </c>
      <c r="J288" t="str">
        <f t="shared" si="32"/>
        <v>Native</v>
      </c>
      <c r="K288" t="str">
        <f t="shared" si="33"/>
        <v>Yes</v>
      </c>
      <c r="L288">
        <v>1</v>
      </c>
      <c r="M288" t="s">
        <v>177</v>
      </c>
      <c r="N288">
        <v>23.63</v>
      </c>
      <c r="O288">
        <v>9</v>
      </c>
      <c r="T288" t="str">
        <f t="shared" si="34"/>
        <v/>
      </c>
    </row>
    <row r="289" spans="1:21" x14ac:dyDescent="0.55000000000000004">
      <c r="A289">
        <v>19</v>
      </c>
      <c r="B289" s="15" t="str">
        <f t="shared" si="28"/>
        <v>19_0</v>
      </c>
      <c r="C289" s="20">
        <v>45695.527777777781</v>
      </c>
      <c r="D289" t="s">
        <v>175</v>
      </c>
      <c r="E289">
        <v>2</v>
      </c>
      <c r="F289" t="s">
        <v>115</v>
      </c>
      <c r="G289" t="str">
        <f t="shared" si="29"/>
        <v>Paranephrops planifrons</v>
      </c>
      <c r="H289" t="str">
        <f t="shared" si="30"/>
        <v>Freshwater_crayfish</v>
      </c>
      <c r="I289" t="str">
        <f t="shared" si="31"/>
        <v>Kōura</v>
      </c>
      <c r="J289" t="str">
        <f t="shared" si="32"/>
        <v>Native</v>
      </c>
      <c r="K289" t="str">
        <f t="shared" si="33"/>
        <v>Yes</v>
      </c>
      <c r="L289">
        <v>1</v>
      </c>
      <c r="M289" t="s">
        <v>176</v>
      </c>
      <c r="N289">
        <v>27.22</v>
      </c>
      <c r="O289">
        <v>14</v>
      </c>
      <c r="T289" t="str">
        <f t="shared" si="34"/>
        <v/>
      </c>
      <c r="U289" t="s">
        <v>183</v>
      </c>
    </row>
    <row r="290" spans="1:21" x14ac:dyDescent="0.55000000000000004">
      <c r="A290">
        <v>19</v>
      </c>
      <c r="B290" s="15" t="str">
        <f t="shared" si="28"/>
        <v>19_0</v>
      </c>
      <c r="C290" s="20">
        <v>45695.527777777781</v>
      </c>
      <c r="D290" t="s">
        <v>175</v>
      </c>
      <c r="E290">
        <v>2</v>
      </c>
      <c r="F290" t="s">
        <v>115</v>
      </c>
      <c r="G290" t="str">
        <f t="shared" si="29"/>
        <v>Paranephrops planifrons</v>
      </c>
      <c r="H290" t="str">
        <f t="shared" si="30"/>
        <v>Freshwater_crayfish</v>
      </c>
      <c r="I290" t="str">
        <f t="shared" si="31"/>
        <v>Kōura</v>
      </c>
      <c r="J290" t="str">
        <f t="shared" si="32"/>
        <v>Native</v>
      </c>
      <c r="K290" t="str">
        <f t="shared" si="33"/>
        <v>Yes</v>
      </c>
      <c r="L290">
        <v>1</v>
      </c>
      <c r="M290" t="s">
        <v>176</v>
      </c>
      <c r="N290">
        <v>24.17</v>
      </c>
      <c r="O290">
        <v>12</v>
      </c>
      <c r="T290" t="str">
        <f t="shared" si="34"/>
        <v/>
      </c>
    </row>
    <row r="291" spans="1:21" x14ac:dyDescent="0.55000000000000004">
      <c r="A291">
        <v>19</v>
      </c>
      <c r="B291" s="15" t="str">
        <f t="shared" si="28"/>
        <v>19_0</v>
      </c>
      <c r="C291" s="20">
        <v>45695.527777777781</v>
      </c>
      <c r="D291" t="s">
        <v>175</v>
      </c>
      <c r="E291">
        <v>2</v>
      </c>
      <c r="F291" t="s">
        <v>115</v>
      </c>
      <c r="G291" t="str">
        <f t="shared" si="29"/>
        <v>Paranephrops planifrons</v>
      </c>
      <c r="H291" t="str">
        <f t="shared" si="30"/>
        <v>Freshwater_crayfish</v>
      </c>
      <c r="I291" t="str">
        <f t="shared" si="31"/>
        <v>Kōura</v>
      </c>
      <c r="J291" t="str">
        <f t="shared" si="32"/>
        <v>Native</v>
      </c>
      <c r="K291" t="str">
        <f t="shared" si="33"/>
        <v>Yes</v>
      </c>
      <c r="L291">
        <v>1</v>
      </c>
      <c r="M291" t="s">
        <v>176</v>
      </c>
      <c r="N291">
        <v>20.82</v>
      </c>
      <c r="O291">
        <v>7</v>
      </c>
      <c r="T291" t="str">
        <f t="shared" si="34"/>
        <v/>
      </c>
    </row>
    <row r="292" spans="1:21" x14ac:dyDescent="0.55000000000000004">
      <c r="A292">
        <v>19</v>
      </c>
      <c r="B292" s="15" t="str">
        <f t="shared" si="28"/>
        <v>19_0</v>
      </c>
      <c r="C292" s="20">
        <v>45695.527777777781</v>
      </c>
      <c r="D292" t="s">
        <v>175</v>
      </c>
      <c r="E292">
        <v>2</v>
      </c>
      <c r="F292" t="s">
        <v>115</v>
      </c>
      <c r="G292" t="str">
        <f t="shared" si="29"/>
        <v>Paranephrops planifrons</v>
      </c>
      <c r="H292" t="str">
        <f t="shared" si="30"/>
        <v>Freshwater_crayfish</v>
      </c>
      <c r="I292" t="str">
        <f t="shared" si="31"/>
        <v>Kōura</v>
      </c>
      <c r="J292" t="str">
        <f t="shared" si="32"/>
        <v>Native</v>
      </c>
      <c r="K292" t="str">
        <f t="shared" si="33"/>
        <v>Yes</v>
      </c>
      <c r="L292">
        <v>1</v>
      </c>
      <c r="M292" t="s">
        <v>177</v>
      </c>
      <c r="N292">
        <v>19.37</v>
      </c>
      <c r="O292">
        <v>5</v>
      </c>
      <c r="T292" t="str">
        <f t="shared" si="34"/>
        <v/>
      </c>
    </row>
    <row r="293" spans="1:21" x14ac:dyDescent="0.55000000000000004">
      <c r="A293">
        <v>19</v>
      </c>
      <c r="B293" s="15" t="str">
        <f t="shared" si="28"/>
        <v>19_0</v>
      </c>
      <c r="C293" s="20">
        <v>45695.527777777781</v>
      </c>
      <c r="D293" t="s">
        <v>175</v>
      </c>
      <c r="E293">
        <v>2</v>
      </c>
      <c r="F293" t="s">
        <v>115</v>
      </c>
      <c r="G293" t="str">
        <f t="shared" si="29"/>
        <v>Paranephrops planifrons</v>
      </c>
      <c r="H293" t="str">
        <f t="shared" si="30"/>
        <v>Freshwater_crayfish</v>
      </c>
      <c r="I293" t="str">
        <f t="shared" si="31"/>
        <v>Kōura</v>
      </c>
      <c r="J293" t="str">
        <f t="shared" si="32"/>
        <v>Native</v>
      </c>
      <c r="K293" t="str">
        <f t="shared" si="33"/>
        <v>Yes</v>
      </c>
      <c r="L293">
        <v>1</v>
      </c>
      <c r="M293" t="s">
        <v>177</v>
      </c>
      <c r="N293">
        <v>32.200000000000003</v>
      </c>
      <c r="O293">
        <v>29</v>
      </c>
      <c r="P293">
        <v>1</v>
      </c>
      <c r="T293" t="str">
        <f t="shared" si="34"/>
        <v/>
      </c>
      <c r="U293" t="s">
        <v>184</v>
      </c>
    </row>
    <row r="294" spans="1:21" x14ac:dyDescent="0.55000000000000004">
      <c r="A294">
        <v>19</v>
      </c>
      <c r="B294" s="15" t="str">
        <f t="shared" si="28"/>
        <v>19_0</v>
      </c>
      <c r="C294" s="20">
        <v>45695.527777777781</v>
      </c>
      <c r="D294" t="s">
        <v>175</v>
      </c>
      <c r="E294">
        <v>2</v>
      </c>
      <c r="F294" t="s">
        <v>135</v>
      </c>
      <c r="G294" t="str">
        <f t="shared" si="29"/>
        <v>Gobiomorphus cotidianus</v>
      </c>
      <c r="H294" t="str">
        <f t="shared" si="30"/>
        <v>Common_bully</v>
      </c>
      <c r="I294" t="str">
        <f t="shared" si="31"/>
        <v>Toitoi</v>
      </c>
      <c r="J294" t="str">
        <f t="shared" si="32"/>
        <v>Native</v>
      </c>
      <c r="K294" t="str">
        <f t="shared" si="33"/>
        <v>No</v>
      </c>
      <c r="O294">
        <v>456</v>
      </c>
      <c r="S294">
        <v>2.5</v>
      </c>
      <c r="T294">
        <f t="shared" si="34"/>
        <v>591.47</v>
      </c>
    </row>
    <row r="295" spans="1:21" x14ac:dyDescent="0.55000000000000004">
      <c r="A295">
        <v>19</v>
      </c>
      <c r="B295" s="15" t="str">
        <f t="shared" si="28"/>
        <v>19_0</v>
      </c>
      <c r="C295" s="20">
        <v>45695.527777777781</v>
      </c>
      <c r="D295" t="s">
        <v>175</v>
      </c>
      <c r="E295">
        <v>2</v>
      </c>
      <c r="F295" t="s">
        <v>115</v>
      </c>
      <c r="G295" t="str">
        <f t="shared" si="29"/>
        <v>Paranephrops planifrons</v>
      </c>
      <c r="H295" t="str">
        <f t="shared" si="30"/>
        <v>Freshwater_crayfish</v>
      </c>
      <c r="I295" t="str">
        <f t="shared" si="31"/>
        <v>Kōura</v>
      </c>
      <c r="J295" t="str">
        <f t="shared" si="32"/>
        <v>Native</v>
      </c>
      <c r="K295" t="str">
        <f t="shared" si="33"/>
        <v>Yes</v>
      </c>
      <c r="L295">
        <v>1</v>
      </c>
      <c r="M295" t="s">
        <v>176</v>
      </c>
      <c r="N295">
        <v>16.95</v>
      </c>
      <c r="O295">
        <v>5</v>
      </c>
      <c r="T295" t="str">
        <f t="shared" si="34"/>
        <v/>
      </c>
    </row>
    <row r="296" spans="1:21" x14ac:dyDescent="0.55000000000000004">
      <c r="A296">
        <v>19</v>
      </c>
      <c r="B296" s="15" t="str">
        <f t="shared" si="28"/>
        <v>19_0</v>
      </c>
      <c r="C296" s="20">
        <v>45695.527777777781</v>
      </c>
      <c r="D296" t="s">
        <v>175</v>
      </c>
      <c r="E296">
        <v>2</v>
      </c>
      <c r="F296" t="s">
        <v>135</v>
      </c>
      <c r="G296" t="str">
        <f t="shared" si="29"/>
        <v>Gobiomorphus cotidianus</v>
      </c>
      <c r="H296" t="str">
        <f t="shared" si="30"/>
        <v>Common_bully</v>
      </c>
      <c r="I296" t="str">
        <f t="shared" si="31"/>
        <v>Toitoi</v>
      </c>
      <c r="J296" t="str">
        <f t="shared" si="32"/>
        <v>Native</v>
      </c>
      <c r="K296" t="str">
        <f t="shared" si="33"/>
        <v>No</v>
      </c>
      <c r="O296">
        <v>336</v>
      </c>
      <c r="S296">
        <v>1.5</v>
      </c>
      <c r="T296">
        <f t="shared" si="34"/>
        <v>354.88200000000001</v>
      </c>
    </row>
    <row r="297" spans="1:21" x14ac:dyDescent="0.55000000000000004">
      <c r="A297">
        <v>19</v>
      </c>
      <c r="B297" s="15" t="str">
        <f t="shared" si="28"/>
        <v>19_0</v>
      </c>
      <c r="C297" s="20">
        <v>45695.527777777781</v>
      </c>
      <c r="D297" t="s">
        <v>175</v>
      </c>
      <c r="E297">
        <v>2</v>
      </c>
      <c r="F297" t="s">
        <v>135</v>
      </c>
      <c r="G297" t="str">
        <f t="shared" si="29"/>
        <v>Gobiomorphus cotidianus</v>
      </c>
      <c r="H297" t="str">
        <f t="shared" si="30"/>
        <v>Common_bully</v>
      </c>
      <c r="I297" t="str">
        <f t="shared" si="31"/>
        <v>Toitoi</v>
      </c>
      <c r="J297" t="str">
        <f t="shared" si="32"/>
        <v>Native</v>
      </c>
      <c r="K297" t="str">
        <f t="shared" si="33"/>
        <v>No</v>
      </c>
      <c r="O297">
        <v>269</v>
      </c>
      <c r="S297">
        <v>1.25</v>
      </c>
      <c r="T297">
        <f t="shared" si="34"/>
        <v>295.73500000000001</v>
      </c>
    </row>
    <row r="298" spans="1:21" x14ac:dyDescent="0.55000000000000004">
      <c r="A298">
        <v>19</v>
      </c>
      <c r="B298" s="15" t="str">
        <f t="shared" si="28"/>
        <v>19_0</v>
      </c>
      <c r="C298" s="20">
        <v>45695.527777777781</v>
      </c>
      <c r="D298" t="s">
        <v>175</v>
      </c>
      <c r="E298">
        <v>2</v>
      </c>
      <c r="F298" t="s">
        <v>120</v>
      </c>
      <c r="G298" t="str">
        <f t="shared" si="29"/>
        <v>Ameiurus nebulosus</v>
      </c>
      <c r="H298" t="str">
        <f t="shared" si="30"/>
        <v>Catfish</v>
      </c>
      <c r="I298" t="str">
        <f t="shared" si="31"/>
        <v>Catfish</v>
      </c>
      <c r="J298" t="str">
        <f t="shared" si="32"/>
        <v>Nonnative</v>
      </c>
      <c r="K298" t="str">
        <f t="shared" si="33"/>
        <v>No</v>
      </c>
      <c r="L298">
        <v>1</v>
      </c>
      <c r="N298">
        <v>345</v>
      </c>
      <c r="O298">
        <v>600</v>
      </c>
      <c r="T298" t="str">
        <f t="shared" si="34"/>
        <v/>
      </c>
    </row>
    <row r="299" spans="1:21" x14ac:dyDescent="0.55000000000000004">
      <c r="A299">
        <v>19</v>
      </c>
      <c r="B299" s="15" t="str">
        <f t="shared" si="28"/>
        <v>19_0</v>
      </c>
      <c r="C299" s="20">
        <v>45695.527777777781</v>
      </c>
      <c r="D299" t="s">
        <v>175</v>
      </c>
      <c r="E299">
        <v>2</v>
      </c>
      <c r="F299" t="s">
        <v>120</v>
      </c>
      <c r="G299" t="str">
        <f t="shared" si="29"/>
        <v>Ameiurus nebulosus</v>
      </c>
      <c r="H299" t="str">
        <f t="shared" si="30"/>
        <v>Catfish</v>
      </c>
      <c r="I299" t="str">
        <f t="shared" si="31"/>
        <v>Catfish</v>
      </c>
      <c r="J299" t="str">
        <f t="shared" si="32"/>
        <v>Nonnative</v>
      </c>
      <c r="K299" t="str">
        <f t="shared" si="33"/>
        <v>No</v>
      </c>
      <c r="L299">
        <v>1</v>
      </c>
      <c r="N299">
        <v>340</v>
      </c>
      <c r="O299">
        <v>600</v>
      </c>
      <c r="T299" t="str">
        <f t="shared" si="34"/>
        <v/>
      </c>
    </row>
    <row r="300" spans="1:21" x14ac:dyDescent="0.55000000000000004">
      <c r="A300">
        <v>19</v>
      </c>
      <c r="B300" s="15" t="str">
        <f t="shared" si="28"/>
        <v>19_0</v>
      </c>
      <c r="C300" s="20">
        <v>45695.527777777781</v>
      </c>
      <c r="D300" t="s">
        <v>175</v>
      </c>
      <c r="E300">
        <v>2</v>
      </c>
      <c r="F300" t="s">
        <v>120</v>
      </c>
      <c r="G300" t="str">
        <f t="shared" si="29"/>
        <v>Ameiurus nebulosus</v>
      </c>
      <c r="H300" t="str">
        <f t="shared" si="30"/>
        <v>Catfish</v>
      </c>
      <c r="I300" t="str">
        <f t="shared" si="31"/>
        <v>Catfish</v>
      </c>
      <c r="J300" t="str">
        <f t="shared" si="32"/>
        <v>Nonnative</v>
      </c>
      <c r="K300" t="str">
        <f t="shared" si="33"/>
        <v>No</v>
      </c>
      <c r="L300">
        <v>1</v>
      </c>
      <c r="N300">
        <v>320</v>
      </c>
      <c r="O300">
        <v>400</v>
      </c>
      <c r="T300" t="str">
        <f t="shared" si="34"/>
        <v/>
      </c>
    </row>
    <row r="301" spans="1:21" x14ac:dyDescent="0.55000000000000004">
      <c r="A301">
        <v>19</v>
      </c>
      <c r="B301" s="15" t="str">
        <f t="shared" si="28"/>
        <v>19_0</v>
      </c>
      <c r="C301" s="20">
        <v>45695.527777777781</v>
      </c>
      <c r="D301" t="s">
        <v>175</v>
      </c>
      <c r="E301">
        <v>2</v>
      </c>
      <c r="F301" t="s">
        <v>120</v>
      </c>
      <c r="G301" t="str">
        <f t="shared" si="29"/>
        <v>Ameiurus nebulosus</v>
      </c>
      <c r="H301" t="str">
        <f t="shared" si="30"/>
        <v>Catfish</v>
      </c>
      <c r="I301" t="str">
        <f t="shared" si="31"/>
        <v>Catfish</v>
      </c>
      <c r="J301" t="str">
        <f t="shared" si="32"/>
        <v>Nonnative</v>
      </c>
      <c r="K301" t="str">
        <f t="shared" si="33"/>
        <v>No</v>
      </c>
      <c r="L301">
        <v>1</v>
      </c>
      <c r="N301">
        <v>351</v>
      </c>
      <c r="O301">
        <v>600</v>
      </c>
      <c r="T301" t="str">
        <f t="shared" si="34"/>
        <v/>
      </c>
    </row>
    <row r="302" spans="1:21" x14ac:dyDescent="0.55000000000000004">
      <c r="A302">
        <v>19</v>
      </c>
      <c r="B302" s="15" t="str">
        <f t="shared" si="28"/>
        <v>19_0</v>
      </c>
      <c r="C302" s="20">
        <v>45695.527777777781</v>
      </c>
      <c r="D302" t="s">
        <v>175</v>
      </c>
      <c r="E302">
        <v>2</v>
      </c>
      <c r="F302" t="s">
        <v>120</v>
      </c>
      <c r="G302" t="str">
        <f t="shared" si="29"/>
        <v>Ameiurus nebulosus</v>
      </c>
      <c r="H302" t="str">
        <f t="shared" si="30"/>
        <v>Catfish</v>
      </c>
      <c r="I302" t="str">
        <f t="shared" si="31"/>
        <v>Catfish</v>
      </c>
      <c r="J302" t="str">
        <f t="shared" si="32"/>
        <v>Nonnative</v>
      </c>
      <c r="K302" t="str">
        <f t="shared" si="33"/>
        <v>No</v>
      </c>
      <c r="L302">
        <v>1</v>
      </c>
      <c r="N302">
        <v>316</v>
      </c>
      <c r="O302">
        <v>400</v>
      </c>
      <c r="T302" t="str">
        <f t="shared" si="34"/>
        <v/>
      </c>
    </row>
    <row r="303" spans="1:21" x14ac:dyDescent="0.55000000000000004">
      <c r="A303">
        <v>19</v>
      </c>
      <c r="B303" s="15" t="str">
        <f t="shared" si="28"/>
        <v>19_0</v>
      </c>
      <c r="C303" s="20">
        <v>45695.527777777781</v>
      </c>
      <c r="D303" t="s">
        <v>175</v>
      </c>
      <c r="E303">
        <v>2</v>
      </c>
      <c r="F303" t="s">
        <v>120</v>
      </c>
      <c r="G303" t="str">
        <f t="shared" si="29"/>
        <v>Ameiurus nebulosus</v>
      </c>
      <c r="H303" t="str">
        <f t="shared" si="30"/>
        <v>Catfish</v>
      </c>
      <c r="I303" t="str">
        <f t="shared" si="31"/>
        <v>Catfish</v>
      </c>
      <c r="J303" t="str">
        <f t="shared" si="32"/>
        <v>Nonnative</v>
      </c>
      <c r="K303" t="str">
        <f t="shared" si="33"/>
        <v>No</v>
      </c>
      <c r="L303">
        <v>1</v>
      </c>
      <c r="N303">
        <v>273</v>
      </c>
      <c r="O303">
        <v>300</v>
      </c>
      <c r="T303" t="str">
        <f t="shared" si="34"/>
        <v/>
      </c>
    </row>
    <row r="304" spans="1:21" x14ac:dyDescent="0.55000000000000004">
      <c r="A304">
        <v>20</v>
      </c>
      <c r="B304" s="15" t="str">
        <f t="shared" si="28"/>
        <v>20_0</v>
      </c>
      <c r="C304" s="20">
        <v>45695.541666666664</v>
      </c>
      <c r="D304" t="s">
        <v>174</v>
      </c>
      <c r="E304">
        <v>2</v>
      </c>
      <c r="F304" t="s">
        <v>135</v>
      </c>
      <c r="G304" t="str">
        <f t="shared" si="29"/>
        <v>Gobiomorphus cotidianus</v>
      </c>
      <c r="H304" t="str">
        <f t="shared" si="30"/>
        <v>Common_bully</v>
      </c>
      <c r="I304" t="str">
        <f t="shared" si="31"/>
        <v>Toitoi</v>
      </c>
      <c r="J304" t="str">
        <f t="shared" si="32"/>
        <v>Native</v>
      </c>
      <c r="K304" t="str">
        <f t="shared" si="33"/>
        <v>No</v>
      </c>
      <c r="L304">
        <v>8</v>
      </c>
      <c r="O304">
        <v>4</v>
      </c>
      <c r="T304" t="str">
        <f t="shared" si="34"/>
        <v/>
      </c>
    </row>
    <row r="305" spans="1:20" x14ac:dyDescent="0.55000000000000004">
      <c r="A305">
        <v>20</v>
      </c>
      <c r="B305" s="15" t="str">
        <f t="shared" si="28"/>
        <v>20_0</v>
      </c>
      <c r="C305" s="20">
        <v>45695.541666666664</v>
      </c>
      <c r="D305" t="s">
        <v>174</v>
      </c>
      <c r="E305">
        <v>2</v>
      </c>
      <c r="F305" t="s">
        <v>115</v>
      </c>
      <c r="G305" t="str">
        <f t="shared" si="29"/>
        <v>Paranephrops planifrons</v>
      </c>
      <c r="H305" t="str">
        <f t="shared" si="30"/>
        <v>Freshwater_crayfish</v>
      </c>
      <c r="I305" t="str">
        <f t="shared" si="31"/>
        <v>Kōura</v>
      </c>
      <c r="J305" t="str">
        <f t="shared" si="32"/>
        <v>Native</v>
      </c>
      <c r="K305" t="str">
        <f t="shared" si="33"/>
        <v>Yes</v>
      </c>
      <c r="L305">
        <v>1</v>
      </c>
      <c r="M305" t="s">
        <v>177</v>
      </c>
      <c r="N305">
        <v>32.090000000000003</v>
      </c>
      <c r="O305">
        <v>21</v>
      </c>
      <c r="T305" t="str">
        <f t="shared" si="34"/>
        <v/>
      </c>
    </row>
    <row r="306" spans="1:20" x14ac:dyDescent="0.55000000000000004">
      <c r="A306">
        <v>20</v>
      </c>
      <c r="B306" s="15" t="str">
        <f t="shared" si="28"/>
        <v>20_0</v>
      </c>
      <c r="C306" s="20">
        <v>45695.541666666664</v>
      </c>
      <c r="D306" t="s">
        <v>174</v>
      </c>
      <c r="E306">
        <v>2</v>
      </c>
      <c r="F306" t="s">
        <v>115</v>
      </c>
      <c r="G306" t="str">
        <f t="shared" si="29"/>
        <v>Paranephrops planifrons</v>
      </c>
      <c r="H306" t="str">
        <f t="shared" si="30"/>
        <v>Freshwater_crayfish</v>
      </c>
      <c r="I306" t="str">
        <f t="shared" si="31"/>
        <v>Kōura</v>
      </c>
      <c r="J306" t="str">
        <f t="shared" si="32"/>
        <v>Native</v>
      </c>
      <c r="K306" t="str">
        <f t="shared" si="33"/>
        <v>Yes</v>
      </c>
      <c r="L306">
        <v>1</v>
      </c>
      <c r="M306" t="s">
        <v>177</v>
      </c>
      <c r="N306">
        <v>28.16</v>
      </c>
      <c r="O306">
        <v>50</v>
      </c>
      <c r="T306" t="str">
        <f t="shared" si="34"/>
        <v/>
      </c>
    </row>
    <row r="307" spans="1:20" x14ac:dyDescent="0.55000000000000004">
      <c r="A307">
        <v>20</v>
      </c>
      <c r="B307" s="15" t="str">
        <f t="shared" si="28"/>
        <v>20_0</v>
      </c>
      <c r="C307" s="20">
        <v>45695.541666666664</v>
      </c>
      <c r="D307" t="s">
        <v>174</v>
      </c>
      <c r="E307">
        <v>2</v>
      </c>
      <c r="F307" t="s">
        <v>115</v>
      </c>
      <c r="G307" t="str">
        <f t="shared" si="29"/>
        <v>Paranephrops planifrons</v>
      </c>
      <c r="H307" t="str">
        <f t="shared" si="30"/>
        <v>Freshwater_crayfish</v>
      </c>
      <c r="I307" t="str">
        <f t="shared" si="31"/>
        <v>Kōura</v>
      </c>
      <c r="J307" t="str">
        <f t="shared" si="32"/>
        <v>Native</v>
      </c>
      <c r="K307" t="str">
        <f t="shared" si="33"/>
        <v>Yes</v>
      </c>
      <c r="L307">
        <v>1</v>
      </c>
      <c r="M307" t="s">
        <v>176</v>
      </c>
      <c r="N307">
        <v>23.23</v>
      </c>
      <c r="O307">
        <v>8</v>
      </c>
      <c r="P307">
        <v>1</v>
      </c>
      <c r="T307" t="str">
        <f t="shared" si="34"/>
        <v/>
      </c>
    </row>
    <row r="308" spans="1:20" x14ac:dyDescent="0.55000000000000004">
      <c r="A308">
        <v>20</v>
      </c>
      <c r="B308" s="15" t="str">
        <f t="shared" si="28"/>
        <v>20_0</v>
      </c>
      <c r="C308" s="20">
        <v>45695.541666666664</v>
      </c>
      <c r="D308" t="s">
        <v>175</v>
      </c>
      <c r="E308">
        <v>2</v>
      </c>
      <c r="F308" t="s">
        <v>124</v>
      </c>
      <c r="G308" t="str">
        <f t="shared" si="29"/>
        <v>Carassius auratus</v>
      </c>
      <c r="H308" t="str">
        <f t="shared" si="30"/>
        <v>Goldfish</v>
      </c>
      <c r="I308" t="str">
        <f t="shared" si="31"/>
        <v>Morihana</v>
      </c>
      <c r="J308" t="str">
        <f t="shared" si="32"/>
        <v>Nonnative</v>
      </c>
      <c r="K308" t="str">
        <f t="shared" si="33"/>
        <v>No</v>
      </c>
      <c r="L308">
        <v>1</v>
      </c>
      <c r="N308">
        <v>179</v>
      </c>
      <c r="O308">
        <v>150</v>
      </c>
      <c r="T308" t="str">
        <f t="shared" si="34"/>
        <v/>
      </c>
    </row>
    <row r="309" spans="1:20" x14ac:dyDescent="0.55000000000000004">
      <c r="A309">
        <v>20</v>
      </c>
      <c r="B309" s="15" t="str">
        <f t="shared" si="28"/>
        <v>20_0</v>
      </c>
      <c r="C309" s="20">
        <v>45695.541666666664</v>
      </c>
      <c r="D309" t="s">
        <v>175</v>
      </c>
      <c r="E309">
        <v>2</v>
      </c>
      <c r="F309" t="s">
        <v>124</v>
      </c>
      <c r="G309" t="str">
        <f t="shared" si="29"/>
        <v>Carassius auratus</v>
      </c>
      <c r="H309" t="str">
        <f t="shared" si="30"/>
        <v>Goldfish</v>
      </c>
      <c r="I309" t="str">
        <f t="shared" si="31"/>
        <v>Morihana</v>
      </c>
      <c r="J309" t="str">
        <f t="shared" si="32"/>
        <v>Nonnative</v>
      </c>
      <c r="K309" t="str">
        <f t="shared" si="33"/>
        <v>No</v>
      </c>
      <c r="L309">
        <v>1</v>
      </c>
      <c r="N309">
        <v>93</v>
      </c>
      <c r="O309">
        <v>19</v>
      </c>
      <c r="T309" t="str">
        <f t="shared" si="34"/>
        <v/>
      </c>
    </row>
    <row r="310" spans="1:20" x14ac:dyDescent="0.55000000000000004">
      <c r="A310">
        <v>20</v>
      </c>
      <c r="B310" s="15" t="str">
        <f t="shared" si="28"/>
        <v>20_0</v>
      </c>
      <c r="C310" s="20">
        <v>45695.541666608799</v>
      </c>
      <c r="D310" t="s">
        <v>175</v>
      </c>
      <c r="E310">
        <v>2</v>
      </c>
      <c r="F310" t="s">
        <v>124</v>
      </c>
      <c r="G310" t="str">
        <f t="shared" si="29"/>
        <v>Carassius auratus</v>
      </c>
      <c r="H310" t="str">
        <f t="shared" si="30"/>
        <v>Goldfish</v>
      </c>
      <c r="I310" t="str">
        <f t="shared" si="31"/>
        <v>Morihana</v>
      </c>
      <c r="J310" t="str">
        <f t="shared" si="32"/>
        <v>Nonnative</v>
      </c>
      <c r="K310" t="str">
        <f t="shared" si="33"/>
        <v>No</v>
      </c>
      <c r="L310">
        <v>1</v>
      </c>
      <c r="N310">
        <v>115</v>
      </c>
      <c r="O310">
        <v>112</v>
      </c>
      <c r="T310" t="str">
        <f t="shared" si="34"/>
        <v/>
      </c>
    </row>
    <row r="311" spans="1:20" x14ac:dyDescent="0.55000000000000004">
      <c r="A311">
        <v>20</v>
      </c>
      <c r="B311" s="15" t="str">
        <f t="shared" si="28"/>
        <v>20_0</v>
      </c>
      <c r="C311" s="20">
        <v>45695.541666608799</v>
      </c>
      <c r="D311" t="s">
        <v>175</v>
      </c>
      <c r="E311">
        <v>2</v>
      </c>
      <c r="F311" t="s">
        <v>124</v>
      </c>
      <c r="G311" t="str">
        <f t="shared" si="29"/>
        <v>Carassius auratus</v>
      </c>
      <c r="H311" t="str">
        <f t="shared" si="30"/>
        <v>Goldfish</v>
      </c>
      <c r="I311" t="str">
        <f t="shared" si="31"/>
        <v>Morihana</v>
      </c>
      <c r="J311" t="str">
        <f t="shared" si="32"/>
        <v>Nonnative</v>
      </c>
      <c r="K311" t="str">
        <f t="shared" si="33"/>
        <v>No</v>
      </c>
      <c r="L311">
        <v>1</v>
      </c>
      <c r="N311">
        <v>140</v>
      </c>
      <c r="O311">
        <v>64</v>
      </c>
      <c r="T311" t="str">
        <f t="shared" si="34"/>
        <v/>
      </c>
    </row>
    <row r="312" spans="1:20" x14ac:dyDescent="0.55000000000000004">
      <c r="A312">
        <v>20</v>
      </c>
      <c r="B312" s="15" t="str">
        <f t="shared" si="28"/>
        <v>20_0</v>
      </c>
      <c r="C312" s="20">
        <v>45695.541666608799</v>
      </c>
      <c r="D312" t="s">
        <v>175</v>
      </c>
      <c r="E312">
        <v>2</v>
      </c>
      <c r="F312" t="s">
        <v>124</v>
      </c>
      <c r="G312" t="str">
        <f t="shared" si="29"/>
        <v>Carassius auratus</v>
      </c>
      <c r="H312" t="str">
        <f t="shared" si="30"/>
        <v>Goldfish</v>
      </c>
      <c r="I312" t="str">
        <f t="shared" si="31"/>
        <v>Morihana</v>
      </c>
      <c r="J312" t="str">
        <f t="shared" si="32"/>
        <v>Nonnative</v>
      </c>
      <c r="K312" t="str">
        <f t="shared" si="33"/>
        <v>No</v>
      </c>
      <c r="L312">
        <v>1</v>
      </c>
      <c r="N312">
        <v>141</v>
      </c>
      <c r="O312">
        <v>77</v>
      </c>
      <c r="T312" t="str">
        <f t="shared" ref="T312:T375" si="35">IF(S312&lt;&gt;"", S312*236.588, "")</f>
        <v/>
      </c>
    </row>
    <row r="313" spans="1:20" x14ac:dyDescent="0.55000000000000004">
      <c r="A313">
        <v>20</v>
      </c>
      <c r="B313" s="15" t="str">
        <f t="shared" si="28"/>
        <v>20_0</v>
      </c>
      <c r="C313" s="20">
        <v>45695.541666608799</v>
      </c>
      <c r="D313" t="s">
        <v>175</v>
      </c>
      <c r="E313">
        <v>2</v>
      </c>
      <c r="F313" t="s">
        <v>124</v>
      </c>
      <c r="G313" t="str">
        <f t="shared" si="29"/>
        <v>Carassius auratus</v>
      </c>
      <c r="H313" t="str">
        <f t="shared" si="30"/>
        <v>Goldfish</v>
      </c>
      <c r="I313" t="str">
        <f t="shared" si="31"/>
        <v>Morihana</v>
      </c>
      <c r="J313" t="str">
        <f t="shared" si="32"/>
        <v>Nonnative</v>
      </c>
      <c r="K313" t="str">
        <f t="shared" si="33"/>
        <v>No</v>
      </c>
      <c r="L313">
        <v>1</v>
      </c>
      <c r="N313">
        <v>67</v>
      </c>
      <c r="O313">
        <v>7</v>
      </c>
      <c r="T313" t="str">
        <f t="shared" si="35"/>
        <v/>
      </c>
    </row>
    <row r="314" spans="1:20" x14ac:dyDescent="0.55000000000000004">
      <c r="A314">
        <v>20</v>
      </c>
      <c r="B314" s="15" t="str">
        <f t="shared" si="28"/>
        <v>20_0</v>
      </c>
      <c r="C314" s="20">
        <v>45695.541666608799</v>
      </c>
      <c r="D314" t="s">
        <v>175</v>
      </c>
      <c r="E314">
        <v>2</v>
      </c>
      <c r="F314" t="s">
        <v>133</v>
      </c>
      <c r="G314" t="str">
        <f t="shared" si="29"/>
        <v>Retropinna retropinna</v>
      </c>
      <c r="H314" t="str">
        <f t="shared" si="30"/>
        <v>Common_smelt</v>
      </c>
      <c r="I314" t="str">
        <f t="shared" si="31"/>
        <v>Common_smelt</v>
      </c>
      <c r="J314" t="str">
        <f t="shared" si="32"/>
        <v>Native</v>
      </c>
      <c r="K314" t="str">
        <f t="shared" si="33"/>
        <v>No</v>
      </c>
      <c r="L314">
        <v>3</v>
      </c>
      <c r="T314" t="str">
        <f t="shared" si="35"/>
        <v/>
      </c>
    </row>
    <row r="315" spans="1:20" x14ac:dyDescent="0.55000000000000004">
      <c r="A315">
        <v>20</v>
      </c>
      <c r="B315" s="15" t="str">
        <f t="shared" si="28"/>
        <v>20_0</v>
      </c>
      <c r="C315" s="20">
        <v>45695.541666608799</v>
      </c>
      <c r="D315" t="s">
        <v>175</v>
      </c>
      <c r="E315">
        <v>2</v>
      </c>
      <c r="F315" t="s">
        <v>135</v>
      </c>
      <c r="G315" t="str">
        <f t="shared" si="29"/>
        <v>Gobiomorphus cotidianus</v>
      </c>
      <c r="H315" t="str">
        <f t="shared" si="30"/>
        <v>Common_bully</v>
      </c>
      <c r="I315" t="str">
        <f t="shared" si="31"/>
        <v>Toitoi</v>
      </c>
      <c r="J315" t="str">
        <f t="shared" si="32"/>
        <v>Native</v>
      </c>
      <c r="K315" t="str">
        <f t="shared" si="33"/>
        <v>No</v>
      </c>
      <c r="O315">
        <f>461-117</f>
        <v>344</v>
      </c>
      <c r="S315">
        <v>2</v>
      </c>
      <c r="T315">
        <f t="shared" si="35"/>
        <v>473.17599999999999</v>
      </c>
    </row>
    <row r="316" spans="1:20" x14ac:dyDescent="0.55000000000000004">
      <c r="A316">
        <v>20</v>
      </c>
      <c r="B316" s="15" t="str">
        <f t="shared" si="28"/>
        <v>20_0</v>
      </c>
      <c r="C316" s="20">
        <v>45695.541666608799</v>
      </c>
      <c r="D316" t="s">
        <v>175</v>
      </c>
      <c r="E316">
        <v>2</v>
      </c>
      <c r="F316" t="s">
        <v>135</v>
      </c>
      <c r="G316" t="str">
        <f t="shared" si="29"/>
        <v>Gobiomorphus cotidianus</v>
      </c>
      <c r="H316" t="str">
        <f t="shared" si="30"/>
        <v>Common_bully</v>
      </c>
      <c r="I316" t="str">
        <f t="shared" si="31"/>
        <v>Toitoi</v>
      </c>
      <c r="J316" t="str">
        <f t="shared" si="32"/>
        <v>Native</v>
      </c>
      <c r="K316" t="str">
        <f t="shared" si="33"/>
        <v>No</v>
      </c>
      <c r="O316">
        <f>457-117</f>
        <v>340</v>
      </c>
      <c r="S316">
        <v>1.5</v>
      </c>
      <c r="T316">
        <f t="shared" si="35"/>
        <v>354.88200000000001</v>
      </c>
    </row>
    <row r="317" spans="1:20" x14ac:dyDescent="0.55000000000000004">
      <c r="A317">
        <v>20</v>
      </c>
      <c r="B317" s="15" t="str">
        <f t="shared" si="28"/>
        <v>20_0</v>
      </c>
      <c r="C317" s="20">
        <v>45695.541666608799</v>
      </c>
      <c r="D317" t="s">
        <v>175</v>
      </c>
      <c r="E317">
        <v>2</v>
      </c>
      <c r="F317" t="s">
        <v>115</v>
      </c>
      <c r="G317" t="str">
        <f t="shared" si="29"/>
        <v>Paranephrops planifrons</v>
      </c>
      <c r="H317" t="str">
        <f t="shared" si="30"/>
        <v>Freshwater_crayfish</v>
      </c>
      <c r="I317" t="str">
        <f t="shared" si="31"/>
        <v>Kōura</v>
      </c>
      <c r="J317" t="str">
        <f t="shared" si="32"/>
        <v>Native</v>
      </c>
      <c r="K317" t="str">
        <f t="shared" si="33"/>
        <v>Yes</v>
      </c>
      <c r="L317">
        <v>1</v>
      </c>
      <c r="M317" t="s">
        <v>176</v>
      </c>
      <c r="N317">
        <v>36.82</v>
      </c>
      <c r="O317">
        <v>35</v>
      </c>
      <c r="T317" t="str">
        <f t="shared" si="35"/>
        <v/>
      </c>
    </row>
    <row r="318" spans="1:20" x14ac:dyDescent="0.55000000000000004">
      <c r="A318">
        <v>20</v>
      </c>
      <c r="B318" s="15" t="str">
        <f t="shared" si="28"/>
        <v>20_0</v>
      </c>
      <c r="C318" s="20">
        <v>45695.541666608799</v>
      </c>
      <c r="D318" t="s">
        <v>175</v>
      </c>
      <c r="E318">
        <v>2</v>
      </c>
      <c r="F318" t="s">
        <v>115</v>
      </c>
      <c r="G318" t="str">
        <f t="shared" si="29"/>
        <v>Paranephrops planifrons</v>
      </c>
      <c r="H318" t="str">
        <f t="shared" si="30"/>
        <v>Freshwater_crayfish</v>
      </c>
      <c r="I318" t="str">
        <f t="shared" si="31"/>
        <v>Kōura</v>
      </c>
      <c r="J318" t="str">
        <f t="shared" si="32"/>
        <v>Native</v>
      </c>
      <c r="K318" t="str">
        <f t="shared" si="33"/>
        <v>Yes</v>
      </c>
      <c r="L318">
        <v>1</v>
      </c>
      <c r="M318" t="s">
        <v>176</v>
      </c>
      <c r="N318">
        <v>28.68</v>
      </c>
      <c r="O318">
        <v>17</v>
      </c>
      <c r="T318" t="str">
        <f t="shared" si="35"/>
        <v/>
      </c>
    </row>
    <row r="319" spans="1:20" x14ac:dyDescent="0.55000000000000004">
      <c r="A319">
        <v>20</v>
      </c>
      <c r="B319" s="15" t="str">
        <f t="shared" si="28"/>
        <v>20_0</v>
      </c>
      <c r="C319" s="20">
        <v>45695.541666608799</v>
      </c>
      <c r="D319" t="s">
        <v>175</v>
      </c>
      <c r="E319">
        <v>2</v>
      </c>
      <c r="F319" t="s">
        <v>115</v>
      </c>
      <c r="G319" t="str">
        <f t="shared" si="29"/>
        <v>Paranephrops planifrons</v>
      </c>
      <c r="H319" t="str">
        <f t="shared" si="30"/>
        <v>Freshwater_crayfish</v>
      </c>
      <c r="I319" t="str">
        <f t="shared" si="31"/>
        <v>Kōura</v>
      </c>
      <c r="J319" t="str">
        <f t="shared" si="32"/>
        <v>Native</v>
      </c>
      <c r="K319" t="str">
        <f t="shared" si="33"/>
        <v>Yes</v>
      </c>
      <c r="L319">
        <v>1</v>
      </c>
      <c r="M319" t="s">
        <v>177</v>
      </c>
      <c r="N319">
        <v>33.64</v>
      </c>
      <c r="O319">
        <v>31</v>
      </c>
      <c r="P319">
        <v>1</v>
      </c>
      <c r="T319" t="str">
        <f t="shared" si="35"/>
        <v/>
      </c>
    </row>
    <row r="320" spans="1:20" x14ac:dyDescent="0.55000000000000004">
      <c r="A320">
        <v>20</v>
      </c>
      <c r="B320" s="15" t="str">
        <f t="shared" si="28"/>
        <v>20_0</v>
      </c>
      <c r="C320" s="20">
        <v>45695.541666608799</v>
      </c>
      <c r="D320" t="s">
        <v>175</v>
      </c>
      <c r="E320">
        <v>2</v>
      </c>
      <c r="F320" t="s">
        <v>115</v>
      </c>
      <c r="G320" t="str">
        <f t="shared" si="29"/>
        <v>Paranephrops planifrons</v>
      </c>
      <c r="H320" t="str">
        <f t="shared" si="30"/>
        <v>Freshwater_crayfish</v>
      </c>
      <c r="I320" t="str">
        <f t="shared" si="31"/>
        <v>Kōura</v>
      </c>
      <c r="J320" t="str">
        <f t="shared" si="32"/>
        <v>Native</v>
      </c>
      <c r="K320" t="str">
        <f t="shared" si="33"/>
        <v>Yes</v>
      </c>
      <c r="L320">
        <v>1</v>
      </c>
      <c r="M320" t="s">
        <v>177</v>
      </c>
      <c r="N320">
        <v>30.22</v>
      </c>
      <c r="O320">
        <v>20</v>
      </c>
      <c r="T320" t="str">
        <f t="shared" si="35"/>
        <v/>
      </c>
    </row>
    <row r="321" spans="1:20" x14ac:dyDescent="0.55000000000000004">
      <c r="A321">
        <v>20</v>
      </c>
      <c r="B321" s="15" t="str">
        <f t="shared" si="28"/>
        <v>20_0</v>
      </c>
      <c r="C321" s="20">
        <v>45695.541666608799</v>
      </c>
      <c r="D321" t="s">
        <v>175</v>
      </c>
      <c r="E321">
        <v>2</v>
      </c>
      <c r="F321" t="s">
        <v>115</v>
      </c>
      <c r="G321" t="str">
        <f t="shared" si="29"/>
        <v>Paranephrops planifrons</v>
      </c>
      <c r="H321" t="str">
        <f t="shared" si="30"/>
        <v>Freshwater_crayfish</v>
      </c>
      <c r="I321" t="str">
        <f t="shared" si="31"/>
        <v>Kōura</v>
      </c>
      <c r="J321" t="str">
        <f t="shared" si="32"/>
        <v>Native</v>
      </c>
      <c r="K321" t="str">
        <f t="shared" si="33"/>
        <v>Yes</v>
      </c>
      <c r="L321">
        <v>1</v>
      </c>
      <c r="M321" t="s">
        <v>177</v>
      </c>
      <c r="N321">
        <v>24.97</v>
      </c>
      <c r="O321">
        <v>10</v>
      </c>
      <c r="T321" t="str">
        <f t="shared" si="35"/>
        <v/>
      </c>
    </row>
    <row r="322" spans="1:20" x14ac:dyDescent="0.55000000000000004">
      <c r="A322">
        <v>20</v>
      </c>
      <c r="B322" s="15" t="str">
        <f t="shared" ref="B322:B385" si="36">A322 &amp; "_0"</f>
        <v>20_0</v>
      </c>
      <c r="C322" s="20">
        <v>45695.541666608799</v>
      </c>
      <c r="D322" t="s">
        <v>175</v>
      </c>
      <c r="E322">
        <v>2</v>
      </c>
      <c r="F322" t="s">
        <v>115</v>
      </c>
      <c r="G322" t="str">
        <f t="shared" ref="G322:G385" si="37">VLOOKUP($F322, $W$1:$AB$10, 2, FALSE)</f>
        <v>Paranephrops planifrons</v>
      </c>
      <c r="H322" t="str">
        <f t="shared" ref="H322:H385" si="38">VLOOKUP($F322, $W$1:$AB$10, 3, FALSE)</f>
        <v>Freshwater_crayfish</v>
      </c>
      <c r="I322" t="str">
        <f t="shared" ref="I322:I385" si="39">VLOOKUP($F322, $W$1:$AB$10, 4, FALSE)</f>
        <v>Kōura</v>
      </c>
      <c r="J322" t="str">
        <f t="shared" ref="J322:J385" si="40">VLOOKUP($F322, $W$1:$AC$10, 5, FALSE)</f>
        <v>Native</v>
      </c>
      <c r="K322" t="str">
        <f t="shared" ref="K322:K385" si="41">VLOOKUP($F322, $W$1:$AB$10, 6, FALSE)</f>
        <v>Yes</v>
      </c>
      <c r="L322">
        <v>1</v>
      </c>
      <c r="M322" t="s">
        <v>176</v>
      </c>
      <c r="N322">
        <v>20.6</v>
      </c>
      <c r="O322">
        <v>6</v>
      </c>
      <c r="T322" t="str">
        <f t="shared" si="35"/>
        <v/>
      </c>
    </row>
    <row r="323" spans="1:20" x14ac:dyDescent="0.55000000000000004">
      <c r="A323">
        <v>20</v>
      </c>
      <c r="B323" s="15" t="str">
        <f t="shared" si="36"/>
        <v>20_0</v>
      </c>
      <c r="C323" s="20">
        <v>45695.541666608799</v>
      </c>
      <c r="D323" t="s">
        <v>175</v>
      </c>
      <c r="E323">
        <v>2</v>
      </c>
      <c r="F323" t="s">
        <v>115</v>
      </c>
      <c r="G323" t="str">
        <f t="shared" si="37"/>
        <v>Paranephrops planifrons</v>
      </c>
      <c r="H323" t="str">
        <f t="shared" si="38"/>
        <v>Freshwater_crayfish</v>
      </c>
      <c r="I323" t="str">
        <f t="shared" si="39"/>
        <v>Kōura</v>
      </c>
      <c r="J323" t="str">
        <f t="shared" si="40"/>
        <v>Native</v>
      </c>
      <c r="K323" t="str">
        <f t="shared" si="41"/>
        <v>Yes</v>
      </c>
      <c r="L323">
        <v>1</v>
      </c>
      <c r="M323" t="s">
        <v>177</v>
      </c>
      <c r="N323">
        <v>19.239999999999998</v>
      </c>
      <c r="O323">
        <v>5</v>
      </c>
      <c r="T323" t="str">
        <f t="shared" si="35"/>
        <v/>
      </c>
    </row>
    <row r="324" spans="1:20" x14ac:dyDescent="0.55000000000000004">
      <c r="A324">
        <v>20</v>
      </c>
      <c r="B324" s="15" t="str">
        <f t="shared" si="36"/>
        <v>20_0</v>
      </c>
      <c r="C324" s="20">
        <v>45695.541666608799</v>
      </c>
      <c r="D324" t="s">
        <v>175</v>
      </c>
      <c r="E324">
        <v>2</v>
      </c>
      <c r="F324" t="s">
        <v>115</v>
      </c>
      <c r="G324" t="str">
        <f t="shared" si="37"/>
        <v>Paranephrops planifrons</v>
      </c>
      <c r="H324" t="str">
        <f t="shared" si="38"/>
        <v>Freshwater_crayfish</v>
      </c>
      <c r="I324" t="str">
        <f t="shared" si="39"/>
        <v>Kōura</v>
      </c>
      <c r="J324" t="str">
        <f t="shared" si="40"/>
        <v>Native</v>
      </c>
      <c r="K324" t="str">
        <f t="shared" si="41"/>
        <v>Yes</v>
      </c>
      <c r="L324">
        <v>1</v>
      </c>
      <c r="M324" t="s">
        <v>176</v>
      </c>
      <c r="N324">
        <v>21.51</v>
      </c>
      <c r="O324">
        <v>6</v>
      </c>
      <c r="T324" t="str">
        <f t="shared" si="35"/>
        <v/>
      </c>
    </row>
    <row r="325" spans="1:20" x14ac:dyDescent="0.55000000000000004">
      <c r="A325">
        <v>20</v>
      </c>
      <c r="B325" s="15" t="str">
        <f t="shared" si="36"/>
        <v>20_0</v>
      </c>
      <c r="C325" s="20">
        <v>45695.541666608799</v>
      </c>
      <c r="D325" t="s">
        <v>175</v>
      </c>
      <c r="E325">
        <v>2</v>
      </c>
      <c r="F325" t="s">
        <v>115</v>
      </c>
      <c r="G325" t="str">
        <f t="shared" si="37"/>
        <v>Paranephrops planifrons</v>
      </c>
      <c r="H325" t="str">
        <f t="shared" si="38"/>
        <v>Freshwater_crayfish</v>
      </c>
      <c r="I325" t="str">
        <f t="shared" si="39"/>
        <v>Kōura</v>
      </c>
      <c r="J325" t="str">
        <f t="shared" si="40"/>
        <v>Native</v>
      </c>
      <c r="K325" t="str">
        <f t="shared" si="41"/>
        <v>Yes</v>
      </c>
      <c r="L325">
        <v>1</v>
      </c>
      <c r="M325" t="s">
        <v>176</v>
      </c>
      <c r="N325">
        <v>17.600000000000001</v>
      </c>
      <c r="O325">
        <v>4</v>
      </c>
      <c r="T325" t="str">
        <f t="shared" si="35"/>
        <v/>
      </c>
    </row>
    <row r="326" spans="1:20" x14ac:dyDescent="0.55000000000000004">
      <c r="A326">
        <v>20</v>
      </c>
      <c r="B326" s="15" t="str">
        <f t="shared" si="36"/>
        <v>20_0</v>
      </c>
      <c r="C326" s="20">
        <v>45695.541666608799</v>
      </c>
      <c r="D326" t="s">
        <v>175</v>
      </c>
      <c r="E326">
        <v>2</v>
      </c>
      <c r="F326" t="s">
        <v>115</v>
      </c>
      <c r="G326" t="str">
        <f t="shared" si="37"/>
        <v>Paranephrops planifrons</v>
      </c>
      <c r="H326" t="str">
        <f t="shared" si="38"/>
        <v>Freshwater_crayfish</v>
      </c>
      <c r="I326" t="str">
        <f t="shared" si="39"/>
        <v>Kōura</v>
      </c>
      <c r="J326" t="str">
        <f t="shared" si="40"/>
        <v>Native</v>
      </c>
      <c r="K326" t="str">
        <f t="shared" si="41"/>
        <v>Yes</v>
      </c>
      <c r="L326">
        <v>1</v>
      </c>
      <c r="M326" t="s">
        <v>176</v>
      </c>
      <c r="N326">
        <v>23.12</v>
      </c>
      <c r="O326">
        <v>12</v>
      </c>
      <c r="T326" t="str">
        <f t="shared" si="35"/>
        <v/>
      </c>
    </row>
    <row r="327" spans="1:20" x14ac:dyDescent="0.55000000000000004">
      <c r="A327">
        <v>20</v>
      </c>
      <c r="B327" s="15" t="str">
        <f t="shared" si="36"/>
        <v>20_0</v>
      </c>
      <c r="C327" s="20">
        <v>45695.541666608799</v>
      </c>
      <c r="D327" t="s">
        <v>175</v>
      </c>
      <c r="E327">
        <v>2</v>
      </c>
      <c r="F327" t="s">
        <v>115</v>
      </c>
      <c r="G327" t="str">
        <f t="shared" si="37"/>
        <v>Paranephrops planifrons</v>
      </c>
      <c r="H327" t="str">
        <f t="shared" si="38"/>
        <v>Freshwater_crayfish</v>
      </c>
      <c r="I327" t="str">
        <f t="shared" si="39"/>
        <v>Kōura</v>
      </c>
      <c r="J327" t="str">
        <f t="shared" si="40"/>
        <v>Native</v>
      </c>
      <c r="K327" t="str">
        <f t="shared" si="41"/>
        <v>Yes</v>
      </c>
      <c r="L327">
        <v>1</v>
      </c>
      <c r="M327" t="s">
        <v>177</v>
      </c>
      <c r="N327">
        <v>18.89</v>
      </c>
      <c r="O327">
        <v>5</v>
      </c>
      <c r="T327" t="str">
        <f t="shared" si="35"/>
        <v/>
      </c>
    </row>
    <row r="328" spans="1:20" x14ac:dyDescent="0.55000000000000004">
      <c r="A328">
        <v>20</v>
      </c>
      <c r="B328" s="15" t="str">
        <f t="shared" si="36"/>
        <v>20_0</v>
      </c>
      <c r="C328" s="20">
        <v>45695.541666608799</v>
      </c>
      <c r="D328" t="s">
        <v>175</v>
      </c>
      <c r="E328">
        <v>2</v>
      </c>
      <c r="F328" t="s">
        <v>115</v>
      </c>
      <c r="G328" t="str">
        <f t="shared" si="37"/>
        <v>Paranephrops planifrons</v>
      </c>
      <c r="H328" t="str">
        <f t="shared" si="38"/>
        <v>Freshwater_crayfish</v>
      </c>
      <c r="I328" t="str">
        <f t="shared" si="39"/>
        <v>Kōura</v>
      </c>
      <c r="J328" t="str">
        <f t="shared" si="40"/>
        <v>Native</v>
      </c>
      <c r="K328" t="str">
        <f t="shared" si="41"/>
        <v>Yes</v>
      </c>
      <c r="L328">
        <v>1</v>
      </c>
      <c r="M328" t="s">
        <v>177</v>
      </c>
      <c r="N328">
        <v>16.05</v>
      </c>
      <c r="O328">
        <v>4</v>
      </c>
      <c r="T328" t="str">
        <f t="shared" si="35"/>
        <v/>
      </c>
    </row>
    <row r="329" spans="1:20" x14ac:dyDescent="0.55000000000000004">
      <c r="A329">
        <v>20</v>
      </c>
      <c r="B329" s="15" t="str">
        <f t="shared" si="36"/>
        <v>20_0</v>
      </c>
      <c r="C329" s="20">
        <v>45695.541666608799</v>
      </c>
      <c r="D329" t="s">
        <v>175</v>
      </c>
      <c r="E329">
        <v>2</v>
      </c>
      <c r="F329" t="s">
        <v>120</v>
      </c>
      <c r="G329" t="str">
        <f t="shared" si="37"/>
        <v>Ameiurus nebulosus</v>
      </c>
      <c r="H329" t="str">
        <f t="shared" si="38"/>
        <v>Catfish</v>
      </c>
      <c r="I329" t="str">
        <f t="shared" si="39"/>
        <v>Catfish</v>
      </c>
      <c r="J329" t="str">
        <f t="shared" si="40"/>
        <v>Nonnative</v>
      </c>
      <c r="K329" t="str">
        <f t="shared" si="41"/>
        <v>No</v>
      </c>
      <c r="L329">
        <v>1</v>
      </c>
      <c r="N329">
        <v>365</v>
      </c>
      <c r="O329">
        <v>700</v>
      </c>
      <c r="T329" t="str">
        <f t="shared" si="35"/>
        <v/>
      </c>
    </row>
    <row r="330" spans="1:20" x14ac:dyDescent="0.55000000000000004">
      <c r="A330">
        <v>20</v>
      </c>
      <c r="B330" s="15" t="str">
        <f t="shared" si="36"/>
        <v>20_0</v>
      </c>
      <c r="C330" s="20">
        <v>45695.541666608799</v>
      </c>
      <c r="D330" t="s">
        <v>175</v>
      </c>
      <c r="E330">
        <v>2</v>
      </c>
      <c r="F330" t="s">
        <v>120</v>
      </c>
      <c r="G330" t="str">
        <f t="shared" si="37"/>
        <v>Ameiurus nebulosus</v>
      </c>
      <c r="H330" t="str">
        <f t="shared" si="38"/>
        <v>Catfish</v>
      </c>
      <c r="I330" t="str">
        <f t="shared" si="39"/>
        <v>Catfish</v>
      </c>
      <c r="J330" t="str">
        <f t="shared" si="40"/>
        <v>Nonnative</v>
      </c>
      <c r="K330" t="str">
        <f t="shared" si="41"/>
        <v>No</v>
      </c>
      <c r="L330">
        <v>1</v>
      </c>
      <c r="N330">
        <v>180</v>
      </c>
      <c r="O330">
        <v>70</v>
      </c>
      <c r="T330" t="str">
        <f t="shared" si="35"/>
        <v/>
      </c>
    </row>
    <row r="331" spans="1:20" x14ac:dyDescent="0.55000000000000004">
      <c r="A331">
        <v>20</v>
      </c>
      <c r="B331" s="15" t="str">
        <f t="shared" si="36"/>
        <v>20_0</v>
      </c>
      <c r="C331" s="20">
        <v>45695.541666608799</v>
      </c>
      <c r="D331" t="s">
        <v>175</v>
      </c>
      <c r="E331">
        <v>2</v>
      </c>
      <c r="F331" t="s">
        <v>120</v>
      </c>
      <c r="G331" t="str">
        <f t="shared" si="37"/>
        <v>Ameiurus nebulosus</v>
      </c>
      <c r="H331" t="str">
        <f t="shared" si="38"/>
        <v>Catfish</v>
      </c>
      <c r="I331" t="str">
        <f t="shared" si="39"/>
        <v>Catfish</v>
      </c>
      <c r="J331" t="str">
        <f t="shared" si="40"/>
        <v>Nonnative</v>
      </c>
      <c r="K331" t="str">
        <f t="shared" si="41"/>
        <v>No</v>
      </c>
      <c r="L331">
        <v>1</v>
      </c>
      <c r="N331">
        <v>191</v>
      </c>
      <c r="O331">
        <v>99</v>
      </c>
      <c r="T331" t="str">
        <f t="shared" si="35"/>
        <v/>
      </c>
    </row>
    <row r="332" spans="1:20" x14ac:dyDescent="0.55000000000000004">
      <c r="A332">
        <v>20</v>
      </c>
      <c r="B332" s="15" t="str">
        <f t="shared" si="36"/>
        <v>20_0</v>
      </c>
      <c r="C332" s="20">
        <v>45695.541666608799</v>
      </c>
      <c r="D332" t="s">
        <v>175</v>
      </c>
      <c r="E332">
        <v>2</v>
      </c>
      <c r="F332" t="s">
        <v>120</v>
      </c>
      <c r="G332" t="str">
        <f t="shared" si="37"/>
        <v>Ameiurus nebulosus</v>
      </c>
      <c r="H332" t="str">
        <f t="shared" si="38"/>
        <v>Catfish</v>
      </c>
      <c r="I332" t="str">
        <f t="shared" si="39"/>
        <v>Catfish</v>
      </c>
      <c r="J332" t="str">
        <f t="shared" si="40"/>
        <v>Nonnative</v>
      </c>
      <c r="K332" t="str">
        <f t="shared" si="41"/>
        <v>No</v>
      </c>
      <c r="L332">
        <v>1</v>
      </c>
      <c r="N332">
        <v>170</v>
      </c>
      <c r="O332">
        <v>60</v>
      </c>
      <c r="T332" t="str">
        <f t="shared" si="35"/>
        <v/>
      </c>
    </row>
    <row r="333" spans="1:20" x14ac:dyDescent="0.55000000000000004">
      <c r="A333">
        <v>21</v>
      </c>
      <c r="B333" s="15" t="str">
        <f t="shared" si="36"/>
        <v>21_0</v>
      </c>
      <c r="C333" s="20">
        <v>45695.618055555555</v>
      </c>
      <c r="D333" t="s">
        <v>174</v>
      </c>
      <c r="E333">
        <v>2</v>
      </c>
      <c r="F333" t="s">
        <v>115</v>
      </c>
      <c r="G333" t="str">
        <f t="shared" si="37"/>
        <v>Paranephrops planifrons</v>
      </c>
      <c r="H333" t="str">
        <f t="shared" si="38"/>
        <v>Freshwater_crayfish</v>
      </c>
      <c r="I333" t="str">
        <f t="shared" si="39"/>
        <v>Kōura</v>
      </c>
      <c r="J333" t="str">
        <f t="shared" si="40"/>
        <v>Native</v>
      </c>
      <c r="K333" t="str">
        <f t="shared" si="41"/>
        <v>Yes</v>
      </c>
      <c r="L333">
        <v>1</v>
      </c>
      <c r="M333" t="s">
        <v>177</v>
      </c>
      <c r="N333">
        <v>35.33</v>
      </c>
      <c r="O333">
        <v>28</v>
      </c>
      <c r="T333" t="str">
        <f t="shared" si="35"/>
        <v/>
      </c>
    </row>
    <row r="334" spans="1:20" x14ac:dyDescent="0.55000000000000004">
      <c r="A334">
        <v>21</v>
      </c>
      <c r="B334" s="15" t="str">
        <f t="shared" si="36"/>
        <v>21_0</v>
      </c>
      <c r="C334" s="20">
        <v>45695.618055555555</v>
      </c>
      <c r="D334" t="s">
        <v>174</v>
      </c>
      <c r="E334">
        <v>2</v>
      </c>
      <c r="F334" t="s">
        <v>115</v>
      </c>
      <c r="G334" t="str">
        <f t="shared" si="37"/>
        <v>Paranephrops planifrons</v>
      </c>
      <c r="H334" t="str">
        <f t="shared" si="38"/>
        <v>Freshwater_crayfish</v>
      </c>
      <c r="I334" t="str">
        <f t="shared" si="39"/>
        <v>Kōura</v>
      </c>
      <c r="J334" t="str">
        <f t="shared" si="40"/>
        <v>Native</v>
      </c>
      <c r="K334" t="str">
        <f t="shared" si="41"/>
        <v>Yes</v>
      </c>
      <c r="L334">
        <v>1</v>
      </c>
      <c r="M334" t="s">
        <v>176</v>
      </c>
      <c r="N334">
        <v>33.65</v>
      </c>
      <c r="O334">
        <v>23</v>
      </c>
      <c r="T334" t="str">
        <f t="shared" si="35"/>
        <v/>
      </c>
    </row>
    <row r="335" spans="1:20" x14ac:dyDescent="0.55000000000000004">
      <c r="A335">
        <v>21</v>
      </c>
      <c r="B335" s="15" t="str">
        <f t="shared" si="36"/>
        <v>21_0</v>
      </c>
      <c r="C335" s="20">
        <v>45695.618055497682</v>
      </c>
      <c r="D335" t="s">
        <v>174</v>
      </c>
      <c r="E335">
        <v>2</v>
      </c>
      <c r="F335" t="s">
        <v>115</v>
      </c>
      <c r="G335" t="str">
        <f t="shared" si="37"/>
        <v>Paranephrops planifrons</v>
      </c>
      <c r="H335" t="str">
        <f t="shared" si="38"/>
        <v>Freshwater_crayfish</v>
      </c>
      <c r="I335" t="str">
        <f t="shared" si="39"/>
        <v>Kōura</v>
      </c>
      <c r="J335" t="str">
        <f t="shared" si="40"/>
        <v>Native</v>
      </c>
      <c r="K335" t="str">
        <f t="shared" si="41"/>
        <v>Yes</v>
      </c>
      <c r="L335">
        <v>1</v>
      </c>
      <c r="M335" t="s">
        <v>177</v>
      </c>
      <c r="N335">
        <v>31.52</v>
      </c>
      <c r="O335">
        <v>23</v>
      </c>
      <c r="T335" t="str">
        <f t="shared" si="35"/>
        <v/>
      </c>
    </row>
    <row r="336" spans="1:20" x14ac:dyDescent="0.55000000000000004">
      <c r="A336">
        <v>21</v>
      </c>
      <c r="B336" s="15" t="str">
        <f t="shared" si="36"/>
        <v>21_0</v>
      </c>
      <c r="C336" s="20">
        <v>45695.618055497682</v>
      </c>
      <c r="D336" t="s">
        <v>174</v>
      </c>
      <c r="E336">
        <v>2</v>
      </c>
      <c r="F336" t="s">
        <v>115</v>
      </c>
      <c r="G336" t="str">
        <f t="shared" si="37"/>
        <v>Paranephrops planifrons</v>
      </c>
      <c r="H336" t="str">
        <f t="shared" si="38"/>
        <v>Freshwater_crayfish</v>
      </c>
      <c r="I336" t="str">
        <f t="shared" si="39"/>
        <v>Kōura</v>
      </c>
      <c r="J336" t="str">
        <f t="shared" si="40"/>
        <v>Native</v>
      </c>
      <c r="K336" t="str">
        <f t="shared" si="41"/>
        <v>Yes</v>
      </c>
      <c r="L336">
        <v>1</v>
      </c>
      <c r="M336" t="s">
        <v>176</v>
      </c>
      <c r="N336">
        <v>28.81</v>
      </c>
      <c r="O336">
        <v>18</v>
      </c>
      <c r="T336" t="str">
        <f t="shared" si="35"/>
        <v/>
      </c>
    </row>
    <row r="337" spans="1:20" x14ac:dyDescent="0.55000000000000004">
      <c r="A337">
        <v>21</v>
      </c>
      <c r="B337" s="15" t="str">
        <f t="shared" si="36"/>
        <v>21_0</v>
      </c>
      <c r="C337" s="20">
        <v>45695.618055497682</v>
      </c>
      <c r="D337" t="s">
        <v>174</v>
      </c>
      <c r="E337">
        <v>2</v>
      </c>
      <c r="F337" t="s">
        <v>115</v>
      </c>
      <c r="G337" t="str">
        <f t="shared" si="37"/>
        <v>Paranephrops planifrons</v>
      </c>
      <c r="H337" t="str">
        <f t="shared" si="38"/>
        <v>Freshwater_crayfish</v>
      </c>
      <c r="I337" t="str">
        <f t="shared" si="39"/>
        <v>Kōura</v>
      </c>
      <c r="J337" t="str">
        <f t="shared" si="40"/>
        <v>Native</v>
      </c>
      <c r="K337" t="str">
        <f t="shared" si="41"/>
        <v>Yes</v>
      </c>
      <c r="L337">
        <v>1</v>
      </c>
      <c r="M337" t="s">
        <v>176</v>
      </c>
      <c r="N337">
        <v>26.1</v>
      </c>
      <c r="O337">
        <v>10</v>
      </c>
      <c r="T337" t="str">
        <f t="shared" si="35"/>
        <v/>
      </c>
    </row>
    <row r="338" spans="1:20" x14ac:dyDescent="0.55000000000000004">
      <c r="A338">
        <v>21</v>
      </c>
      <c r="B338" s="15" t="str">
        <f t="shared" si="36"/>
        <v>21_0</v>
      </c>
      <c r="C338" s="20">
        <v>45695.618055497682</v>
      </c>
      <c r="D338" t="s">
        <v>174</v>
      </c>
      <c r="E338">
        <v>2</v>
      </c>
      <c r="F338" t="s">
        <v>135</v>
      </c>
      <c r="G338" t="str">
        <f t="shared" si="37"/>
        <v>Gobiomorphus cotidianus</v>
      </c>
      <c r="H338" t="str">
        <f t="shared" si="38"/>
        <v>Common_bully</v>
      </c>
      <c r="I338" t="str">
        <f t="shared" si="39"/>
        <v>Toitoi</v>
      </c>
      <c r="J338" t="str">
        <f t="shared" si="40"/>
        <v>Native</v>
      </c>
      <c r="K338" t="str">
        <f t="shared" si="41"/>
        <v>No</v>
      </c>
      <c r="L338">
        <v>9</v>
      </c>
      <c r="O338">
        <v>7</v>
      </c>
      <c r="T338" t="str">
        <f t="shared" si="35"/>
        <v/>
      </c>
    </row>
    <row r="339" spans="1:20" x14ac:dyDescent="0.55000000000000004">
      <c r="A339">
        <v>21</v>
      </c>
      <c r="B339" s="15" t="str">
        <f t="shared" si="36"/>
        <v>21_0</v>
      </c>
      <c r="C339" s="20">
        <v>45695.618055497682</v>
      </c>
      <c r="D339" t="s">
        <v>175</v>
      </c>
      <c r="E339">
        <v>2</v>
      </c>
      <c r="F339" t="s">
        <v>127</v>
      </c>
      <c r="G339" t="str">
        <f t="shared" si="37"/>
        <v>Galaxias brevipinnis</v>
      </c>
      <c r="H339" t="str">
        <f t="shared" si="38"/>
        <v>Climbing_galaxias</v>
      </c>
      <c r="I339" t="str">
        <f t="shared" si="39"/>
        <v>Kōaro</v>
      </c>
      <c r="J339" t="str">
        <f t="shared" si="40"/>
        <v>Native</v>
      </c>
      <c r="K339" t="str">
        <f t="shared" si="41"/>
        <v>Yes</v>
      </c>
      <c r="L339">
        <v>1</v>
      </c>
      <c r="N339">
        <v>115</v>
      </c>
      <c r="O339">
        <v>15</v>
      </c>
      <c r="T339" t="str">
        <f t="shared" si="35"/>
        <v/>
      </c>
    </row>
    <row r="340" spans="1:20" x14ac:dyDescent="0.55000000000000004">
      <c r="A340">
        <v>21</v>
      </c>
      <c r="B340" s="15" t="str">
        <f t="shared" si="36"/>
        <v>21_0</v>
      </c>
      <c r="C340" s="20">
        <v>45695.618055497682</v>
      </c>
      <c r="D340" t="s">
        <v>175</v>
      </c>
      <c r="E340">
        <v>2</v>
      </c>
      <c r="F340" t="s">
        <v>124</v>
      </c>
      <c r="G340" t="str">
        <f t="shared" si="37"/>
        <v>Carassius auratus</v>
      </c>
      <c r="H340" t="str">
        <f t="shared" si="38"/>
        <v>Goldfish</v>
      </c>
      <c r="I340" t="str">
        <f t="shared" si="39"/>
        <v>Morihana</v>
      </c>
      <c r="J340" t="str">
        <f t="shared" si="40"/>
        <v>Nonnative</v>
      </c>
      <c r="K340" t="str">
        <f t="shared" si="41"/>
        <v>No</v>
      </c>
      <c r="L340">
        <v>1</v>
      </c>
      <c r="N340">
        <v>115</v>
      </c>
      <c r="O340">
        <v>38</v>
      </c>
      <c r="T340" t="str">
        <f t="shared" si="35"/>
        <v/>
      </c>
    </row>
    <row r="341" spans="1:20" x14ac:dyDescent="0.55000000000000004">
      <c r="A341">
        <v>21</v>
      </c>
      <c r="B341" s="15" t="str">
        <f t="shared" si="36"/>
        <v>21_0</v>
      </c>
      <c r="C341" s="20">
        <v>45695.618055497682</v>
      </c>
      <c r="D341" t="s">
        <v>175</v>
      </c>
      <c r="E341">
        <v>2</v>
      </c>
      <c r="F341" t="s">
        <v>124</v>
      </c>
      <c r="G341" t="str">
        <f t="shared" si="37"/>
        <v>Carassius auratus</v>
      </c>
      <c r="H341" t="str">
        <f t="shared" si="38"/>
        <v>Goldfish</v>
      </c>
      <c r="I341" t="str">
        <f t="shared" si="39"/>
        <v>Morihana</v>
      </c>
      <c r="J341" t="str">
        <f t="shared" si="40"/>
        <v>Nonnative</v>
      </c>
      <c r="K341" t="str">
        <f t="shared" si="41"/>
        <v>No</v>
      </c>
      <c r="L341">
        <v>1</v>
      </c>
      <c r="N341">
        <v>95</v>
      </c>
      <c r="O341">
        <v>21</v>
      </c>
      <c r="T341" t="str">
        <f t="shared" si="35"/>
        <v/>
      </c>
    </row>
    <row r="342" spans="1:20" x14ac:dyDescent="0.55000000000000004">
      <c r="A342">
        <v>21</v>
      </c>
      <c r="B342" s="15" t="str">
        <f t="shared" si="36"/>
        <v>21_0</v>
      </c>
      <c r="C342" s="20">
        <v>45695.618055497682</v>
      </c>
      <c r="D342" t="s">
        <v>175</v>
      </c>
      <c r="E342">
        <v>2</v>
      </c>
      <c r="F342" t="s">
        <v>124</v>
      </c>
      <c r="G342" t="str">
        <f t="shared" si="37"/>
        <v>Carassius auratus</v>
      </c>
      <c r="H342" t="str">
        <f t="shared" si="38"/>
        <v>Goldfish</v>
      </c>
      <c r="I342" t="str">
        <f t="shared" si="39"/>
        <v>Morihana</v>
      </c>
      <c r="J342" t="str">
        <f t="shared" si="40"/>
        <v>Nonnative</v>
      </c>
      <c r="K342" t="str">
        <f t="shared" si="41"/>
        <v>No</v>
      </c>
      <c r="L342">
        <v>1</v>
      </c>
      <c r="N342">
        <v>95</v>
      </c>
      <c r="O342">
        <v>21</v>
      </c>
      <c r="T342" t="str">
        <f t="shared" si="35"/>
        <v/>
      </c>
    </row>
    <row r="343" spans="1:20" x14ac:dyDescent="0.55000000000000004">
      <c r="A343">
        <v>21</v>
      </c>
      <c r="B343" s="15" t="str">
        <f t="shared" si="36"/>
        <v>21_0</v>
      </c>
      <c r="C343" s="20">
        <v>45695.618055497682</v>
      </c>
      <c r="D343" t="s">
        <v>175</v>
      </c>
      <c r="E343">
        <v>2</v>
      </c>
      <c r="F343" t="s">
        <v>133</v>
      </c>
      <c r="G343" t="str">
        <f t="shared" si="37"/>
        <v>Retropinna retropinna</v>
      </c>
      <c r="H343" t="str">
        <f t="shared" si="38"/>
        <v>Common_smelt</v>
      </c>
      <c r="I343" t="str">
        <f t="shared" si="39"/>
        <v>Common_smelt</v>
      </c>
      <c r="J343" t="str">
        <f t="shared" si="40"/>
        <v>Native</v>
      </c>
      <c r="K343" t="str">
        <f t="shared" si="41"/>
        <v>No</v>
      </c>
      <c r="L343">
        <v>5</v>
      </c>
      <c r="T343" t="str">
        <f t="shared" si="35"/>
        <v/>
      </c>
    </row>
    <row r="344" spans="1:20" x14ac:dyDescent="0.55000000000000004">
      <c r="A344">
        <v>21</v>
      </c>
      <c r="B344" s="15" t="str">
        <f t="shared" si="36"/>
        <v>21_0</v>
      </c>
      <c r="C344" s="20">
        <v>45695.618055497682</v>
      </c>
      <c r="D344" t="s">
        <v>175</v>
      </c>
      <c r="E344">
        <v>2</v>
      </c>
      <c r="F344" t="s">
        <v>135</v>
      </c>
      <c r="G344" t="str">
        <f t="shared" si="37"/>
        <v>Gobiomorphus cotidianus</v>
      </c>
      <c r="H344" t="str">
        <f t="shared" si="38"/>
        <v>Common_bully</v>
      </c>
      <c r="I344" t="str">
        <f t="shared" si="39"/>
        <v>Toitoi</v>
      </c>
      <c r="J344" t="str">
        <f t="shared" si="40"/>
        <v>Native</v>
      </c>
      <c r="K344" t="str">
        <f t="shared" si="41"/>
        <v>No</v>
      </c>
      <c r="O344">
        <v>617</v>
      </c>
      <c r="S344">
        <v>2.5</v>
      </c>
      <c r="T344">
        <f t="shared" si="35"/>
        <v>591.47</v>
      </c>
    </row>
    <row r="345" spans="1:20" x14ac:dyDescent="0.55000000000000004">
      <c r="A345">
        <v>21</v>
      </c>
      <c r="B345" s="15" t="str">
        <f t="shared" si="36"/>
        <v>21_0</v>
      </c>
      <c r="C345" s="20">
        <v>45695.618055497682</v>
      </c>
      <c r="D345" t="s">
        <v>175</v>
      </c>
      <c r="E345">
        <v>2</v>
      </c>
      <c r="F345" t="s">
        <v>135</v>
      </c>
      <c r="G345" t="str">
        <f t="shared" si="37"/>
        <v>Gobiomorphus cotidianus</v>
      </c>
      <c r="H345" t="str">
        <f t="shared" si="38"/>
        <v>Common_bully</v>
      </c>
      <c r="I345" t="str">
        <f t="shared" si="39"/>
        <v>Toitoi</v>
      </c>
      <c r="J345" t="str">
        <f t="shared" si="40"/>
        <v>Native</v>
      </c>
      <c r="K345" t="str">
        <f t="shared" si="41"/>
        <v>No</v>
      </c>
      <c r="O345">
        <v>528</v>
      </c>
      <c r="S345">
        <v>2.5</v>
      </c>
      <c r="T345">
        <f t="shared" si="35"/>
        <v>591.47</v>
      </c>
    </row>
    <row r="346" spans="1:20" x14ac:dyDescent="0.55000000000000004">
      <c r="A346">
        <v>21</v>
      </c>
      <c r="B346" s="15" t="str">
        <f t="shared" si="36"/>
        <v>21_0</v>
      </c>
      <c r="C346" s="20">
        <v>45695.618055497682</v>
      </c>
      <c r="D346" t="s">
        <v>175</v>
      </c>
      <c r="E346">
        <v>2</v>
      </c>
      <c r="F346" t="s">
        <v>135</v>
      </c>
      <c r="G346" t="str">
        <f t="shared" si="37"/>
        <v>Gobiomorphus cotidianus</v>
      </c>
      <c r="H346" t="str">
        <f t="shared" si="38"/>
        <v>Common_bully</v>
      </c>
      <c r="I346" t="str">
        <f t="shared" si="39"/>
        <v>Toitoi</v>
      </c>
      <c r="J346" t="str">
        <f t="shared" si="40"/>
        <v>Native</v>
      </c>
      <c r="K346" t="str">
        <f t="shared" si="41"/>
        <v>No</v>
      </c>
      <c r="O346">
        <v>388</v>
      </c>
      <c r="S346">
        <v>2</v>
      </c>
      <c r="T346">
        <f t="shared" si="35"/>
        <v>473.17599999999999</v>
      </c>
    </row>
    <row r="347" spans="1:20" x14ac:dyDescent="0.55000000000000004">
      <c r="A347">
        <v>21</v>
      </c>
      <c r="B347" s="15" t="str">
        <f t="shared" si="36"/>
        <v>21_0</v>
      </c>
      <c r="C347" s="20">
        <v>45695.618055497682</v>
      </c>
      <c r="D347" t="s">
        <v>175</v>
      </c>
      <c r="E347">
        <v>2</v>
      </c>
      <c r="F347" t="s">
        <v>115</v>
      </c>
      <c r="G347" t="str">
        <f t="shared" si="37"/>
        <v>Paranephrops planifrons</v>
      </c>
      <c r="H347" t="str">
        <f t="shared" si="38"/>
        <v>Freshwater_crayfish</v>
      </c>
      <c r="I347" t="str">
        <f t="shared" si="39"/>
        <v>Kōura</v>
      </c>
      <c r="J347" t="str">
        <f t="shared" si="40"/>
        <v>Native</v>
      </c>
      <c r="K347" t="str">
        <f t="shared" si="41"/>
        <v>Yes</v>
      </c>
      <c r="L347">
        <v>1</v>
      </c>
      <c r="M347" t="s">
        <v>176</v>
      </c>
      <c r="N347">
        <v>34.340000000000003</v>
      </c>
      <c r="O347">
        <v>29</v>
      </c>
      <c r="T347" t="str">
        <f t="shared" si="35"/>
        <v/>
      </c>
    </row>
    <row r="348" spans="1:20" x14ac:dyDescent="0.55000000000000004">
      <c r="A348">
        <v>21</v>
      </c>
      <c r="B348" s="15" t="str">
        <f t="shared" si="36"/>
        <v>21_0</v>
      </c>
      <c r="C348" s="20">
        <v>45695.618055497682</v>
      </c>
      <c r="D348" t="s">
        <v>175</v>
      </c>
      <c r="E348">
        <v>2</v>
      </c>
      <c r="F348" t="s">
        <v>115</v>
      </c>
      <c r="G348" t="str">
        <f t="shared" si="37"/>
        <v>Paranephrops planifrons</v>
      </c>
      <c r="H348" t="str">
        <f t="shared" si="38"/>
        <v>Freshwater_crayfish</v>
      </c>
      <c r="I348" t="str">
        <f t="shared" si="39"/>
        <v>Kōura</v>
      </c>
      <c r="J348" t="str">
        <f t="shared" si="40"/>
        <v>Native</v>
      </c>
      <c r="K348" t="str">
        <f t="shared" si="41"/>
        <v>Yes</v>
      </c>
      <c r="L348">
        <v>1</v>
      </c>
      <c r="M348" t="s">
        <v>177</v>
      </c>
      <c r="N348">
        <v>31.9</v>
      </c>
      <c r="O348">
        <v>29</v>
      </c>
      <c r="T348" t="str">
        <f t="shared" si="35"/>
        <v/>
      </c>
    </row>
    <row r="349" spans="1:20" x14ac:dyDescent="0.55000000000000004">
      <c r="A349">
        <v>21</v>
      </c>
      <c r="B349" s="15" t="str">
        <f t="shared" si="36"/>
        <v>21_0</v>
      </c>
      <c r="C349" s="20">
        <v>45695.618055497682</v>
      </c>
      <c r="D349" t="s">
        <v>175</v>
      </c>
      <c r="E349">
        <v>2</v>
      </c>
      <c r="F349" t="s">
        <v>115</v>
      </c>
      <c r="G349" t="str">
        <f t="shared" si="37"/>
        <v>Paranephrops planifrons</v>
      </c>
      <c r="H349" t="str">
        <f t="shared" si="38"/>
        <v>Freshwater_crayfish</v>
      </c>
      <c r="I349" t="str">
        <f t="shared" si="39"/>
        <v>Kōura</v>
      </c>
      <c r="J349" t="str">
        <f t="shared" si="40"/>
        <v>Native</v>
      </c>
      <c r="K349" t="str">
        <f t="shared" si="41"/>
        <v>Yes</v>
      </c>
      <c r="L349">
        <v>1</v>
      </c>
      <c r="M349" t="s">
        <v>176</v>
      </c>
      <c r="N349">
        <v>35.65</v>
      </c>
      <c r="O349">
        <v>30</v>
      </c>
      <c r="T349" t="str">
        <f t="shared" si="35"/>
        <v/>
      </c>
    </row>
    <row r="350" spans="1:20" x14ac:dyDescent="0.55000000000000004">
      <c r="A350">
        <v>21</v>
      </c>
      <c r="B350" s="15" t="str">
        <f t="shared" si="36"/>
        <v>21_0</v>
      </c>
      <c r="C350" s="20">
        <v>45695.618055497682</v>
      </c>
      <c r="D350" t="s">
        <v>175</v>
      </c>
      <c r="E350">
        <v>2</v>
      </c>
      <c r="F350" t="s">
        <v>115</v>
      </c>
      <c r="G350" t="str">
        <f t="shared" si="37"/>
        <v>Paranephrops planifrons</v>
      </c>
      <c r="H350" t="str">
        <f t="shared" si="38"/>
        <v>Freshwater_crayfish</v>
      </c>
      <c r="I350" t="str">
        <f t="shared" si="39"/>
        <v>Kōura</v>
      </c>
      <c r="J350" t="str">
        <f t="shared" si="40"/>
        <v>Native</v>
      </c>
      <c r="K350" t="str">
        <f t="shared" si="41"/>
        <v>Yes</v>
      </c>
      <c r="L350">
        <v>1</v>
      </c>
      <c r="M350" t="s">
        <v>176</v>
      </c>
      <c r="N350">
        <v>28.5</v>
      </c>
      <c r="O350">
        <v>16</v>
      </c>
      <c r="T350" t="str">
        <f t="shared" si="35"/>
        <v/>
      </c>
    </row>
    <row r="351" spans="1:20" x14ac:dyDescent="0.55000000000000004">
      <c r="A351">
        <v>21</v>
      </c>
      <c r="B351" s="15" t="str">
        <f t="shared" si="36"/>
        <v>21_0</v>
      </c>
      <c r="C351" s="20">
        <v>45695.618055497682</v>
      </c>
      <c r="D351" t="s">
        <v>175</v>
      </c>
      <c r="E351">
        <v>2</v>
      </c>
      <c r="F351" t="s">
        <v>115</v>
      </c>
      <c r="G351" t="str">
        <f t="shared" si="37"/>
        <v>Paranephrops planifrons</v>
      </c>
      <c r="H351" t="str">
        <f t="shared" si="38"/>
        <v>Freshwater_crayfish</v>
      </c>
      <c r="I351" t="str">
        <f t="shared" si="39"/>
        <v>Kōura</v>
      </c>
      <c r="J351" t="str">
        <f t="shared" si="40"/>
        <v>Native</v>
      </c>
      <c r="K351" t="str">
        <f t="shared" si="41"/>
        <v>Yes</v>
      </c>
      <c r="L351">
        <v>1</v>
      </c>
      <c r="M351" t="s">
        <v>176</v>
      </c>
      <c r="N351">
        <v>28.36</v>
      </c>
      <c r="O351">
        <v>18</v>
      </c>
      <c r="T351" t="str">
        <f t="shared" si="35"/>
        <v/>
      </c>
    </row>
    <row r="352" spans="1:20" x14ac:dyDescent="0.55000000000000004">
      <c r="A352">
        <v>21</v>
      </c>
      <c r="B352" s="15" t="str">
        <f t="shared" si="36"/>
        <v>21_0</v>
      </c>
      <c r="C352" s="20">
        <v>45695.618055497682</v>
      </c>
      <c r="D352" t="s">
        <v>175</v>
      </c>
      <c r="E352">
        <v>2</v>
      </c>
      <c r="F352" t="s">
        <v>115</v>
      </c>
      <c r="G352" t="str">
        <f t="shared" si="37"/>
        <v>Paranephrops planifrons</v>
      </c>
      <c r="H352" t="str">
        <f t="shared" si="38"/>
        <v>Freshwater_crayfish</v>
      </c>
      <c r="I352" t="str">
        <f t="shared" si="39"/>
        <v>Kōura</v>
      </c>
      <c r="J352" t="str">
        <f t="shared" si="40"/>
        <v>Native</v>
      </c>
      <c r="K352" t="str">
        <f t="shared" si="41"/>
        <v>Yes</v>
      </c>
      <c r="L352">
        <v>1</v>
      </c>
      <c r="M352" t="s">
        <v>176</v>
      </c>
      <c r="N352">
        <v>22.31</v>
      </c>
      <c r="O352">
        <v>7</v>
      </c>
      <c r="T352" t="str">
        <f t="shared" si="35"/>
        <v/>
      </c>
    </row>
    <row r="353" spans="1:20" x14ac:dyDescent="0.55000000000000004">
      <c r="A353">
        <v>21</v>
      </c>
      <c r="B353" s="15" t="str">
        <f t="shared" si="36"/>
        <v>21_0</v>
      </c>
      <c r="C353" s="20">
        <v>45695.618055497682</v>
      </c>
      <c r="D353" t="s">
        <v>175</v>
      </c>
      <c r="E353">
        <v>2</v>
      </c>
      <c r="F353" t="s">
        <v>115</v>
      </c>
      <c r="G353" t="str">
        <f t="shared" si="37"/>
        <v>Paranephrops planifrons</v>
      </c>
      <c r="H353" t="str">
        <f t="shared" si="38"/>
        <v>Freshwater_crayfish</v>
      </c>
      <c r="I353" t="str">
        <f t="shared" si="39"/>
        <v>Kōura</v>
      </c>
      <c r="J353" t="str">
        <f t="shared" si="40"/>
        <v>Native</v>
      </c>
      <c r="K353" t="str">
        <f t="shared" si="41"/>
        <v>Yes</v>
      </c>
      <c r="L353">
        <v>1</v>
      </c>
      <c r="M353" t="s">
        <v>176</v>
      </c>
      <c r="N353">
        <v>16.510000000000002</v>
      </c>
      <c r="O353">
        <v>3</v>
      </c>
      <c r="T353" t="str">
        <f t="shared" si="35"/>
        <v/>
      </c>
    </row>
    <row r="354" spans="1:20" x14ac:dyDescent="0.55000000000000004">
      <c r="A354">
        <v>21</v>
      </c>
      <c r="B354" s="15" t="str">
        <f t="shared" si="36"/>
        <v>21_0</v>
      </c>
      <c r="C354" s="20">
        <v>45695.618055497682</v>
      </c>
      <c r="D354" t="s">
        <v>175</v>
      </c>
      <c r="E354">
        <v>2</v>
      </c>
      <c r="F354" t="s">
        <v>115</v>
      </c>
      <c r="G354" t="str">
        <f t="shared" si="37"/>
        <v>Paranephrops planifrons</v>
      </c>
      <c r="H354" t="str">
        <f t="shared" si="38"/>
        <v>Freshwater_crayfish</v>
      </c>
      <c r="I354" t="str">
        <f t="shared" si="39"/>
        <v>Kōura</v>
      </c>
      <c r="J354" t="str">
        <f t="shared" si="40"/>
        <v>Native</v>
      </c>
      <c r="K354" t="str">
        <f t="shared" si="41"/>
        <v>Yes</v>
      </c>
      <c r="L354">
        <v>1</v>
      </c>
      <c r="M354" t="s">
        <v>177</v>
      </c>
      <c r="N354">
        <v>13.95</v>
      </c>
      <c r="O354">
        <v>1</v>
      </c>
      <c r="T354" t="str">
        <f t="shared" si="35"/>
        <v/>
      </c>
    </row>
    <row r="355" spans="1:20" x14ac:dyDescent="0.55000000000000004">
      <c r="A355">
        <v>22</v>
      </c>
      <c r="B355" s="15" t="str">
        <f t="shared" si="36"/>
        <v>22_0</v>
      </c>
      <c r="C355" s="20">
        <v>45695.638888888891</v>
      </c>
      <c r="D355" t="s">
        <v>174</v>
      </c>
      <c r="E355">
        <v>2</v>
      </c>
      <c r="F355" t="s">
        <v>115</v>
      </c>
      <c r="G355" t="str">
        <f t="shared" si="37"/>
        <v>Paranephrops planifrons</v>
      </c>
      <c r="H355" t="str">
        <f t="shared" si="38"/>
        <v>Freshwater_crayfish</v>
      </c>
      <c r="I355" t="str">
        <f t="shared" si="39"/>
        <v>Kōura</v>
      </c>
      <c r="J355" t="str">
        <f t="shared" si="40"/>
        <v>Native</v>
      </c>
      <c r="K355" t="str">
        <f t="shared" si="41"/>
        <v>Yes</v>
      </c>
      <c r="L355">
        <v>1</v>
      </c>
      <c r="M355" t="s">
        <v>177</v>
      </c>
      <c r="N355">
        <v>32.729999999999997</v>
      </c>
      <c r="O355">
        <v>26</v>
      </c>
      <c r="P355">
        <v>1</v>
      </c>
      <c r="T355" t="str">
        <f t="shared" si="35"/>
        <v/>
      </c>
    </row>
    <row r="356" spans="1:20" x14ac:dyDescent="0.55000000000000004">
      <c r="A356">
        <v>22</v>
      </c>
      <c r="B356" s="15" t="str">
        <f t="shared" si="36"/>
        <v>22_0</v>
      </c>
      <c r="C356" s="20">
        <v>45695.638888888891</v>
      </c>
      <c r="D356" t="s">
        <v>174</v>
      </c>
      <c r="E356">
        <v>2</v>
      </c>
      <c r="F356" t="s">
        <v>115</v>
      </c>
      <c r="G356" t="str">
        <f t="shared" si="37"/>
        <v>Paranephrops planifrons</v>
      </c>
      <c r="H356" t="str">
        <f t="shared" si="38"/>
        <v>Freshwater_crayfish</v>
      </c>
      <c r="I356" t="str">
        <f t="shared" si="39"/>
        <v>Kōura</v>
      </c>
      <c r="J356" t="str">
        <f t="shared" si="40"/>
        <v>Native</v>
      </c>
      <c r="K356" t="str">
        <f t="shared" si="41"/>
        <v>Yes</v>
      </c>
      <c r="L356">
        <v>1</v>
      </c>
      <c r="M356" t="s">
        <v>176</v>
      </c>
      <c r="N356">
        <v>34.14</v>
      </c>
      <c r="O356">
        <v>23</v>
      </c>
      <c r="P356">
        <v>1</v>
      </c>
      <c r="T356" t="str">
        <f t="shared" si="35"/>
        <v/>
      </c>
    </row>
    <row r="357" spans="1:20" x14ac:dyDescent="0.55000000000000004">
      <c r="A357">
        <v>22</v>
      </c>
      <c r="B357" s="15" t="str">
        <f t="shared" si="36"/>
        <v>22_0</v>
      </c>
      <c r="C357" s="20">
        <v>45695.638888888891</v>
      </c>
      <c r="D357" t="s">
        <v>174</v>
      </c>
      <c r="E357">
        <v>2</v>
      </c>
      <c r="F357" t="s">
        <v>115</v>
      </c>
      <c r="G357" t="str">
        <f t="shared" si="37"/>
        <v>Paranephrops planifrons</v>
      </c>
      <c r="H357" t="str">
        <f t="shared" si="38"/>
        <v>Freshwater_crayfish</v>
      </c>
      <c r="I357" t="str">
        <f t="shared" si="39"/>
        <v>Kōura</v>
      </c>
      <c r="J357" t="str">
        <f t="shared" si="40"/>
        <v>Native</v>
      </c>
      <c r="K357" t="str">
        <f t="shared" si="41"/>
        <v>Yes</v>
      </c>
      <c r="L357">
        <v>1</v>
      </c>
      <c r="M357" t="s">
        <v>176</v>
      </c>
      <c r="N357">
        <v>35.130000000000003</v>
      </c>
      <c r="O357">
        <v>30</v>
      </c>
      <c r="T357" t="str">
        <f t="shared" si="35"/>
        <v/>
      </c>
    </row>
    <row r="358" spans="1:20" x14ac:dyDescent="0.55000000000000004">
      <c r="A358">
        <v>22</v>
      </c>
      <c r="B358" s="15" t="str">
        <f t="shared" si="36"/>
        <v>22_0</v>
      </c>
      <c r="C358" s="20">
        <v>45695.638888888891</v>
      </c>
      <c r="D358" t="s">
        <v>174</v>
      </c>
      <c r="E358">
        <v>2</v>
      </c>
      <c r="F358" t="s">
        <v>115</v>
      </c>
      <c r="G358" t="str">
        <f t="shared" si="37"/>
        <v>Paranephrops planifrons</v>
      </c>
      <c r="H358" t="str">
        <f t="shared" si="38"/>
        <v>Freshwater_crayfish</v>
      </c>
      <c r="I358" t="str">
        <f t="shared" si="39"/>
        <v>Kōura</v>
      </c>
      <c r="J358" t="str">
        <f t="shared" si="40"/>
        <v>Native</v>
      </c>
      <c r="K358" t="str">
        <f t="shared" si="41"/>
        <v>Yes</v>
      </c>
      <c r="L358">
        <v>1</v>
      </c>
      <c r="M358" t="s">
        <v>176</v>
      </c>
      <c r="N358">
        <v>30.15</v>
      </c>
      <c r="O358">
        <v>17</v>
      </c>
      <c r="T358" t="str">
        <f t="shared" si="35"/>
        <v/>
      </c>
    </row>
    <row r="359" spans="1:20" x14ac:dyDescent="0.55000000000000004">
      <c r="A359">
        <v>22</v>
      </c>
      <c r="B359" s="15" t="str">
        <f t="shared" si="36"/>
        <v>22_0</v>
      </c>
      <c r="C359" s="20">
        <v>45695.638888888891</v>
      </c>
      <c r="D359" t="s">
        <v>174</v>
      </c>
      <c r="E359">
        <v>2</v>
      </c>
      <c r="F359" t="s">
        <v>135</v>
      </c>
      <c r="G359" t="str">
        <f t="shared" si="37"/>
        <v>Gobiomorphus cotidianus</v>
      </c>
      <c r="H359" t="str">
        <f t="shared" si="38"/>
        <v>Common_bully</v>
      </c>
      <c r="I359" t="str">
        <f t="shared" si="39"/>
        <v>Toitoi</v>
      </c>
      <c r="J359" t="str">
        <f t="shared" si="40"/>
        <v>Native</v>
      </c>
      <c r="K359" t="str">
        <f t="shared" si="41"/>
        <v>No</v>
      </c>
      <c r="L359">
        <v>15</v>
      </c>
      <c r="O359">
        <v>15</v>
      </c>
      <c r="T359" t="str">
        <f t="shared" si="35"/>
        <v/>
      </c>
    </row>
    <row r="360" spans="1:20" x14ac:dyDescent="0.55000000000000004">
      <c r="A360">
        <v>22</v>
      </c>
      <c r="B360" s="15" t="str">
        <f t="shared" si="36"/>
        <v>22_0</v>
      </c>
      <c r="C360" s="20">
        <v>45695.638888888891</v>
      </c>
      <c r="D360" t="s">
        <v>175</v>
      </c>
      <c r="E360">
        <v>2</v>
      </c>
      <c r="F360" t="s">
        <v>135</v>
      </c>
      <c r="G360" t="str">
        <f t="shared" si="37"/>
        <v>Gobiomorphus cotidianus</v>
      </c>
      <c r="H360" t="str">
        <f t="shared" si="38"/>
        <v>Common_bully</v>
      </c>
      <c r="I360" t="str">
        <f t="shared" si="39"/>
        <v>Toitoi</v>
      </c>
      <c r="J360" t="str">
        <f t="shared" si="40"/>
        <v>Native</v>
      </c>
      <c r="K360" t="str">
        <f t="shared" si="41"/>
        <v>No</v>
      </c>
      <c r="O360">
        <v>539</v>
      </c>
      <c r="S360">
        <v>2.5</v>
      </c>
      <c r="T360">
        <f t="shared" si="35"/>
        <v>591.47</v>
      </c>
    </row>
    <row r="361" spans="1:20" x14ac:dyDescent="0.55000000000000004">
      <c r="A361">
        <v>22</v>
      </c>
      <c r="B361" s="15" t="str">
        <f t="shared" si="36"/>
        <v>22_0</v>
      </c>
      <c r="C361" s="20">
        <v>45695.638888888891</v>
      </c>
      <c r="D361" t="s">
        <v>175</v>
      </c>
      <c r="E361">
        <v>2</v>
      </c>
      <c r="F361" t="s">
        <v>133</v>
      </c>
      <c r="G361" t="str">
        <f t="shared" si="37"/>
        <v>Retropinna retropinna</v>
      </c>
      <c r="H361" t="str">
        <f t="shared" si="38"/>
        <v>Common_smelt</v>
      </c>
      <c r="I361" t="str">
        <f t="shared" si="39"/>
        <v>Common_smelt</v>
      </c>
      <c r="J361" t="str">
        <f t="shared" si="40"/>
        <v>Native</v>
      </c>
      <c r="K361" t="str">
        <f t="shared" si="41"/>
        <v>No</v>
      </c>
      <c r="L361">
        <v>20</v>
      </c>
      <c r="T361" t="str">
        <f t="shared" si="35"/>
        <v/>
      </c>
    </row>
    <row r="362" spans="1:20" x14ac:dyDescent="0.55000000000000004">
      <c r="A362">
        <v>22</v>
      </c>
      <c r="B362" s="15" t="str">
        <f t="shared" si="36"/>
        <v>22_0</v>
      </c>
      <c r="C362" s="20">
        <v>45695.638888888891</v>
      </c>
      <c r="D362" t="s">
        <v>175</v>
      </c>
      <c r="E362">
        <v>2</v>
      </c>
      <c r="F362" t="s">
        <v>135</v>
      </c>
      <c r="G362" t="str">
        <f t="shared" si="37"/>
        <v>Gobiomorphus cotidianus</v>
      </c>
      <c r="H362" t="str">
        <f t="shared" si="38"/>
        <v>Common_bully</v>
      </c>
      <c r="I362" t="str">
        <f t="shared" si="39"/>
        <v>Toitoi</v>
      </c>
      <c r="J362" t="str">
        <f t="shared" si="40"/>
        <v>Native</v>
      </c>
      <c r="K362" t="str">
        <f t="shared" si="41"/>
        <v>No</v>
      </c>
      <c r="O362">
        <v>571</v>
      </c>
      <c r="S362">
        <v>2.5</v>
      </c>
      <c r="T362">
        <f t="shared" si="35"/>
        <v>591.47</v>
      </c>
    </row>
    <row r="363" spans="1:20" x14ac:dyDescent="0.55000000000000004">
      <c r="A363">
        <v>22</v>
      </c>
      <c r="B363" s="15" t="str">
        <f t="shared" si="36"/>
        <v>22_0</v>
      </c>
      <c r="C363" s="20">
        <v>45695.638888888891</v>
      </c>
      <c r="D363" t="s">
        <v>175</v>
      </c>
      <c r="E363">
        <v>2</v>
      </c>
      <c r="F363" t="s">
        <v>135</v>
      </c>
      <c r="G363" t="str">
        <f t="shared" si="37"/>
        <v>Gobiomorphus cotidianus</v>
      </c>
      <c r="H363" t="str">
        <f t="shared" si="38"/>
        <v>Common_bully</v>
      </c>
      <c r="I363" t="str">
        <f t="shared" si="39"/>
        <v>Toitoi</v>
      </c>
      <c r="J363" t="str">
        <f t="shared" si="40"/>
        <v>Native</v>
      </c>
      <c r="K363" t="str">
        <f t="shared" si="41"/>
        <v>No</v>
      </c>
      <c r="O363">
        <v>587</v>
      </c>
      <c r="S363">
        <v>2.5</v>
      </c>
      <c r="T363">
        <f t="shared" si="35"/>
        <v>591.47</v>
      </c>
    </row>
    <row r="364" spans="1:20" x14ac:dyDescent="0.55000000000000004">
      <c r="A364">
        <v>22</v>
      </c>
      <c r="B364" s="15" t="str">
        <f t="shared" si="36"/>
        <v>22_0</v>
      </c>
      <c r="C364" s="20">
        <v>45695.638888888891</v>
      </c>
      <c r="D364" t="s">
        <v>175</v>
      </c>
      <c r="E364">
        <v>2</v>
      </c>
      <c r="F364" t="s">
        <v>135</v>
      </c>
      <c r="G364" t="str">
        <f t="shared" si="37"/>
        <v>Gobiomorphus cotidianus</v>
      </c>
      <c r="H364" t="str">
        <f t="shared" si="38"/>
        <v>Common_bully</v>
      </c>
      <c r="I364" t="str">
        <f t="shared" si="39"/>
        <v>Toitoi</v>
      </c>
      <c r="J364" t="str">
        <f t="shared" si="40"/>
        <v>Native</v>
      </c>
      <c r="K364" t="str">
        <f t="shared" si="41"/>
        <v>No</v>
      </c>
      <c r="O364">
        <v>546</v>
      </c>
      <c r="S364">
        <v>2.5</v>
      </c>
      <c r="T364">
        <f t="shared" si="35"/>
        <v>591.47</v>
      </c>
    </row>
    <row r="365" spans="1:20" x14ac:dyDescent="0.55000000000000004">
      <c r="A365">
        <v>22</v>
      </c>
      <c r="B365" s="15" t="str">
        <f t="shared" si="36"/>
        <v>22_0</v>
      </c>
      <c r="C365" s="20">
        <v>45695.638888888891</v>
      </c>
      <c r="D365" t="s">
        <v>175</v>
      </c>
      <c r="E365">
        <v>2</v>
      </c>
      <c r="F365" t="s">
        <v>135</v>
      </c>
      <c r="G365" t="str">
        <f t="shared" si="37"/>
        <v>Gobiomorphus cotidianus</v>
      </c>
      <c r="H365" t="str">
        <f t="shared" si="38"/>
        <v>Common_bully</v>
      </c>
      <c r="I365" t="str">
        <f t="shared" si="39"/>
        <v>Toitoi</v>
      </c>
      <c r="J365" t="str">
        <f t="shared" si="40"/>
        <v>Native</v>
      </c>
      <c r="K365" t="str">
        <f t="shared" si="41"/>
        <v>No</v>
      </c>
      <c r="O365">
        <v>218</v>
      </c>
      <c r="S365">
        <v>1</v>
      </c>
      <c r="T365">
        <f t="shared" si="35"/>
        <v>236.58799999999999</v>
      </c>
    </row>
    <row r="366" spans="1:20" x14ac:dyDescent="0.55000000000000004">
      <c r="A366">
        <v>22</v>
      </c>
      <c r="B366" s="15" t="str">
        <f t="shared" si="36"/>
        <v>22_0</v>
      </c>
      <c r="C366" s="20">
        <v>45695.638888888891</v>
      </c>
      <c r="D366" t="s">
        <v>175</v>
      </c>
      <c r="E366">
        <v>2</v>
      </c>
      <c r="F366" t="s">
        <v>124</v>
      </c>
      <c r="G366" t="str">
        <f t="shared" si="37"/>
        <v>Carassius auratus</v>
      </c>
      <c r="H366" t="str">
        <f t="shared" si="38"/>
        <v>Goldfish</v>
      </c>
      <c r="I366" t="str">
        <f t="shared" si="39"/>
        <v>Morihana</v>
      </c>
      <c r="J366" t="str">
        <f t="shared" si="40"/>
        <v>Nonnative</v>
      </c>
      <c r="K366" t="str">
        <f t="shared" si="41"/>
        <v>No</v>
      </c>
      <c r="L366">
        <v>1</v>
      </c>
      <c r="N366">
        <v>113</v>
      </c>
      <c r="O366">
        <v>36</v>
      </c>
      <c r="T366" t="str">
        <f t="shared" si="35"/>
        <v/>
      </c>
    </row>
    <row r="367" spans="1:20" x14ac:dyDescent="0.55000000000000004">
      <c r="A367">
        <v>22</v>
      </c>
      <c r="B367" s="15" t="str">
        <f t="shared" si="36"/>
        <v>22_0</v>
      </c>
      <c r="C367" s="20">
        <v>45695.638888888891</v>
      </c>
      <c r="D367" t="s">
        <v>175</v>
      </c>
      <c r="E367">
        <v>2</v>
      </c>
      <c r="F367" t="s">
        <v>127</v>
      </c>
      <c r="G367" t="str">
        <f t="shared" si="37"/>
        <v>Galaxias brevipinnis</v>
      </c>
      <c r="H367" t="str">
        <f t="shared" si="38"/>
        <v>Climbing_galaxias</v>
      </c>
      <c r="I367" t="str">
        <f t="shared" si="39"/>
        <v>Kōaro</v>
      </c>
      <c r="J367" t="str">
        <f t="shared" si="40"/>
        <v>Native</v>
      </c>
      <c r="K367" t="str">
        <f t="shared" si="41"/>
        <v>Yes</v>
      </c>
      <c r="L367">
        <v>1</v>
      </c>
      <c r="N367">
        <v>95</v>
      </c>
      <c r="O367">
        <v>6</v>
      </c>
      <c r="T367" t="str">
        <f t="shared" si="35"/>
        <v/>
      </c>
    </row>
    <row r="368" spans="1:20" x14ac:dyDescent="0.55000000000000004">
      <c r="A368">
        <v>22</v>
      </c>
      <c r="B368" s="15" t="str">
        <f t="shared" si="36"/>
        <v>22_0</v>
      </c>
      <c r="C368" s="20">
        <v>45695.638888888891</v>
      </c>
      <c r="D368" t="s">
        <v>175</v>
      </c>
      <c r="E368">
        <v>2</v>
      </c>
      <c r="F368" t="s">
        <v>124</v>
      </c>
      <c r="G368" t="str">
        <f t="shared" si="37"/>
        <v>Carassius auratus</v>
      </c>
      <c r="H368" t="str">
        <f t="shared" si="38"/>
        <v>Goldfish</v>
      </c>
      <c r="I368" t="str">
        <f t="shared" si="39"/>
        <v>Morihana</v>
      </c>
      <c r="J368" t="str">
        <f t="shared" si="40"/>
        <v>Nonnative</v>
      </c>
      <c r="K368" t="str">
        <f t="shared" si="41"/>
        <v>No</v>
      </c>
      <c r="L368">
        <v>1</v>
      </c>
      <c r="N368">
        <v>110</v>
      </c>
      <c r="O368">
        <v>40</v>
      </c>
      <c r="T368" t="str">
        <f t="shared" si="35"/>
        <v/>
      </c>
    </row>
    <row r="369" spans="1:20" x14ac:dyDescent="0.55000000000000004">
      <c r="A369">
        <v>22</v>
      </c>
      <c r="B369" s="15" t="str">
        <f t="shared" si="36"/>
        <v>22_0</v>
      </c>
      <c r="C369" s="20">
        <v>45695.638888888891</v>
      </c>
      <c r="D369" t="s">
        <v>175</v>
      </c>
      <c r="E369">
        <v>2</v>
      </c>
      <c r="F369" t="s">
        <v>115</v>
      </c>
      <c r="G369" t="str">
        <f t="shared" si="37"/>
        <v>Paranephrops planifrons</v>
      </c>
      <c r="H369" t="str">
        <f t="shared" si="38"/>
        <v>Freshwater_crayfish</v>
      </c>
      <c r="I369" t="str">
        <f t="shared" si="39"/>
        <v>Kōura</v>
      </c>
      <c r="J369" t="str">
        <f t="shared" si="40"/>
        <v>Native</v>
      </c>
      <c r="K369" t="str">
        <f t="shared" si="41"/>
        <v>Yes</v>
      </c>
      <c r="L369">
        <v>1</v>
      </c>
      <c r="M369" t="s">
        <v>177</v>
      </c>
      <c r="N369">
        <v>33.229999999999997</v>
      </c>
      <c r="O369">
        <v>28</v>
      </c>
      <c r="T369" t="str">
        <f t="shared" si="35"/>
        <v/>
      </c>
    </row>
    <row r="370" spans="1:20" x14ac:dyDescent="0.55000000000000004">
      <c r="A370">
        <v>22</v>
      </c>
      <c r="B370" s="15" t="str">
        <f t="shared" si="36"/>
        <v>22_0</v>
      </c>
      <c r="C370" s="20">
        <v>45695.638888888891</v>
      </c>
      <c r="D370" t="s">
        <v>175</v>
      </c>
      <c r="E370">
        <v>2</v>
      </c>
      <c r="F370" t="s">
        <v>115</v>
      </c>
      <c r="G370" t="str">
        <f t="shared" si="37"/>
        <v>Paranephrops planifrons</v>
      </c>
      <c r="H370" t="str">
        <f t="shared" si="38"/>
        <v>Freshwater_crayfish</v>
      </c>
      <c r="I370" t="str">
        <f t="shared" si="39"/>
        <v>Kōura</v>
      </c>
      <c r="J370" t="str">
        <f t="shared" si="40"/>
        <v>Native</v>
      </c>
      <c r="K370" t="str">
        <f t="shared" si="41"/>
        <v>Yes</v>
      </c>
      <c r="L370">
        <v>1</v>
      </c>
      <c r="M370" t="s">
        <v>176</v>
      </c>
      <c r="N370">
        <v>40.79</v>
      </c>
      <c r="O370">
        <v>40</v>
      </c>
      <c r="P370">
        <v>1</v>
      </c>
      <c r="T370" t="str">
        <f t="shared" si="35"/>
        <v/>
      </c>
    </row>
    <row r="371" spans="1:20" x14ac:dyDescent="0.55000000000000004">
      <c r="A371">
        <v>22</v>
      </c>
      <c r="B371" s="15" t="str">
        <f t="shared" si="36"/>
        <v>22_0</v>
      </c>
      <c r="C371" s="20">
        <v>45695.638888888891</v>
      </c>
      <c r="D371" t="s">
        <v>175</v>
      </c>
      <c r="E371">
        <v>2</v>
      </c>
      <c r="F371" t="s">
        <v>115</v>
      </c>
      <c r="G371" t="str">
        <f t="shared" si="37"/>
        <v>Paranephrops planifrons</v>
      </c>
      <c r="H371" t="str">
        <f t="shared" si="38"/>
        <v>Freshwater_crayfish</v>
      </c>
      <c r="I371" t="str">
        <f t="shared" si="39"/>
        <v>Kōura</v>
      </c>
      <c r="J371" t="str">
        <f t="shared" si="40"/>
        <v>Native</v>
      </c>
      <c r="K371" t="str">
        <f t="shared" si="41"/>
        <v>Yes</v>
      </c>
      <c r="L371">
        <v>1</v>
      </c>
      <c r="M371" t="s">
        <v>177</v>
      </c>
      <c r="N371">
        <v>24.49</v>
      </c>
      <c r="O371">
        <v>11</v>
      </c>
      <c r="T371" t="str">
        <f t="shared" si="35"/>
        <v/>
      </c>
    </row>
    <row r="372" spans="1:20" x14ac:dyDescent="0.55000000000000004">
      <c r="A372">
        <v>22</v>
      </c>
      <c r="B372" s="15" t="str">
        <f t="shared" si="36"/>
        <v>22_0</v>
      </c>
      <c r="C372" s="20">
        <v>45695.638888888891</v>
      </c>
      <c r="D372" t="s">
        <v>175</v>
      </c>
      <c r="E372">
        <v>2</v>
      </c>
      <c r="F372" t="s">
        <v>115</v>
      </c>
      <c r="G372" t="str">
        <f t="shared" si="37"/>
        <v>Paranephrops planifrons</v>
      </c>
      <c r="H372" t="str">
        <f t="shared" si="38"/>
        <v>Freshwater_crayfish</v>
      </c>
      <c r="I372" t="str">
        <f t="shared" si="39"/>
        <v>Kōura</v>
      </c>
      <c r="J372" t="str">
        <f t="shared" si="40"/>
        <v>Native</v>
      </c>
      <c r="K372" t="str">
        <f t="shared" si="41"/>
        <v>Yes</v>
      </c>
      <c r="L372">
        <v>1</v>
      </c>
      <c r="M372" t="s">
        <v>177</v>
      </c>
      <c r="N372">
        <v>25.32</v>
      </c>
      <c r="O372">
        <v>13</v>
      </c>
      <c r="T372" t="str">
        <f t="shared" si="35"/>
        <v/>
      </c>
    </row>
    <row r="373" spans="1:20" x14ac:dyDescent="0.55000000000000004">
      <c r="A373">
        <v>22</v>
      </c>
      <c r="B373" s="15" t="str">
        <f t="shared" si="36"/>
        <v>22_0</v>
      </c>
      <c r="C373" s="20">
        <v>45695.638888888891</v>
      </c>
      <c r="D373" t="s">
        <v>175</v>
      </c>
      <c r="E373">
        <v>2</v>
      </c>
      <c r="F373" t="s">
        <v>115</v>
      </c>
      <c r="G373" t="str">
        <f t="shared" si="37"/>
        <v>Paranephrops planifrons</v>
      </c>
      <c r="H373" t="str">
        <f t="shared" si="38"/>
        <v>Freshwater_crayfish</v>
      </c>
      <c r="I373" t="str">
        <f t="shared" si="39"/>
        <v>Kōura</v>
      </c>
      <c r="J373" t="str">
        <f t="shared" si="40"/>
        <v>Native</v>
      </c>
      <c r="K373" t="str">
        <f t="shared" si="41"/>
        <v>Yes</v>
      </c>
      <c r="L373">
        <v>1</v>
      </c>
      <c r="M373" t="s">
        <v>176</v>
      </c>
      <c r="N373">
        <v>28.01</v>
      </c>
      <c r="O373">
        <v>15</v>
      </c>
      <c r="T373" t="str">
        <f t="shared" si="35"/>
        <v/>
      </c>
    </row>
    <row r="374" spans="1:20" x14ac:dyDescent="0.55000000000000004">
      <c r="A374">
        <v>22</v>
      </c>
      <c r="B374" s="15" t="str">
        <f t="shared" si="36"/>
        <v>22_0</v>
      </c>
      <c r="C374" s="20">
        <v>45695.638888888891</v>
      </c>
      <c r="D374" t="s">
        <v>175</v>
      </c>
      <c r="E374">
        <v>2</v>
      </c>
      <c r="F374" t="s">
        <v>115</v>
      </c>
      <c r="G374" t="str">
        <f t="shared" si="37"/>
        <v>Paranephrops planifrons</v>
      </c>
      <c r="H374" t="str">
        <f t="shared" si="38"/>
        <v>Freshwater_crayfish</v>
      </c>
      <c r="I374" t="str">
        <f t="shared" si="39"/>
        <v>Kōura</v>
      </c>
      <c r="J374" t="str">
        <f t="shared" si="40"/>
        <v>Native</v>
      </c>
      <c r="K374" t="str">
        <f t="shared" si="41"/>
        <v>Yes</v>
      </c>
      <c r="L374">
        <v>1</v>
      </c>
      <c r="M374" t="s">
        <v>177</v>
      </c>
      <c r="N374">
        <v>32.659999999999997</v>
      </c>
      <c r="O374">
        <v>23</v>
      </c>
      <c r="T374" t="str">
        <f t="shared" si="35"/>
        <v/>
      </c>
    </row>
    <row r="375" spans="1:20" x14ac:dyDescent="0.55000000000000004">
      <c r="A375">
        <v>22</v>
      </c>
      <c r="B375" s="15" t="str">
        <f t="shared" si="36"/>
        <v>22_0</v>
      </c>
      <c r="C375" s="20">
        <v>45695.638888888891</v>
      </c>
      <c r="D375" t="s">
        <v>175</v>
      </c>
      <c r="E375">
        <v>2</v>
      </c>
      <c r="F375" t="s">
        <v>115</v>
      </c>
      <c r="G375" t="str">
        <f t="shared" si="37"/>
        <v>Paranephrops planifrons</v>
      </c>
      <c r="H375" t="str">
        <f t="shared" si="38"/>
        <v>Freshwater_crayfish</v>
      </c>
      <c r="I375" t="str">
        <f t="shared" si="39"/>
        <v>Kōura</v>
      </c>
      <c r="J375" t="str">
        <f t="shared" si="40"/>
        <v>Native</v>
      </c>
      <c r="K375" t="str">
        <f t="shared" si="41"/>
        <v>Yes</v>
      </c>
      <c r="L375">
        <v>1</v>
      </c>
      <c r="M375" t="s">
        <v>176</v>
      </c>
      <c r="N375">
        <v>32.9</v>
      </c>
      <c r="O375">
        <v>24</v>
      </c>
      <c r="T375" t="str">
        <f t="shared" si="35"/>
        <v/>
      </c>
    </row>
    <row r="376" spans="1:20" x14ac:dyDescent="0.55000000000000004">
      <c r="A376">
        <v>22</v>
      </c>
      <c r="B376" s="15" t="str">
        <f t="shared" si="36"/>
        <v>22_0</v>
      </c>
      <c r="C376" s="20">
        <v>45695.638888888891</v>
      </c>
      <c r="D376" t="s">
        <v>175</v>
      </c>
      <c r="E376">
        <v>2</v>
      </c>
      <c r="F376" t="s">
        <v>115</v>
      </c>
      <c r="G376" t="str">
        <f t="shared" si="37"/>
        <v>Paranephrops planifrons</v>
      </c>
      <c r="H376" t="str">
        <f t="shared" si="38"/>
        <v>Freshwater_crayfish</v>
      </c>
      <c r="I376" t="str">
        <f t="shared" si="39"/>
        <v>Kōura</v>
      </c>
      <c r="J376" t="str">
        <f t="shared" si="40"/>
        <v>Native</v>
      </c>
      <c r="K376" t="str">
        <f t="shared" si="41"/>
        <v>Yes</v>
      </c>
      <c r="L376">
        <v>1</v>
      </c>
      <c r="M376" t="s">
        <v>176</v>
      </c>
      <c r="N376">
        <v>26.34</v>
      </c>
      <c r="O376">
        <v>14</v>
      </c>
      <c r="T376" t="str">
        <f t="shared" ref="T376:T439" si="42">IF(S376&lt;&gt;"", S376*236.588, "")</f>
        <v/>
      </c>
    </row>
    <row r="377" spans="1:20" x14ac:dyDescent="0.55000000000000004">
      <c r="A377">
        <v>22</v>
      </c>
      <c r="B377" s="15" t="str">
        <f t="shared" si="36"/>
        <v>22_0</v>
      </c>
      <c r="C377" s="20">
        <v>45695.638888888891</v>
      </c>
      <c r="D377" t="s">
        <v>175</v>
      </c>
      <c r="E377">
        <v>2</v>
      </c>
      <c r="F377" t="s">
        <v>115</v>
      </c>
      <c r="G377" t="str">
        <f t="shared" si="37"/>
        <v>Paranephrops planifrons</v>
      </c>
      <c r="H377" t="str">
        <f t="shared" si="38"/>
        <v>Freshwater_crayfish</v>
      </c>
      <c r="I377" t="str">
        <f t="shared" si="39"/>
        <v>Kōura</v>
      </c>
      <c r="J377" t="str">
        <f t="shared" si="40"/>
        <v>Native</v>
      </c>
      <c r="K377" t="str">
        <f t="shared" si="41"/>
        <v>Yes</v>
      </c>
      <c r="L377">
        <v>1</v>
      </c>
      <c r="M377" t="s">
        <v>177</v>
      </c>
      <c r="N377">
        <v>25</v>
      </c>
      <c r="O377">
        <v>12</v>
      </c>
      <c r="T377" t="str">
        <f t="shared" si="42"/>
        <v/>
      </c>
    </row>
    <row r="378" spans="1:20" x14ac:dyDescent="0.55000000000000004">
      <c r="A378">
        <v>22</v>
      </c>
      <c r="B378" s="15" t="str">
        <f t="shared" si="36"/>
        <v>22_0</v>
      </c>
      <c r="C378" s="20">
        <v>45695.638888888891</v>
      </c>
      <c r="D378" t="s">
        <v>175</v>
      </c>
      <c r="E378">
        <v>2</v>
      </c>
      <c r="F378" t="s">
        <v>115</v>
      </c>
      <c r="G378" t="str">
        <f t="shared" si="37"/>
        <v>Paranephrops planifrons</v>
      </c>
      <c r="H378" t="str">
        <f t="shared" si="38"/>
        <v>Freshwater_crayfish</v>
      </c>
      <c r="I378" t="str">
        <f t="shared" si="39"/>
        <v>Kōura</v>
      </c>
      <c r="J378" t="str">
        <f t="shared" si="40"/>
        <v>Native</v>
      </c>
      <c r="K378" t="str">
        <f t="shared" si="41"/>
        <v>Yes</v>
      </c>
      <c r="L378">
        <v>1</v>
      </c>
      <c r="M378" t="s">
        <v>176</v>
      </c>
      <c r="N378">
        <v>28.18</v>
      </c>
      <c r="O378">
        <v>13</v>
      </c>
      <c r="T378" t="str">
        <f t="shared" si="42"/>
        <v/>
      </c>
    </row>
    <row r="379" spans="1:20" x14ac:dyDescent="0.55000000000000004">
      <c r="A379">
        <v>22</v>
      </c>
      <c r="B379" s="15" t="str">
        <f t="shared" si="36"/>
        <v>22_0</v>
      </c>
      <c r="C379" s="20">
        <v>45695.638888888891</v>
      </c>
      <c r="D379" t="s">
        <v>175</v>
      </c>
      <c r="E379">
        <v>2</v>
      </c>
      <c r="F379" t="s">
        <v>115</v>
      </c>
      <c r="G379" t="str">
        <f t="shared" si="37"/>
        <v>Paranephrops planifrons</v>
      </c>
      <c r="H379" t="str">
        <f t="shared" si="38"/>
        <v>Freshwater_crayfish</v>
      </c>
      <c r="I379" t="str">
        <f t="shared" si="39"/>
        <v>Kōura</v>
      </c>
      <c r="J379" t="str">
        <f t="shared" si="40"/>
        <v>Native</v>
      </c>
      <c r="K379" t="str">
        <f t="shared" si="41"/>
        <v>Yes</v>
      </c>
      <c r="L379">
        <v>1</v>
      </c>
      <c r="M379" t="s">
        <v>176</v>
      </c>
      <c r="N379">
        <v>26.05</v>
      </c>
      <c r="O379">
        <v>12</v>
      </c>
      <c r="T379" t="str">
        <f t="shared" si="42"/>
        <v/>
      </c>
    </row>
    <row r="380" spans="1:20" x14ac:dyDescent="0.55000000000000004">
      <c r="A380">
        <v>22</v>
      </c>
      <c r="B380" s="15" t="str">
        <f t="shared" si="36"/>
        <v>22_0</v>
      </c>
      <c r="C380" s="20">
        <v>45695.638888888891</v>
      </c>
      <c r="D380" t="s">
        <v>175</v>
      </c>
      <c r="E380">
        <v>2</v>
      </c>
      <c r="F380" t="s">
        <v>115</v>
      </c>
      <c r="G380" t="str">
        <f t="shared" si="37"/>
        <v>Paranephrops planifrons</v>
      </c>
      <c r="H380" t="str">
        <f t="shared" si="38"/>
        <v>Freshwater_crayfish</v>
      </c>
      <c r="I380" t="str">
        <f t="shared" si="39"/>
        <v>Kōura</v>
      </c>
      <c r="J380" t="str">
        <f t="shared" si="40"/>
        <v>Native</v>
      </c>
      <c r="K380" t="str">
        <f t="shared" si="41"/>
        <v>Yes</v>
      </c>
      <c r="L380">
        <v>1</v>
      </c>
      <c r="M380" t="s">
        <v>177</v>
      </c>
      <c r="N380">
        <v>27.11</v>
      </c>
      <c r="O380">
        <v>15</v>
      </c>
      <c r="T380" t="str">
        <f t="shared" si="42"/>
        <v/>
      </c>
    </row>
    <row r="381" spans="1:20" x14ac:dyDescent="0.55000000000000004">
      <c r="A381">
        <v>22</v>
      </c>
      <c r="B381" s="15" t="str">
        <f t="shared" si="36"/>
        <v>22_0</v>
      </c>
      <c r="C381" s="20">
        <v>45695.638888888891</v>
      </c>
      <c r="D381" t="s">
        <v>175</v>
      </c>
      <c r="E381">
        <v>2</v>
      </c>
      <c r="F381" t="s">
        <v>115</v>
      </c>
      <c r="G381" t="str">
        <f t="shared" si="37"/>
        <v>Paranephrops planifrons</v>
      </c>
      <c r="H381" t="str">
        <f t="shared" si="38"/>
        <v>Freshwater_crayfish</v>
      </c>
      <c r="I381" t="str">
        <f t="shared" si="39"/>
        <v>Kōura</v>
      </c>
      <c r="J381" t="str">
        <f t="shared" si="40"/>
        <v>Native</v>
      </c>
      <c r="K381" t="str">
        <f t="shared" si="41"/>
        <v>Yes</v>
      </c>
      <c r="L381">
        <v>1</v>
      </c>
      <c r="M381" t="s">
        <v>177</v>
      </c>
      <c r="N381">
        <v>22.08</v>
      </c>
      <c r="O381">
        <v>8</v>
      </c>
      <c r="T381" t="str">
        <f t="shared" si="42"/>
        <v/>
      </c>
    </row>
    <row r="382" spans="1:20" x14ac:dyDescent="0.55000000000000004">
      <c r="A382">
        <v>22</v>
      </c>
      <c r="B382" s="15" t="str">
        <f t="shared" si="36"/>
        <v>22_0</v>
      </c>
      <c r="C382" s="20">
        <v>45695.638888888891</v>
      </c>
      <c r="D382" t="s">
        <v>175</v>
      </c>
      <c r="E382">
        <v>2</v>
      </c>
      <c r="F382" t="s">
        <v>115</v>
      </c>
      <c r="G382" t="str">
        <f t="shared" si="37"/>
        <v>Paranephrops planifrons</v>
      </c>
      <c r="H382" t="str">
        <f t="shared" si="38"/>
        <v>Freshwater_crayfish</v>
      </c>
      <c r="I382" t="str">
        <f t="shared" si="39"/>
        <v>Kōura</v>
      </c>
      <c r="J382" t="str">
        <f t="shared" si="40"/>
        <v>Native</v>
      </c>
      <c r="K382" t="str">
        <f t="shared" si="41"/>
        <v>Yes</v>
      </c>
      <c r="L382">
        <v>1</v>
      </c>
      <c r="M382" t="s">
        <v>176</v>
      </c>
      <c r="N382">
        <v>25.16</v>
      </c>
      <c r="O382">
        <v>12</v>
      </c>
      <c r="T382" t="str">
        <f t="shared" si="42"/>
        <v/>
      </c>
    </row>
    <row r="383" spans="1:20" x14ac:dyDescent="0.55000000000000004">
      <c r="A383">
        <v>22</v>
      </c>
      <c r="B383" s="15" t="str">
        <f t="shared" si="36"/>
        <v>22_0</v>
      </c>
      <c r="C383" s="20">
        <v>45695.638888888891</v>
      </c>
      <c r="D383" t="s">
        <v>175</v>
      </c>
      <c r="E383">
        <v>2</v>
      </c>
      <c r="F383" t="s">
        <v>115</v>
      </c>
      <c r="G383" t="str">
        <f t="shared" si="37"/>
        <v>Paranephrops planifrons</v>
      </c>
      <c r="H383" t="str">
        <f t="shared" si="38"/>
        <v>Freshwater_crayfish</v>
      </c>
      <c r="I383" t="str">
        <f t="shared" si="39"/>
        <v>Kōura</v>
      </c>
      <c r="J383" t="str">
        <f t="shared" si="40"/>
        <v>Native</v>
      </c>
      <c r="K383" t="str">
        <f t="shared" si="41"/>
        <v>Yes</v>
      </c>
      <c r="L383">
        <v>1</v>
      </c>
      <c r="M383" t="s">
        <v>176</v>
      </c>
      <c r="N383">
        <v>24.45</v>
      </c>
      <c r="O383">
        <v>10</v>
      </c>
      <c r="P383">
        <v>1</v>
      </c>
      <c r="T383" t="str">
        <f t="shared" si="42"/>
        <v/>
      </c>
    </row>
    <row r="384" spans="1:20" x14ac:dyDescent="0.55000000000000004">
      <c r="A384">
        <v>22</v>
      </c>
      <c r="B384" s="15" t="str">
        <f t="shared" si="36"/>
        <v>22_0</v>
      </c>
      <c r="C384" s="20">
        <v>45695.638888888891</v>
      </c>
      <c r="D384" t="s">
        <v>175</v>
      </c>
      <c r="E384">
        <v>2</v>
      </c>
      <c r="F384" t="s">
        <v>115</v>
      </c>
      <c r="G384" t="str">
        <f t="shared" si="37"/>
        <v>Paranephrops planifrons</v>
      </c>
      <c r="H384" t="str">
        <f t="shared" si="38"/>
        <v>Freshwater_crayfish</v>
      </c>
      <c r="I384" t="str">
        <f t="shared" si="39"/>
        <v>Kōura</v>
      </c>
      <c r="J384" t="str">
        <f t="shared" si="40"/>
        <v>Native</v>
      </c>
      <c r="K384" t="str">
        <f t="shared" si="41"/>
        <v>Yes</v>
      </c>
      <c r="L384">
        <v>1</v>
      </c>
      <c r="M384" t="s">
        <v>176</v>
      </c>
      <c r="N384">
        <v>25.03</v>
      </c>
      <c r="O384">
        <v>10</v>
      </c>
      <c r="T384" t="str">
        <f t="shared" si="42"/>
        <v/>
      </c>
    </row>
    <row r="385" spans="1:20" x14ac:dyDescent="0.55000000000000004">
      <c r="A385">
        <v>22</v>
      </c>
      <c r="B385" s="15" t="str">
        <f t="shared" si="36"/>
        <v>22_0</v>
      </c>
      <c r="C385" s="20">
        <v>45695.638888888891</v>
      </c>
      <c r="D385" t="s">
        <v>175</v>
      </c>
      <c r="E385">
        <v>2</v>
      </c>
      <c r="F385" t="s">
        <v>115</v>
      </c>
      <c r="G385" t="str">
        <f t="shared" si="37"/>
        <v>Paranephrops planifrons</v>
      </c>
      <c r="H385" t="str">
        <f t="shared" si="38"/>
        <v>Freshwater_crayfish</v>
      </c>
      <c r="I385" t="str">
        <f t="shared" si="39"/>
        <v>Kōura</v>
      </c>
      <c r="J385" t="str">
        <f t="shared" si="40"/>
        <v>Native</v>
      </c>
      <c r="K385" t="str">
        <f t="shared" si="41"/>
        <v>Yes</v>
      </c>
      <c r="L385">
        <v>1</v>
      </c>
      <c r="M385" t="s">
        <v>176</v>
      </c>
      <c r="N385">
        <v>24.45</v>
      </c>
      <c r="O385">
        <v>12</v>
      </c>
      <c r="T385" t="str">
        <f t="shared" si="42"/>
        <v/>
      </c>
    </row>
    <row r="386" spans="1:20" x14ac:dyDescent="0.55000000000000004">
      <c r="A386">
        <v>22</v>
      </c>
      <c r="B386" s="15" t="str">
        <f t="shared" ref="B386:B390" si="43">A386 &amp; "_0"</f>
        <v>22_0</v>
      </c>
      <c r="C386" s="20">
        <v>45695.638888888891</v>
      </c>
      <c r="D386" t="s">
        <v>175</v>
      </c>
      <c r="E386">
        <v>2</v>
      </c>
      <c r="F386" t="s">
        <v>115</v>
      </c>
      <c r="G386" t="str">
        <f t="shared" ref="G386:G449" si="44">VLOOKUP($F386, $W$1:$AB$10, 2, FALSE)</f>
        <v>Paranephrops planifrons</v>
      </c>
      <c r="H386" t="str">
        <f t="shared" ref="H386:H449" si="45">VLOOKUP($F386, $W$1:$AB$10, 3, FALSE)</f>
        <v>Freshwater_crayfish</v>
      </c>
      <c r="I386" t="str">
        <f t="shared" ref="I386:I449" si="46">VLOOKUP($F386, $W$1:$AB$10, 4, FALSE)</f>
        <v>Kōura</v>
      </c>
      <c r="J386" t="str">
        <f t="shared" ref="J386:J449" si="47">VLOOKUP($F386, $W$1:$AC$10, 5, FALSE)</f>
        <v>Native</v>
      </c>
      <c r="K386" t="str">
        <f t="shared" ref="K386:K449" si="48">VLOOKUP($F386, $W$1:$AB$10, 6, FALSE)</f>
        <v>Yes</v>
      </c>
      <c r="L386">
        <v>1</v>
      </c>
      <c r="M386" t="s">
        <v>177</v>
      </c>
      <c r="N386">
        <v>24.62</v>
      </c>
      <c r="O386">
        <v>11</v>
      </c>
      <c r="P386">
        <v>1</v>
      </c>
      <c r="T386" t="str">
        <f t="shared" si="42"/>
        <v/>
      </c>
    </row>
    <row r="387" spans="1:20" x14ac:dyDescent="0.55000000000000004">
      <c r="A387">
        <v>22</v>
      </c>
      <c r="B387" s="15" t="str">
        <f t="shared" si="43"/>
        <v>22_0</v>
      </c>
      <c r="C387" s="20">
        <v>45695.638888888891</v>
      </c>
      <c r="D387" t="s">
        <v>175</v>
      </c>
      <c r="E387">
        <v>2</v>
      </c>
      <c r="F387" t="s">
        <v>115</v>
      </c>
      <c r="G387" t="str">
        <f t="shared" si="44"/>
        <v>Paranephrops planifrons</v>
      </c>
      <c r="H387" t="str">
        <f t="shared" si="45"/>
        <v>Freshwater_crayfish</v>
      </c>
      <c r="I387" t="str">
        <f t="shared" si="46"/>
        <v>Kōura</v>
      </c>
      <c r="J387" t="str">
        <f t="shared" si="47"/>
        <v>Native</v>
      </c>
      <c r="K387" t="str">
        <f t="shared" si="48"/>
        <v>Yes</v>
      </c>
      <c r="L387">
        <v>1</v>
      </c>
      <c r="M387" t="s">
        <v>176</v>
      </c>
      <c r="N387">
        <v>23.67</v>
      </c>
      <c r="O387">
        <v>10</v>
      </c>
      <c r="T387" t="str">
        <f t="shared" si="42"/>
        <v/>
      </c>
    </row>
    <row r="388" spans="1:20" x14ac:dyDescent="0.55000000000000004">
      <c r="A388">
        <v>22</v>
      </c>
      <c r="B388" s="15" t="str">
        <f t="shared" si="43"/>
        <v>22_0</v>
      </c>
      <c r="C388" s="20">
        <v>45695.638888888891</v>
      </c>
      <c r="D388" t="s">
        <v>175</v>
      </c>
      <c r="E388">
        <v>2</v>
      </c>
      <c r="F388" t="s">
        <v>115</v>
      </c>
      <c r="G388" t="str">
        <f t="shared" si="44"/>
        <v>Paranephrops planifrons</v>
      </c>
      <c r="H388" t="str">
        <f t="shared" si="45"/>
        <v>Freshwater_crayfish</v>
      </c>
      <c r="I388" t="str">
        <f t="shared" si="46"/>
        <v>Kōura</v>
      </c>
      <c r="J388" t="str">
        <f t="shared" si="47"/>
        <v>Native</v>
      </c>
      <c r="K388" t="str">
        <f t="shared" si="48"/>
        <v>Yes</v>
      </c>
      <c r="L388">
        <v>1</v>
      </c>
      <c r="M388" t="s">
        <v>176</v>
      </c>
      <c r="N388">
        <v>22.72</v>
      </c>
      <c r="O388">
        <v>10</v>
      </c>
      <c r="T388" t="str">
        <f t="shared" si="42"/>
        <v/>
      </c>
    </row>
    <row r="389" spans="1:20" x14ac:dyDescent="0.55000000000000004">
      <c r="A389">
        <v>22</v>
      </c>
      <c r="B389" s="15" t="str">
        <f t="shared" si="43"/>
        <v>22_0</v>
      </c>
      <c r="C389" s="20">
        <v>45695.638888888891</v>
      </c>
      <c r="D389" t="s">
        <v>175</v>
      </c>
      <c r="E389">
        <v>2</v>
      </c>
      <c r="F389" t="s">
        <v>115</v>
      </c>
      <c r="G389" t="str">
        <f t="shared" si="44"/>
        <v>Paranephrops planifrons</v>
      </c>
      <c r="H389" t="str">
        <f t="shared" si="45"/>
        <v>Freshwater_crayfish</v>
      </c>
      <c r="I389" t="str">
        <f t="shared" si="46"/>
        <v>Kōura</v>
      </c>
      <c r="J389" t="str">
        <f t="shared" si="47"/>
        <v>Native</v>
      </c>
      <c r="K389" t="str">
        <f t="shared" si="48"/>
        <v>Yes</v>
      </c>
      <c r="L389">
        <v>1</v>
      </c>
      <c r="M389" t="s">
        <v>177</v>
      </c>
      <c r="N389">
        <v>15.61</v>
      </c>
      <c r="O389">
        <v>3</v>
      </c>
      <c r="T389" t="str">
        <f t="shared" si="42"/>
        <v/>
      </c>
    </row>
    <row r="390" spans="1:20" x14ac:dyDescent="0.55000000000000004">
      <c r="A390">
        <v>22</v>
      </c>
      <c r="B390" s="15" t="str">
        <f t="shared" si="43"/>
        <v>22_0</v>
      </c>
      <c r="C390" s="20">
        <v>45695.638888888891</v>
      </c>
      <c r="D390" t="s">
        <v>175</v>
      </c>
      <c r="E390">
        <v>2</v>
      </c>
      <c r="F390" t="s">
        <v>115</v>
      </c>
      <c r="G390" t="str">
        <f t="shared" si="44"/>
        <v>Paranephrops planifrons</v>
      </c>
      <c r="H390" t="str">
        <f t="shared" si="45"/>
        <v>Freshwater_crayfish</v>
      </c>
      <c r="I390" t="str">
        <f t="shared" si="46"/>
        <v>Kōura</v>
      </c>
      <c r="J390" t="str">
        <f t="shared" si="47"/>
        <v>Native</v>
      </c>
      <c r="K390" t="str">
        <f t="shared" si="48"/>
        <v>Yes</v>
      </c>
      <c r="L390">
        <v>1</v>
      </c>
      <c r="M390" t="s">
        <v>177</v>
      </c>
      <c r="N390">
        <v>12.53</v>
      </c>
      <c r="O390">
        <v>1</v>
      </c>
      <c r="T390" t="str">
        <f t="shared" si="42"/>
        <v/>
      </c>
    </row>
    <row r="391" spans="1:20" x14ac:dyDescent="0.55000000000000004">
      <c r="A391">
        <v>3</v>
      </c>
      <c r="B391" s="15" t="str">
        <f t="shared" ref="B391:B454" si="49">A391 &amp; "_1"</f>
        <v>3_1</v>
      </c>
      <c r="C391" s="20">
        <v>45776.6875</v>
      </c>
      <c r="D391" t="s">
        <v>174</v>
      </c>
      <c r="E391">
        <v>2</v>
      </c>
      <c r="F391" t="s">
        <v>115</v>
      </c>
      <c r="G391" t="str">
        <f t="shared" si="44"/>
        <v>Paranephrops planifrons</v>
      </c>
      <c r="H391" t="str">
        <f t="shared" si="45"/>
        <v>Freshwater_crayfish</v>
      </c>
      <c r="I391" t="str">
        <f t="shared" si="46"/>
        <v>Kōura</v>
      </c>
      <c r="J391" t="str">
        <f t="shared" si="47"/>
        <v>Native</v>
      </c>
      <c r="K391" t="str">
        <f t="shared" si="48"/>
        <v>Yes</v>
      </c>
      <c r="L391">
        <v>1</v>
      </c>
      <c r="M391" t="s">
        <v>176</v>
      </c>
      <c r="N391">
        <v>29</v>
      </c>
      <c r="O391">
        <v>28</v>
      </c>
      <c r="P391">
        <v>1</v>
      </c>
      <c r="T391" t="str">
        <f t="shared" si="42"/>
        <v/>
      </c>
    </row>
    <row r="392" spans="1:20" x14ac:dyDescent="0.55000000000000004">
      <c r="A392">
        <v>3</v>
      </c>
      <c r="B392" s="15" t="str">
        <f t="shared" si="49"/>
        <v>3_1</v>
      </c>
      <c r="C392" s="20">
        <v>45776.6875</v>
      </c>
      <c r="D392" t="s">
        <v>174</v>
      </c>
      <c r="E392">
        <v>2</v>
      </c>
      <c r="F392" t="s">
        <v>135</v>
      </c>
      <c r="G392" t="str">
        <f t="shared" si="44"/>
        <v>Gobiomorphus cotidianus</v>
      </c>
      <c r="H392" t="str">
        <f t="shared" si="45"/>
        <v>Common_bully</v>
      </c>
      <c r="I392" t="str">
        <f t="shared" si="46"/>
        <v>Toitoi</v>
      </c>
      <c r="J392" t="str">
        <f t="shared" si="47"/>
        <v>Native</v>
      </c>
      <c r="K392" t="str">
        <f t="shared" si="48"/>
        <v>No</v>
      </c>
      <c r="L392">
        <v>15</v>
      </c>
      <c r="O392">
        <v>13</v>
      </c>
      <c r="T392" t="str">
        <f t="shared" si="42"/>
        <v/>
      </c>
    </row>
    <row r="393" spans="1:20" x14ac:dyDescent="0.55000000000000004">
      <c r="A393">
        <v>3</v>
      </c>
      <c r="B393" s="15" t="str">
        <f t="shared" si="49"/>
        <v>3_1</v>
      </c>
      <c r="C393" s="20">
        <v>45776.6875</v>
      </c>
      <c r="D393" t="s">
        <v>174</v>
      </c>
      <c r="E393">
        <v>2</v>
      </c>
      <c r="F393" t="s">
        <v>127</v>
      </c>
      <c r="G393" t="str">
        <f t="shared" si="44"/>
        <v>Galaxias brevipinnis</v>
      </c>
      <c r="H393" t="str">
        <f t="shared" si="45"/>
        <v>Climbing_galaxias</v>
      </c>
      <c r="I393" t="str">
        <f t="shared" si="46"/>
        <v>Kōaro</v>
      </c>
      <c r="J393" t="str">
        <f t="shared" si="47"/>
        <v>Native</v>
      </c>
      <c r="K393" t="str">
        <f t="shared" si="48"/>
        <v>Yes</v>
      </c>
      <c r="L393">
        <v>1</v>
      </c>
      <c r="N393">
        <v>70</v>
      </c>
      <c r="O393">
        <v>3</v>
      </c>
      <c r="T393" t="str">
        <f t="shared" si="42"/>
        <v/>
      </c>
    </row>
    <row r="394" spans="1:20" x14ac:dyDescent="0.55000000000000004">
      <c r="A394">
        <v>3</v>
      </c>
      <c r="B394" s="15" t="str">
        <f t="shared" si="49"/>
        <v>3_1</v>
      </c>
      <c r="C394" s="20">
        <v>45776.6875</v>
      </c>
      <c r="D394" t="s">
        <v>175</v>
      </c>
      <c r="E394">
        <v>2</v>
      </c>
      <c r="F394" t="s">
        <v>115</v>
      </c>
      <c r="G394" t="str">
        <f t="shared" si="44"/>
        <v>Paranephrops planifrons</v>
      </c>
      <c r="H394" t="str">
        <f t="shared" si="45"/>
        <v>Freshwater_crayfish</v>
      </c>
      <c r="I394" t="str">
        <f t="shared" si="46"/>
        <v>Kōura</v>
      </c>
      <c r="J394" t="str">
        <f t="shared" si="47"/>
        <v>Native</v>
      </c>
      <c r="K394" t="str">
        <f t="shared" si="48"/>
        <v>Yes</v>
      </c>
      <c r="L394">
        <v>1</v>
      </c>
      <c r="M394" t="s">
        <v>177</v>
      </c>
      <c r="N394">
        <v>25</v>
      </c>
      <c r="O394">
        <v>12</v>
      </c>
      <c r="T394" t="str">
        <f t="shared" si="42"/>
        <v/>
      </c>
    </row>
    <row r="395" spans="1:20" x14ac:dyDescent="0.55000000000000004">
      <c r="A395">
        <v>3</v>
      </c>
      <c r="B395" s="15" t="str">
        <f t="shared" si="49"/>
        <v>3_1</v>
      </c>
      <c r="C395" s="20">
        <v>45776.6875</v>
      </c>
      <c r="D395" t="s">
        <v>175</v>
      </c>
      <c r="E395">
        <v>2</v>
      </c>
      <c r="F395" t="s">
        <v>115</v>
      </c>
      <c r="G395" t="str">
        <f t="shared" si="44"/>
        <v>Paranephrops planifrons</v>
      </c>
      <c r="H395" t="str">
        <f t="shared" si="45"/>
        <v>Freshwater_crayfish</v>
      </c>
      <c r="I395" t="str">
        <f t="shared" si="46"/>
        <v>Kōura</v>
      </c>
      <c r="J395" t="str">
        <f t="shared" si="47"/>
        <v>Native</v>
      </c>
      <c r="K395" t="str">
        <f t="shared" si="48"/>
        <v>Yes</v>
      </c>
      <c r="L395">
        <v>1</v>
      </c>
      <c r="M395" t="s">
        <v>176</v>
      </c>
      <c r="N395">
        <v>24</v>
      </c>
      <c r="O395">
        <v>9</v>
      </c>
      <c r="T395" t="str">
        <f t="shared" si="42"/>
        <v/>
      </c>
    </row>
    <row r="396" spans="1:20" x14ac:dyDescent="0.55000000000000004">
      <c r="A396">
        <v>3</v>
      </c>
      <c r="B396" s="15" t="str">
        <f t="shared" si="49"/>
        <v>3_1</v>
      </c>
      <c r="C396" s="20">
        <v>45776.6875</v>
      </c>
      <c r="D396" t="s">
        <v>175</v>
      </c>
      <c r="E396">
        <v>2</v>
      </c>
      <c r="F396" t="s">
        <v>115</v>
      </c>
      <c r="G396" t="str">
        <f t="shared" si="44"/>
        <v>Paranephrops planifrons</v>
      </c>
      <c r="H396" t="str">
        <f t="shared" si="45"/>
        <v>Freshwater_crayfish</v>
      </c>
      <c r="I396" t="str">
        <f t="shared" si="46"/>
        <v>Kōura</v>
      </c>
      <c r="J396" t="str">
        <f t="shared" si="47"/>
        <v>Native</v>
      </c>
      <c r="K396" t="str">
        <f t="shared" si="48"/>
        <v>Yes</v>
      </c>
      <c r="L396">
        <v>1</v>
      </c>
      <c r="M396" t="s">
        <v>176</v>
      </c>
      <c r="N396">
        <v>20</v>
      </c>
      <c r="O396">
        <v>6</v>
      </c>
      <c r="T396" t="str">
        <f t="shared" si="42"/>
        <v/>
      </c>
    </row>
    <row r="397" spans="1:20" x14ac:dyDescent="0.55000000000000004">
      <c r="A397">
        <v>3</v>
      </c>
      <c r="B397" s="15" t="str">
        <f t="shared" si="49"/>
        <v>3_1</v>
      </c>
      <c r="C397" s="20">
        <v>45776.6875</v>
      </c>
      <c r="D397" t="s">
        <v>175</v>
      </c>
      <c r="E397">
        <v>2</v>
      </c>
      <c r="F397" t="s">
        <v>115</v>
      </c>
      <c r="G397" t="str">
        <f t="shared" si="44"/>
        <v>Paranephrops planifrons</v>
      </c>
      <c r="H397" t="str">
        <f t="shared" si="45"/>
        <v>Freshwater_crayfish</v>
      </c>
      <c r="I397" t="str">
        <f t="shared" si="46"/>
        <v>Kōura</v>
      </c>
      <c r="J397" t="str">
        <f t="shared" si="47"/>
        <v>Native</v>
      </c>
      <c r="K397" t="str">
        <f t="shared" si="48"/>
        <v>Yes</v>
      </c>
      <c r="L397">
        <v>1</v>
      </c>
      <c r="M397" t="s">
        <v>176</v>
      </c>
      <c r="N397">
        <v>29</v>
      </c>
      <c r="O397">
        <v>18</v>
      </c>
      <c r="T397" t="str">
        <f t="shared" si="42"/>
        <v/>
      </c>
    </row>
    <row r="398" spans="1:20" x14ac:dyDescent="0.55000000000000004">
      <c r="A398">
        <v>3</v>
      </c>
      <c r="B398" s="15" t="str">
        <f t="shared" si="49"/>
        <v>3_1</v>
      </c>
      <c r="C398" s="20">
        <v>45776.6875</v>
      </c>
      <c r="D398" t="s">
        <v>175</v>
      </c>
      <c r="E398">
        <v>2</v>
      </c>
      <c r="F398" t="s">
        <v>115</v>
      </c>
      <c r="G398" t="str">
        <f t="shared" si="44"/>
        <v>Paranephrops planifrons</v>
      </c>
      <c r="H398" t="str">
        <f t="shared" si="45"/>
        <v>Freshwater_crayfish</v>
      </c>
      <c r="I398" t="str">
        <f t="shared" si="46"/>
        <v>Kōura</v>
      </c>
      <c r="J398" t="str">
        <f t="shared" si="47"/>
        <v>Native</v>
      </c>
      <c r="K398" t="str">
        <f t="shared" si="48"/>
        <v>Yes</v>
      </c>
      <c r="L398">
        <v>1</v>
      </c>
      <c r="M398" t="s">
        <v>177</v>
      </c>
      <c r="N398">
        <v>24</v>
      </c>
      <c r="O398">
        <v>13</v>
      </c>
      <c r="T398" t="str">
        <f t="shared" si="42"/>
        <v/>
      </c>
    </row>
    <row r="399" spans="1:20" x14ac:dyDescent="0.55000000000000004">
      <c r="A399">
        <v>3</v>
      </c>
      <c r="B399" s="15" t="str">
        <f t="shared" si="49"/>
        <v>3_1</v>
      </c>
      <c r="C399" s="20">
        <v>45776.6875</v>
      </c>
      <c r="D399" t="s">
        <v>175</v>
      </c>
      <c r="E399">
        <v>2</v>
      </c>
      <c r="F399" t="s">
        <v>115</v>
      </c>
      <c r="G399" t="str">
        <f t="shared" si="44"/>
        <v>Paranephrops planifrons</v>
      </c>
      <c r="H399" t="str">
        <f t="shared" si="45"/>
        <v>Freshwater_crayfish</v>
      </c>
      <c r="I399" t="str">
        <f t="shared" si="46"/>
        <v>Kōura</v>
      </c>
      <c r="J399" t="str">
        <f t="shared" si="47"/>
        <v>Native</v>
      </c>
      <c r="K399" t="str">
        <f t="shared" si="48"/>
        <v>Yes</v>
      </c>
      <c r="L399">
        <v>1</v>
      </c>
      <c r="M399" t="s">
        <v>177</v>
      </c>
      <c r="N399">
        <v>28</v>
      </c>
      <c r="O399">
        <v>20</v>
      </c>
      <c r="T399" t="str">
        <f t="shared" si="42"/>
        <v/>
      </c>
    </row>
    <row r="400" spans="1:20" x14ac:dyDescent="0.55000000000000004">
      <c r="A400">
        <v>3</v>
      </c>
      <c r="B400" s="15" t="str">
        <f t="shared" si="49"/>
        <v>3_1</v>
      </c>
      <c r="C400" s="20">
        <v>45776.6875</v>
      </c>
      <c r="D400" t="s">
        <v>175</v>
      </c>
      <c r="E400">
        <v>2</v>
      </c>
      <c r="F400" t="s">
        <v>115</v>
      </c>
      <c r="G400" t="str">
        <f t="shared" si="44"/>
        <v>Paranephrops planifrons</v>
      </c>
      <c r="H400" t="str">
        <f t="shared" si="45"/>
        <v>Freshwater_crayfish</v>
      </c>
      <c r="I400" t="str">
        <f t="shared" si="46"/>
        <v>Kōura</v>
      </c>
      <c r="J400" t="str">
        <f t="shared" si="47"/>
        <v>Native</v>
      </c>
      <c r="K400" t="str">
        <f t="shared" si="48"/>
        <v>Yes</v>
      </c>
      <c r="L400">
        <v>1</v>
      </c>
      <c r="M400" t="s">
        <v>177</v>
      </c>
      <c r="N400">
        <v>25</v>
      </c>
      <c r="O400">
        <v>13</v>
      </c>
      <c r="T400" t="str">
        <f t="shared" si="42"/>
        <v/>
      </c>
    </row>
    <row r="401" spans="1:20" x14ac:dyDescent="0.55000000000000004">
      <c r="A401">
        <v>3</v>
      </c>
      <c r="B401" s="15" t="str">
        <f t="shared" si="49"/>
        <v>3_1</v>
      </c>
      <c r="C401" s="20">
        <v>45776.6875</v>
      </c>
      <c r="D401" t="s">
        <v>175</v>
      </c>
      <c r="E401">
        <v>2</v>
      </c>
      <c r="F401" t="s">
        <v>127</v>
      </c>
      <c r="G401" t="str">
        <f t="shared" si="44"/>
        <v>Galaxias brevipinnis</v>
      </c>
      <c r="H401" t="str">
        <f t="shared" si="45"/>
        <v>Climbing_galaxias</v>
      </c>
      <c r="I401" t="str">
        <f t="shared" si="46"/>
        <v>Kōaro</v>
      </c>
      <c r="J401" t="str">
        <f t="shared" si="47"/>
        <v>Native</v>
      </c>
      <c r="K401" t="str">
        <f t="shared" si="48"/>
        <v>Yes</v>
      </c>
      <c r="L401">
        <v>1</v>
      </c>
      <c r="N401">
        <v>140</v>
      </c>
      <c r="O401">
        <v>26</v>
      </c>
      <c r="T401" t="str">
        <f t="shared" si="42"/>
        <v/>
      </c>
    </row>
    <row r="402" spans="1:20" x14ac:dyDescent="0.55000000000000004">
      <c r="A402">
        <v>3</v>
      </c>
      <c r="B402" s="15" t="str">
        <f t="shared" si="49"/>
        <v>3_1</v>
      </c>
      <c r="C402" s="20">
        <v>45776.6875</v>
      </c>
      <c r="D402" t="s">
        <v>175</v>
      </c>
      <c r="E402">
        <v>2</v>
      </c>
      <c r="F402" t="s">
        <v>127</v>
      </c>
      <c r="G402" t="str">
        <f t="shared" si="44"/>
        <v>Galaxias brevipinnis</v>
      </c>
      <c r="H402" t="str">
        <f t="shared" si="45"/>
        <v>Climbing_galaxias</v>
      </c>
      <c r="I402" t="str">
        <f t="shared" si="46"/>
        <v>Kōaro</v>
      </c>
      <c r="J402" t="str">
        <f t="shared" si="47"/>
        <v>Native</v>
      </c>
      <c r="K402" t="str">
        <f t="shared" si="48"/>
        <v>Yes</v>
      </c>
      <c r="L402">
        <v>1</v>
      </c>
      <c r="N402">
        <v>90</v>
      </c>
      <c r="O402">
        <v>5</v>
      </c>
      <c r="T402" t="str">
        <f t="shared" si="42"/>
        <v/>
      </c>
    </row>
    <row r="403" spans="1:20" x14ac:dyDescent="0.55000000000000004">
      <c r="A403">
        <v>3</v>
      </c>
      <c r="B403" s="15" t="str">
        <f t="shared" si="49"/>
        <v>3_1</v>
      </c>
      <c r="C403" s="20">
        <v>45776.6875</v>
      </c>
      <c r="D403" t="s">
        <v>175</v>
      </c>
      <c r="E403">
        <v>2</v>
      </c>
      <c r="F403" t="s">
        <v>127</v>
      </c>
      <c r="G403" t="str">
        <f t="shared" si="44"/>
        <v>Galaxias brevipinnis</v>
      </c>
      <c r="H403" t="str">
        <f t="shared" si="45"/>
        <v>Climbing_galaxias</v>
      </c>
      <c r="I403" t="str">
        <f t="shared" si="46"/>
        <v>Kōaro</v>
      </c>
      <c r="J403" t="str">
        <f t="shared" si="47"/>
        <v>Native</v>
      </c>
      <c r="K403" t="str">
        <f t="shared" si="48"/>
        <v>Yes</v>
      </c>
      <c r="L403">
        <v>1</v>
      </c>
      <c r="N403">
        <v>100</v>
      </c>
      <c r="O403">
        <v>8</v>
      </c>
      <c r="T403" t="str">
        <f t="shared" si="42"/>
        <v/>
      </c>
    </row>
    <row r="404" spans="1:20" x14ac:dyDescent="0.55000000000000004">
      <c r="A404">
        <v>3</v>
      </c>
      <c r="B404" s="15" t="str">
        <f t="shared" si="49"/>
        <v>3_1</v>
      </c>
      <c r="C404" s="20">
        <v>45776.6875</v>
      </c>
      <c r="D404" t="s">
        <v>175</v>
      </c>
      <c r="E404">
        <v>2</v>
      </c>
      <c r="F404" t="s">
        <v>127</v>
      </c>
      <c r="G404" t="str">
        <f t="shared" si="44"/>
        <v>Galaxias brevipinnis</v>
      </c>
      <c r="H404" t="str">
        <f t="shared" si="45"/>
        <v>Climbing_galaxias</v>
      </c>
      <c r="I404" t="str">
        <f t="shared" si="46"/>
        <v>Kōaro</v>
      </c>
      <c r="J404" t="str">
        <f t="shared" si="47"/>
        <v>Native</v>
      </c>
      <c r="K404" t="str">
        <f t="shared" si="48"/>
        <v>Yes</v>
      </c>
      <c r="L404">
        <v>1</v>
      </c>
      <c r="N404">
        <v>110</v>
      </c>
      <c r="O404">
        <v>13</v>
      </c>
      <c r="T404" t="str">
        <f t="shared" si="42"/>
        <v/>
      </c>
    </row>
    <row r="405" spans="1:20" x14ac:dyDescent="0.55000000000000004">
      <c r="A405">
        <v>3</v>
      </c>
      <c r="B405" s="15" t="str">
        <f t="shared" si="49"/>
        <v>3_1</v>
      </c>
      <c r="C405" s="20">
        <v>45776.6875</v>
      </c>
      <c r="D405" t="s">
        <v>175</v>
      </c>
      <c r="E405">
        <v>2</v>
      </c>
      <c r="F405" t="s">
        <v>127</v>
      </c>
      <c r="G405" t="str">
        <f t="shared" si="44"/>
        <v>Galaxias brevipinnis</v>
      </c>
      <c r="H405" t="str">
        <f t="shared" si="45"/>
        <v>Climbing_galaxias</v>
      </c>
      <c r="I405" t="str">
        <f t="shared" si="46"/>
        <v>Kōaro</v>
      </c>
      <c r="J405" t="str">
        <f t="shared" si="47"/>
        <v>Native</v>
      </c>
      <c r="K405" t="str">
        <f t="shared" si="48"/>
        <v>Yes</v>
      </c>
      <c r="L405">
        <v>1</v>
      </c>
      <c r="N405">
        <v>110</v>
      </c>
      <c r="O405">
        <v>8</v>
      </c>
      <c r="T405" t="str">
        <f t="shared" si="42"/>
        <v/>
      </c>
    </row>
    <row r="406" spans="1:20" x14ac:dyDescent="0.55000000000000004">
      <c r="A406">
        <v>3</v>
      </c>
      <c r="B406" s="15" t="str">
        <f t="shared" si="49"/>
        <v>3_1</v>
      </c>
      <c r="C406" s="20">
        <v>45776.6875</v>
      </c>
      <c r="D406" t="s">
        <v>175</v>
      </c>
      <c r="E406">
        <v>2</v>
      </c>
      <c r="F406" t="s">
        <v>127</v>
      </c>
      <c r="G406" t="str">
        <f t="shared" si="44"/>
        <v>Galaxias brevipinnis</v>
      </c>
      <c r="H406" t="str">
        <f t="shared" si="45"/>
        <v>Climbing_galaxias</v>
      </c>
      <c r="I406" t="str">
        <f t="shared" si="46"/>
        <v>Kōaro</v>
      </c>
      <c r="J406" t="str">
        <f t="shared" si="47"/>
        <v>Native</v>
      </c>
      <c r="K406" t="str">
        <f t="shared" si="48"/>
        <v>Yes</v>
      </c>
      <c r="L406">
        <v>1</v>
      </c>
      <c r="N406">
        <v>110</v>
      </c>
      <c r="O406">
        <v>15</v>
      </c>
      <c r="T406" t="str">
        <f t="shared" si="42"/>
        <v/>
      </c>
    </row>
    <row r="407" spans="1:20" x14ac:dyDescent="0.55000000000000004">
      <c r="A407">
        <v>3</v>
      </c>
      <c r="B407" s="15" t="str">
        <f t="shared" si="49"/>
        <v>3_1</v>
      </c>
      <c r="C407" s="20">
        <v>45776.6875</v>
      </c>
      <c r="D407" t="s">
        <v>175</v>
      </c>
      <c r="E407">
        <v>2</v>
      </c>
      <c r="F407" t="s">
        <v>127</v>
      </c>
      <c r="G407" t="str">
        <f t="shared" si="44"/>
        <v>Galaxias brevipinnis</v>
      </c>
      <c r="H407" t="str">
        <f t="shared" si="45"/>
        <v>Climbing_galaxias</v>
      </c>
      <c r="I407" t="str">
        <f t="shared" si="46"/>
        <v>Kōaro</v>
      </c>
      <c r="J407" t="str">
        <f t="shared" si="47"/>
        <v>Native</v>
      </c>
      <c r="K407" t="str">
        <f t="shared" si="48"/>
        <v>Yes</v>
      </c>
      <c r="L407">
        <v>1</v>
      </c>
      <c r="N407">
        <v>50</v>
      </c>
      <c r="O407">
        <v>1</v>
      </c>
      <c r="T407" t="str">
        <f t="shared" si="42"/>
        <v/>
      </c>
    </row>
    <row r="408" spans="1:20" x14ac:dyDescent="0.55000000000000004">
      <c r="A408">
        <v>3</v>
      </c>
      <c r="B408" s="15" t="str">
        <f t="shared" si="49"/>
        <v>3_1</v>
      </c>
      <c r="C408" s="20">
        <v>45776.6875</v>
      </c>
      <c r="D408" t="s">
        <v>175</v>
      </c>
      <c r="E408">
        <v>2</v>
      </c>
      <c r="F408" t="s">
        <v>127</v>
      </c>
      <c r="G408" t="str">
        <f t="shared" si="44"/>
        <v>Galaxias brevipinnis</v>
      </c>
      <c r="H408" t="str">
        <f t="shared" si="45"/>
        <v>Climbing_galaxias</v>
      </c>
      <c r="I408" t="str">
        <f t="shared" si="46"/>
        <v>Kōaro</v>
      </c>
      <c r="J408" t="str">
        <f t="shared" si="47"/>
        <v>Native</v>
      </c>
      <c r="K408" t="str">
        <f t="shared" si="48"/>
        <v>Yes</v>
      </c>
      <c r="L408">
        <v>1</v>
      </c>
      <c r="N408">
        <v>80</v>
      </c>
      <c r="O408">
        <v>5</v>
      </c>
      <c r="T408" t="str">
        <f t="shared" si="42"/>
        <v/>
      </c>
    </row>
    <row r="409" spans="1:20" x14ac:dyDescent="0.55000000000000004">
      <c r="A409">
        <v>3</v>
      </c>
      <c r="B409" s="15" t="str">
        <f t="shared" si="49"/>
        <v>3_1</v>
      </c>
      <c r="C409" s="20">
        <v>45776.6875</v>
      </c>
      <c r="D409" t="s">
        <v>175</v>
      </c>
      <c r="E409">
        <v>2</v>
      </c>
      <c r="F409" t="s">
        <v>127</v>
      </c>
      <c r="G409" t="str">
        <f t="shared" si="44"/>
        <v>Galaxias brevipinnis</v>
      </c>
      <c r="H409" t="str">
        <f t="shared" si="45"/>
        <v>Climbing_galaxias</v>
      </c>
      <c r="I409" t="str">
        <f t="shared" si="46"/>
        <v>Kōaro</v>
      </c>
      <c r="J409" t="str">
        <f t="shared" si="47"/>
        <v>Native</v>
      </c>
      <c r="K409" t="str">
        <f t="shared" si="48"/>
        <v>Yes</v>
      </c>
      <c r="L409">
        <v>1</v>
      </c>
      <c r="N409">
        <v>50</v>
      </c>
      <c r="O409">
        <v>1</v>
      </c>
      <c r="T409" t="str">
        <f t="shared" si="42"/>
        <v/>
      </c>
    </row>
    <row r="410" spans="1:20" x14ac:dyDescent="0.55000000000000004">
      <c r="A410">
        <v>3</v>
      </c>
      <c r="B410" s="15" t="str">
        <f t="shared" si="49"/>
        <v>3_1</v>
      </c>
      <c r="C410" s="20">
        <v>45776.6875</v>
      </c>
      <c r="D410" t="s">
        <v>175</v>
      </c>
      <c r="E410">
        <v>2</v>
      </c>
      <c r="F410" t="s">
        <v>127</v>
      </c>
      <c r="G410" t="str">
        <f t="shared" si="44"/>
        <v>Galaxias brevipinnis</v>
      </c>
      <c r="H410" t="str">
        <f t="shared" si="45"/>
        <v>Climbing_galaxias</v>
      </c>
      <c r="I410" t="str">
        <f t="shared" si="46"/>
        <v>Kōaro</v>
      </c>
      <c r="J410" t="str">
        <f t="shared" si="47"/>
        <v>Native</v>
      </c>
      <c r="K410" t="str">
        <f t="shared" si="48"/>
        <v>Yes</v>
      </c>
      <c r="L410">
        <v>1</v>
      </c>
      <c r="N410">
        <v>95</v>
      </c>
      <c r="O410">
        <v>6</v>
      </c>
      <c r="T410" t="str">
        <f t="shared" si="42"/>
        <v/>
      </c>
    </row>
    <row r="411" spans="1:20" x14ac:dyDescent="0.55000000000000004">
      <c r="A411">
        <v>3</v>
      </c>
      <c r="B411" s="15" t="str">
        <f t="shared" si="49"/>
        <v>3_1</v>
      </c>
      <c r="C411" s="20">
        <v>45776.6875</v>
      </c>
      <c r="D411" t="s">
        <v>175</v>
      </c>
      <c r="E411">
        <v>2</v>
      </c>
      <c r="F411" t="s">
        <v>127</v>
      </c>
      <c r="G411" t="str">
        <f t="shared" si="44"/>
        <v>Galaxias brevipinnis</v>
      </c>
      <c r="H411" t="str">
        <f t="shared" si="45"/>
        <v>Climbing_galaxias</v>
      </c>
      <c r="I411" t="str">
        <f t="shared" si="46"/>
        <v>Kōaro</v>
      </c>
      <c r="J411" t="str">
        <f t="shared" si="47"/>
        <v>Native</v>
      </c>
      <c r="K411" t="str">
        <f t="shared" si="48"/>
        <v>Yes</v>
      </c>
      <c r="L411">
        <v>1</v>
      </c>
      <c r="N411">
        <v>50</v>
      </c>
      <c r="O411">
        <v>1</v>
      </c>
      <c r="T411" t="str">
        <f t="shared" si="42"/>
        <v/>
      </c>
    </row>
    <row r="412" spans="1:20" x14ac:dyDescent="0.55000000000000004">
      <c r="A412">
        <v>3</v>
      </c>
      <c r="B412" s="15" t="str">
        <f t="shared" si="49"/>
        <v>3_1</v>
      </c>
      <c r="C412" s="20">
        <v>45776.6875</v>
      </c>
      <c r="D412" t="s">
        <v>175</v>
      </c>
      <c r="E412">
        <v>2</v>
      </c>
      <c r="F412" t="s">
        <v>127</v>
      </c>
      <c r="G412" t="str">
        <f t="shared" si="44"/>
        <v>Galaxias brevipinnis</v>
      </c>
      <c r="H412" t="str">
        <f t="shared" si="45"/>
        <v>Climbing_galaxias</v>
      </c>
      <c r="I412" t="str">
        <f t="shared" si="46"/>
        <v>Kōaro</v>
      </c>
      <c r="J412" t="str">
        <f t="shared" si="47"/>
        <v>Native</v>
      </c>
      <c r="K412" t="str">
        <f t="shared" si="48"/>
        <v>Yes</v>
      </c>
      <c r="L412">
        <v>1</v>
      </c>
      <c r="N412">
        <v>50</v>
      </c>
      <c r="O412">
        <v>1</v>
      </c>
      <c r="T412" t="str">
        <f t="shared" si="42"/>
        <v/>
      </c>
    </row>
    <row r="413" spans="1:20" x14ac:dyDescent="0.55000000000000004">
      <c r="A413">
        <v>3</v>
      </c>
      <c r="B413" s="15" t="str">
        <f t="shared" si="49"/>
        <v>3_1</v>
      </c>
      <c r="C413" s="20">
        <v>45776.6875</v>
      </c>
      <c r="D413" t="s">
        <v>175</v>
      </c>
      <c r="E413">
        <v>2</v>
      </c>
      <c r="F413" t="s">
        <v>127</v>
      </c>
      <c r="G413" t="str">
        <f t="shared" si="44"/>
        <v>Galaxias brevipinnis</v>
      </c>
      <c r="H413" t="str">
        <f t="shared" si="45"/>
        <v>Climbing_galaxias</v>
      </c>
      <c r="I413" t="str">
        <f t="shared" si="46"/>
        <v>Kōaro</v>
      </c>
      <c r="J413" t="str">
        <f t="shared" si="47"/>
        <v>Native</v>
      </c>
      <c r="K413" t="str">
        <f t="shared" si="48"/>
        <v>Yes</v>
      </c>
      <c r="L413">
        <v>1</v>
      </c>
      <c r="N413">
        <v>80</v>
      </c>
      <c r="O413">
        <v>3</v>
      </c>
      <c r="T413" t="str">
        <f t="shared" si="42"/>
        <v/>
      </c>
    </row>
    <row r="414" spans="1:20" x14ac:dyDescent="0.55000000000000004">
      <c r="A414">
        <v>3</v>
      </c>
      <c r="B414" s="15" t="str">
        <f t="shared" si="49"/>
        <v>3_1</v>
      </c>
      <c r="C414" s="20">
        <v>45776.6875</v>
      </c>
      <c r="D414" t="s">
        <v>175</v>
      </c>
      <c r="E414">
        <v>2</v>
      </c>
      <c r="F414" t="s">
        <v>127</v>
      </c>
      <c r="G414" t="str">
        <f t="shared" si="44"/>
        <v>Galaxias brevipinnis</v>
      </c>
      <c r="H414" t="str">
        <f t="shared" si="45"/>
        <v>Climbing_galaxias</v>
      </c>
      <c r="I414" t="str">
        <f t="shared" si="46"/>
        <v>Kōaro</v>
      </c>
      <c r="J414" t="str">
        <f t="shared" si="47"/>
        <v>Native</v>
      </c>
      <c r="K414" t="str">
        <f t="shared" si="48"/>
        <v>Yes</v>
      </c>
      <c r="L414">
        <v>1</v>
      </c>
      <c r="N414">
        <v>120</v>
      </c>
      <c r="O414">
        <v>15</v>
      </c>
      <c r="T414" t="str">
        <f t="shared" si="42"/>
        <v/>
      </c>
    </row>
    <row r="415" spans="1:20" x14ac:dyDescent="0.55000000000000004">
      <c r="A415">
        <v>3</v>
      </c>
      <c r="B415" s="15" t="str">
        <f t="shared" si="49"/>
        <v>3_1</v>
      </c>
      <c r="C415" s="20">
        <v>45776.6875</v>
      </c>
      <c r="D415" t="s">
        <v>175</v>
      </c>
      <c r="E415">
        <v>2</v>
      </c>
      <c r="F415" t="s">
        <v>127</v>
      </c>
      <c r="G415" t="str">
        <f t="shared" si="44"/>
        <v>Galaxias brevipinnis</v>
      </c>
      <c r="H415" t="str">
        <f t="shared" si="45"/>
        <v>Climbing_galaxias</v>
      </c>
      <c r="I415" t="str">
        <f t="shared" si="46"/>
        <v>Kōaro</v>
      </c>
      <c r="J415" t="str">
        <f t="shared" si="47"/>
        <v>Native</v>
      </c>
      <c r="K415" t="str">
        <f t="shared" si="48"/>
        <v>Yes</v>
      </c>
      <c r="L415">
        <v>1</v>
      </c>
      <c r="N415">
        <v>90</v>
      </c>
      <c r="O415">
        <v>4</v>
      </c>
      <c r="T415" t="str">
        <f t="shared" si="42"/>
        <v/>
      </c>
    </row>
    <row r="416" spans="1:20" x14ac:dyDescent="0.55000000000000004">
      <c r="A416">
        <v>3</v>
      </c>
      <c r="B416" s="15" t="str">
        <f t="shared" si="49"/>
        <v>3_1</v>
      </c>
      <c r="C416" s="20">
        <v>45776.6875</v>
      </c>
      <c r="D416" t="s">
        <v>175</v>
      </c>
      <c r="E416">
        <v>2</v>
      </c>
      <c r="F416" t="s">
        <v>127</v>
      </c>
      <c r="G416" t="str">
        <f t="shared" si="44"/>
        <v>Galaxias brevipinnis</v>
      </c>
      <c r="H416" t="str">
        <f t="shared" si="45"/>
        <v>Climbing_galaxias</v>
      </c>
      <c r="I416" t="str">
        <f t="shared" si="46"/>
        <v>Kōaro</v>
      </c>
      <c r="J416" t="str">
        <f t="shared" si="47"/>
        <v>Native</v>
      </c>
      <c r="K416" t="str">
        <f t="shared" si="48"/>
        <v>Yes</v>
      </c>
      <c r="L416">
        <v>1</v>
      </c>
      <c r="N416">
        <v>80</v>
      </c>
      <c r="O416">
        <v>3</v>
      </c>
      <c r="T416" t="str">
        <f t="shared" si="42"/>
        <v/>
      </c>
    </row>
    <row r="417" spans="1:21" x14ac:dyDescent="0.55000000000000004">
      <c r="A417">
        <v>3</v>
      </c>
      <c r="B417" s="15" t="str">
        <f t="shared" si="49"/>
        <v>3_1</v>
      </c>
      <c r="C417" s="20">
        <v>45776.6875</v>
      </c>
      <c r="D417" t="s">
        <v>175</v>
      </c>
      <c r="E417">
        <v>2</v>
      </c>
      <c r="F417" t="s">
        <v>127</v>
      </c>
      <c r="G417" t="str">
        <f t="shared" si="44"/>
        <v>Galaxias brevipinnis</v>
      </c>
      <c r="H417" t="str">
        <f t="shared" si="45"/>
        <v>Climbing_galaxias</v>
      </c>
      <c r="I417" t="str">
        <f t="shared" si="46"/>
        <v>Kōaro</v>
      </c>
      <c r="J417" t="str">
        <f t="shared" si="47"/>
        <v>Native</v>
      </c>
      <c r="K417" t="str">
        <f t="shared" si="48"/>
        <v>Yes</v>
      </c>
      <c r="L417">
        <v>1</v>
      </c>
      <c r="N417">
        <v>95</v>
      </c>
      <c r="O417">
        <v>6</v>
      </c>
      <c r="T417" t="str">
        <f t="shared" si="42"/>
        <v/>
      </c>
    </row>
    <row r="418" spans="1:21" x14ac:dyDescent="0.55000000000000004">
      <c r="A418">
        <v>3</v>
      </c>
      <c r="B418" s="15" t="str">
        <f t="shared" si="49"/>
        <v>3_1</v>
      </c>
      <c r="C418" s="20">
        <v>45776.6875</v>
      </c>
      <c r="D418" t="s">
        <v>175</v>
      </c>
      <c r="E418">
        <v>2</v>
      </c>
      <c r="F418" t="s">
        <v>127</v>
      </c>
      <c r="G418" t="str">
        <f t="shared" si="44"/>
        <v>Galaxias brevipinnis</v>
      </c>
      <c r="H418" t="str">
        <f t="shared" si="45"/>
        <v>Climbing_galaxias</v>
      </c>
      <c r="I418" t="str">
        <f t="shared" si="46"/>
        <v>Kōaro</v>
      </c>
      <c r="J418" t="str">
        <f t="shared" si="47"/>
        <v>Native</v>
      </c>
      <c r="K418" t="str">
        <f t="shared" si="48"/>
        <v>Yes</v>
      </c>
      <c r="L418">
        <v>1</v>
      </c>
      <c r="N418">
        <v>80</v>
      </c>
      <c r="O418">
        <v>2</v>
      </c>
      <c r="T418" t="str">
        <f t="shared" si="42"/>
        <v/>
      </c>
    </row>
    <row r="419" spans="1:21" x14ac:dyDescent="0.55000000000000004">
      <c r="A419">
        <v>3</v>
      </c>
      <c r="B419" s="15" t="str">
        <f t="shared" si="49"/>
        <v>3_1</v>
      </c>
      <c r="C419" s="20">
        <v>45776.6875</v>
      </c>
      <c r="D419" t="s">
        <v>175</v>
      </c>
      <c r="E419">
        <v>2</v>
      </c>
      <c r="F419" t="s">
        <v>127</v>
      </c>
      <c r="G419" t="str">
        <f t="shared" si="44"/>
        <v>Galaxias brevipinnis</v>
      </c>
      <c r="H419" t="str">
        <f t="shared" si="45"/>
        <v>Climbing_galaxias</v>
      </c>
      <c r="I419" t="str">
        <f t="shared" si="46"/>
        <v>Kōaro</v>
      </c>
      <c r="J419" t="str">
        <f t="shared" si="47"/>
        <v>Native</v>
      </c>
      <c r="K419" t="str">
        <f t="shared" si="48"/>
        <v>Yes</v>
      </c>
      <c r="L419">
        <v>1</v>
      </c>
      <c r="N419">
        <v>80</v>
      </c>
      <c r="O419">
        <v>4</v>
      </c>
      <c r="T419" t="str">
        <f t="shared" si="42"/>
        <v/>
      </c>
    </row>
    <row r="420" spans="1:21" x14ac:dyDescent="0.55000000000000004">
      <c r="A420">
        <v>3</v>
      </c>
      <c r="B420" s="15" t="str">
        <f t="shared" si="49"/>
        <v>3_1</v>
      </c>
      <c r="C420" s="20">
        <v>45776.6875</v>
      </c>
      <c r="D420" t="s">
        <v>175</v>
      </c>
      <c r="E420">
        <v>2</v>
      </c>
      <c r="F420" t="s">
        <v>127</v>
      </c>
      <c r="G420" t="str">
        <f t="shared" si="44"/>
        <v>Galaxias brevipinnis</v>
      </c>
      <c r="H420" t="str">
        <f t="shared" si="45"/>
        <v>Climbing_galaxias</v>
      </c>
      <c r="I420" t="str">
        <f t="shared" si="46"/>
        <v>Kōaro</v>
      </c>
      <c r="J420" t="str">
        <f t="shared" si="47"/>
        <v>Native</v>
      </c>
      <c r="K420" t="str">
        <f t="shared" si="48"/>
        <v>Yes</v>
      </c>
      <c r="L420">
        <v>1</v>
      </c>
      <c r="N420">
        <v>110</v>
      </c>
      <c r="O420">
        <v>10</v>
      </c>
      <c r="T420" t="str">
        <f t="shared" si="42"/>
        <v/>
      </c>
    </row>
    <row r="421" spans="1:21" x14ac:dyDescent="0.55000000000000004">
      <c r="A421">
        <v>3</v>
      </c>
      <c r="B421" s="15" t="str">
        <f t="shared" si="49"/>
        <v>3_1</v>
      </c>
      <c r="C421" s="20">
        <v>45776.6875</v>
      </c>
      <c r="D421" t="s">
        <v>175</v>
      </c>
      <c r="E421">
        <v>2</v>
      </c>
      <c r="F421" t="s">
        <v>127</v>
      </c>
      <c r="G421" t="str">
        <f t="shared" si="44"/>
        <v>Galaxias brevipinnis</v>
      </c>
      <c r="H421" t="str">
        <f t="shared" si="45"/>
        <v>Climbing_galaxias</v>
      </c>
      <c r="I421" t="str">
        <f t="shared" si="46"/>
        <v>Kōaro</v>
      </c>
      <c r="J421" t="str">
        <f t="shared" si="47"/>
        <v>Native</v>
      </c>
      <c r="K421" t="str">
        <f t="shared" si="48"/>
        <v>Yes</v>
      </c>
      <c r="L421">
        <v>1</v>
      </c>
      <c r="N421">
        <v>90</v>
      </c>
      <c r="O421">
        <v>6</v>
      </c>
      <c r="T421" t="str">
        <f t="shared" si="42"/>
        <v/>
      </c>
    </row>
    <row r="422" spans="1:21" x14ac:dyDescent="0.55000000000000004">
      <c r="A422">
        <v>3</v>
      </c>
      <c r="B422" s="15" t="str">
        <f t="shared" si="49"/>
        <v>3_1</v>
      </c>
      <c r="C422" s="20">
        <v>45776.6875</v>
      </c>
      <c r="D422" t="s">
        <v>175</v>
      </c>
      <c r="E422">
        <v>2</v>
      </c>
      <c r="F422" t="s">
        <v>127</v>
      </c>
      <c r="G422" t="str">
        <f t="shared" si="44"/>
        <v>Galaxias brevipinnis</v>
      </c>
      <c r="H422" t="str">
        <f t="shared" si="45"/>
        <v>Climbing_galaxias</v>
      </c>
      <c r="I422" t="str">
        <f t="shared" si="46"/>
        <v>Kōaro</v>
      </c>
      <c r="J422" t="str">
        <f t="shared" si="47"/>
        <v>Native</v>
      </c>
      <c r="K422" t="str">
        <f t="shared" si="48"/>
        <v>Yes</v>
      </c>
      <c r="L422">
        <v>1</v>
      </c>
      <c r="N422">
        <v>80</v>
      </c>
      <c r="O422">
        <v>3</v>
      </c>
      <c r="T422" t="str">
        <f t="shared" si="42"/>
        <v/>
      </c>
    </row>
    <row r="423" spans="1:21" x14ac:dyDescent="0.55000000000000004">
      <c r="A423">
        <v>3</v>
      </c>
      <c r="B423" s="15" t="str">
        <f t="shared" si="49"/>
        <v>3_1</v>
      </c>
      <c r="C423" s="20">
        <v>45776.6875</v>
      </c>
      <c r="D423" t="s">
        <v>175</v>
      </c>
      <c r="E423">
        <v>2</v>
      </c>
      <c r="F423" t="s">
        <v>133</v>
      </c>
      <c r="G423" t="str">
        <f t="shared" si="44"/>
        <v>Retropinna retropinna</v>
      </c>
      <c r="H423" t="str">
        <f t="shared" si="45"/>
        <v>Common_smelt</v>
      </c>
      <c r="I423" t="str">
        <f t="shared" si="46"/>
        <v>Common_smelt</v>
      </c>
      <c r="J423" t="str">
        <f t="shared" si="47"/>
        <v>Native</v>
      </c>
      <c r="K423" t="str">
        <f t="shared" si="48"/>
        <v>No</v>
      </c>
      <c r="L423">
        <v>20</v>
      </c>
      <c r="T423" t="str">
        <f t="shared" si="42"/>
        <v/>
      </c>
    </row>
    <row r="424" spans="1:21" x14ac:dyDescent="0.55000000000000004">
      <c r="A424">
        <v>3</v>
      </c>
      <c r="B424" s="15" t="str">
        <f t="shared" si="49"/>
        <v>3_1</v>
      </c>
      <c r="C424" s="20">
        <v>45776.6875</v>
      </c>
      <c r="D424" t="s">
        <v>175</v>
      </c>
      <c r="E424">
        <v>2</v>
      </c>
      <c r="F424" t="s">
        <v>135</v>
      </c>
      <c r="G424" t="str">
        <f t="shared" si="44"/>
        <v>Gobiomorphus cotidianus</v>
      </c>
      <c r="H424" t="str">
        <f t="shared" si="45"/>
        <v>Common_bully</v>
      </c>
      <c r="I424" t="str">
        <f t="shared" si="46"/>
        <v>Toitoi</v>
      </c>
      <c r="J424" t="str">
        <f t="shared" si="47"/>
        <v>Native</v>
      </c>
      <c r="K424" t="str">
        <f t="shared" si="48"/>
        <v>No</v>
      </c>
      <c r="O424">
        <v>543</v>
      </c>
      <c r="S424">
        <v>2.5</v>
      </c>
      <c r="T424">
        <f t="shared" si="42"/>
        <v>591.47</v>
      </c>
    </row>
    <row r="425" spans="1:21" x14ac:dyDescent="0.55000000000000004">
      <c r="A425">
        <v>3</v>
      </c>
      <c r="B425" s="15" t="str">
        <f t="shared" si="49"/>
        <v>3_1</v>
      </c>
      <c r="C425" s="20">
        <v>45776.6875</v>
      </c>
      <c r="D425" t="s">
        <v>175</v>
      </c>
      <c r="E425">
        <v>2</v>
      </c>
      <c r="F425" t="s">
        <v>127</v>
      </c>
      <c r="G425" t="str">
        <f t="shared" si="44"/>
        <v>Galaxias brevipinnis</v>
      </c>
      <c r="H425" t="str">
        <f t="shared" si="45"/>
        <v>Climbing_galaxias</v>
      </c>
      <c r="I425" t="str">
        <f t="shared" si="46"/>
        <v>Kōaro</v>
      </c>
      <c r="J425" t="str">
        <f t="shared" si="47"/>
        <v>Native</v>
      </c>
      <c r="K425" t="str">
        <f t="shared" si="48"/>
        <v>Yes</v>
      </c>
      <c r="L425">
        <v>1</v>
      </c>
      <c r="N425">
        <v>85</v>
      </c>
      <c r="O425">
        <v>3</v>
      </c>
      <c r="T425" t="str">
        <f t="shared" si="42"/>
        <v/>
      </c>
    </row>
    <row r="426" spans="1:21" x14ac:dyDescent="0.55000000000000004">
      <c r="A426">
        <v>3</v>
      </c>
      <c r="B426" s="15" t="str">
        <f t="shared" si="49"/>
        <v>3_1</v>
      </c>
      <c r="C426" s="20">
        <v>45776.6875</v>
      </c>
      <c r="D426" t="s">
        <v>175</v>
      </c>
      <c r="E426">
        <v>2</v>
      </c>
      <c r="F426" t="s">
        <v>127</v>
      </c>
      <c r="G426" t="str">
        <f t="shared" si="44"/>
        <v>Galaxias brevipinnis</v>
      </c>
      <c r="H426" t="str">
        <f t="shared" si="45"/>
        <v>Climbing_galaxias</v>
      </c>
      <c r="I426" t="str">
        <f t="shared" si="46"/>
        <v>Kōaro</v>
      </c>
      <c r="J426" t="str">
        <f t="shared" si="47"/>
        <v>Native</v>
      </c>
      <c r="K426" t="str">
        <f t="shared" si="48"/>
        <v>Yes</v>
      </c>
      <c r="L426">
        <v>1</v>
      </c>
      <c r="N426">
        <v>70</v>
      </c>
      <c r="O426">
        <v>3</v>
      </c>
      <c r="T426" t="str">
        <f t="shared" si="42"/>
        <v/>
      </c>
    </row>
    <row r="427" spans="1:21" x14ac:dyDescent="0.55000000000000004">
      <c r="A427">
        <v>3</v>
      </c>
      <c r="B427" s="15" t="str">
        <f t="shared" si="49"/>
        <v>3_1</v>
      </c>
      <c r="C427" s="20">
        <v>45776.6875</v>
      </c>
      <c r="D427" t="s">
        <v>175</v>
      </c>
      <c r="E427">
        <v>2</v>
      </c>
      <c r="F427" t="s">
        <v>127</v>
      </c>
      <c r="G427" t="str">
        <f t="shared" si="44"/>
        <v>Galaxias brevipinnis</v>
      </c>
      <c r="H427" t="str">
        <f t="shared" si="45"/>
        <v>Climbing_galaxias</v>
      </c>
      <c r="I427" t="str">
        <f t="shared" si="46"/>
        <v>Kōaro</v>
      </c>
      <c r="J427" t="str">
        <f t="shared" si="47"/>
        <v>Native</v>
      </c>
      <c r="K427" t="str">
        <f t="shared" si="48"/>
        <v>Yes</v>
      </c>
      <c r="L427">
        <v>1</v>
      </c>
      <c r="N427">
        <v>80</v>
      </c>
      <c r="O427">
        <v>6</v>
      </c>
      <c r="T427" t="str">
        <f t="shared" si="42"/>
        <v/>
      </c>
    </row>
    <row r="428" spans="1:21" x14ac:dyDescent="0.55000000000000004">
      <c r="A428">
        <v>3</v>
      </c>
      <c r="B428" s="15" t="str">
        <f t="shared" si="49"/>
        <v>3_1</v>
      </c>
      <c r="C428" s="20">
        <v>45776.6875</v>
      </c>
      <c r="D428" t="s">
        <v>175</v>
      </c>
      <c r="E428">
        <v>2</v>
      </c>
      <c r="F428" t="s">
        <v>135</v>
      </c>
      <c r="G428" t="str">
        <f t="shared" si="44"/>
        <v>Gobiomorphus cotidianus</v>
      </c>
      <c r="H428" t="str">
        <f t="shared" si="45"/>
        <v>Common_bully</v>
      </c>
      <c r="I428" t="str">
        <f t="shared" si="46"/>
        <v>Toitoi</v>
      </c>
      <c r="J428" t="str">
        <f t="shared" si="47"/>
        <v>Native</v>
      </c>
      <c r="K428" t="str">
        <f t="shared" si="48"/>
        <v>No</v>
      </c>
      <c r="O428">
        <v>383</v>
      </c>
      <c r="S428">
        <v>2</v>
      </c>
      <c r="T428">
        <f t="shared" si="42"/>
        <v>473.17599999999999</v>
      </c>
    </row>
    <row r="429" spans="1:21" x14ac:dyDescent="0.55000000000000004">
      <c r="A429">
        <v>3</v>
      </c>
      <c r="B429" s="15" t="str">
        <f t="shared" si="49"/>
        <v>3_1</v>
      </c>
      <c r="C429" s="20">
        <v>45776.6875</v>
      </c>
      <c r="D429" t="s">
        <v>175</v>
      </c>
      <c r="E429">
        <v>2</v>
      </c>
      <c r="F429" t="s">
        <v>133</v>
      </c>
      <c r="G429" t="str">
        <f t="shared" si="44"/>
        <v>Retropinna retropinna</v>
      </c>
      <c r="H429" t="str">
        <f t="shared" si="45"/>
        <v>Common_smelt</v>
      </c>
      <c r="I429" t="str">
        <f t="shared" si="46"/>
        <v>Common_smelt</v>
      </c>
      <c r="J429" t="str">
        <f t="shared" si="47"/>
        <v>Native</v>
      </c>
      <c r="K429" t="str">
        <f t="shared" si="48"/>
        <v>No</v>
      </c>
      <c r="L429">
        <v>20</v>
      </c>
      <c r="T429" t="str">
        <f t="shared" si="42"/>
        <v/>
      </c>
    </row>
    <row r="430" spans="1:21" x14ac:dyDescent="0.55000000000000004">
      <c r="A430">
        <v>3</v>
      </c>
      <c r="B430" s="15" t="str">
        <f t="shared" si="49"/>
        <v>3_1</v>
      </c>
      <c r="C430" s="20">
        <v>45776.6875</v>
      </c>
      <c r="D430" t="s">
        <v>175</v>
      </c>
      <c r="E430">
        <v>2</v>
      </c>
      <c r="F430" t="s">
        <v>115</v>
      </c>
      <c r="G430" t="str">
        <f t="shared" si="44"/>
        <v>Paranephrops planifrons</v>
      </c>
      <c r="H430" t="str">
        <f t="shared" si="45"/>
        <v>Freshwater_crayfish</v>
      </c>
      <c r="I430" t="str">
        <f t="shared" si="46"/>
        <v>Kōura</v>
      </c>
      <c r="J430" t="str">
        <f t="shared" si="47"/>
        <v>Native</v>
      </c>
      <c r="K430" t="str">
        <f t="shared" si="48"/>
        <v>Yes</v>
      </c>
      <c r="L430">
        <v>1</v>
      </c>
      <c r="M430" t="s">
        <v>177</v>
      </c>
      <c r="N430">
        <v>26</v>
      </c>
      <c r="O430">
        <v>12</v>
      </c>
      <c r="T430" t="str">
        <f t="shared" si="42"/>
        <v/>
      </c>
    </row>
    <row r="431" spans="1:21" x14ac:dyDescent="0.55000000000000004">
      <c r="A431">
        <v>3</v>
      </c>
      <c r="B431" s="15" t="str">
        <f t="shared" si="49"/>
        <v>3_1</v>
      </c>
      <c r="C431" s="20">
        <v>45776.6875</v>
      </c>
      <c r="D431" t="s">
        <v>175</v>
      </c>
      <c r="E431">
        <v>2</v>
      </c>
      <c r="F431" t="s">
        <v>115</v>
      </c>
      <c r="G431" t="str">
        <f t="shared" si="44"/>
        <v>Paranephrops planifrons</v>
      </c>
      <c r="H431" t="str">
        <f t="shared" si="45"/>
        <v>Freshwater_crayfish</v>
      </c>
      <c r="I431" t="str">
        <f t="shared" si="46"/>
        <v>Kōura</v>
      </c>
      <c r="J431" t="str">
        <f t="shared" si="47"/>
        <v>Native</v>
      </c>
      <c r="K431" t="str">
        <f t="shared" si="48"/>
        <v>Yes</v>
      </c>
      <c r="L431">
        <v>1</v>
      </c>
      <c r="M431" t="s">
        <v>177</v>
      </c>
      <c r="N431">
        <v>29</v>
      </c>
      <c r="O431">
        <v>13</v>
      </c>
      <c r="T431" t="str">
        <f t="shared" si="42"/>
        <v/>
      </c>
    </row>
    <row r="432" spans="1:21" x14ac:dyDescent="0.55000000000000004">
      <c r="A432">
        <v>3</v>
      </c>
      <c r="B432" s="15" t="str">
        <f t="shared" si="49"/>
        <v>3_1</v>
      </c>
      <c r="C432" s="20">
        <v>45776.6875</v>
      </c>
      <c r="D432" t="s">
        <v>175</v>
      </c>
      <c r="E432">
        <v>2</v>
      </c>
      <c r="F432" t="s">
        <v>115</v>
      </c>
      <c r="G432" t="str">
        <f t="shared" si="44"/>
        <v>Paranephrops planifrons</v>
      </c>
      <c r="H432" t="str">
        <f t="shared" si="45"/>
        <v>Freshwater_crayfish</v>
      </c>
      <c r="I432" t="str">
        <f t="shared" si="46"/>
        <v>Kōura</v>
      </c>
      <c r="J432" t="str">
        <f t="shared" si="47"/>
        <v>Native</v>
      </c>
      <c r="K432" t="str">
        <f t="shared" si="48"/>
        <v>Yes</v>
      </c>
      <c r="L432">
        <v>1</v>
      </c>
      <c r="M432" t="s">
        <v>177</v>
      </c>
      <c r="N432">
        <v>35</v>
      </c>
      <c r="O432">
        <v>42</v>
      </c>
      <c r="T432" t="str">
        <f t="shared" si="42"/>
        <v/>
      </c>
      <c r="U432" t="s">
        <v>249</v>
      </c>
    </row>
    <row r="433" spans="1:20" x14ac:dyDescent="0.55000000000000004">
      <c r="A433">
        <v>3</v>
      </c>
      <c r="B433" s="15" t="str">
        <f t="shared" si="49"/>
        <v>3_1</v>
      </c>
      <c r="C433" s="20">
        <v>45776.6875</v>
      </c>
      <c r="D433" t="s">
        <v>175</v>
      </c>
      <c r="E433">
        <v>2</v>
      </c>
      <c r="F433" t="s">
        <v>115</v>
      </c>
      <c r="G433" t="str">
        <f t="shared" si="44"/>
        <v>Paranephrops planifrons</v>
      </c>
      <c r="H433" t="str">
        <f t="shared" si="45"/>
        <v>Freshwater_crayfish</v>
      </c>
      <c r="I433" t="str">
        <f t="shared" si="46"/>
        <v>Kōura</v>
      </c>
      <c r="J433" t="str">
        <f t="shared" si="47"/>
        <v>Native</v>
      </c>
      <c r="K433" t="str">
        <f t="shared" si="48"/>
        <v>Yes</v>
      </c>
      <c r="L433">
        <v>1</v>
      </c>
      <c r="M433" t="s">
        <v>176</v>
      </c>
      <c r="N433">
        <v>29</v>
      </c>
      <c r="O433">
        <v>21</v>
      </c>
      <c r="T433" t="str">
        <f t="shared" si="42"/>
        <v/>
      </c>
    </row>
    <row r="434" spans="1:20" x14ac:dyDescent="0.55000000000000004">
      <c r="A434">
        <v>3</v>
      </c>
      <c r="B434" s="15" t="str">
        <f t="shared" si="49"/>
        <v>3_1</v>
      </c>
      <c r="C434" s="20">
        <v>45776.6875</v>
      </c>
      <c r="D434" t="s">
        <v>175</v>
      </c>
      <c r="E434">
        <v>2</v>
      </c>
      <c r="F434" t="s">
        <v>127</v>
      </c>
      <c r="G434" t="str">
        <f t="shared" si="44"/>
        <v>Galaxias brevipinnis</v>
      </c>
      <c r="H434" t="str">
        <f t="shared" si="45"/>
        <v>Climbing_galaxias</v>
      </c>
      <c r="I434" t="str">
        <f t="shared" si="46"/>
        <v>Kōaro</v>
      </c>
      <c r="J434" t="str">
        <f t="shared" si="47"/>
        <v>Native</v>
      </c>
      <c r="K434" t="str">
        <f t="shared" si="48"/>
        <v>Yes</v>
      </c>
      <c r="L434">
        <v>1</v>
      </c>
      <c r="N434">
        <v>110</v>
      </c>
      <c r="O434">
        <v>15</v>
      </c>
      <c r="T434" t="str">
        <f t="shared" si="42"/>
        <v/>
      </c>
    </row>
    <row r="435" spans="1:20" x14ac:dyDescent="0.55000000000000004">
      <c r="A435">
        <v>3</v>
      </c>
      <c r="B435" s="15" t="str">
        <f t="shared" si="49"/>
        <v>3_1</v>
      </c>
      <c r="C435" s="20">
        <v>45776.6875</v>
      </c>
      <c r="D435" t="s">
        <v>175</v>
      </c>
      <c r="E435">
        <v>2</v>
      </c>
      <c r="F435" t="s">
        <v>127</v>
      </c>
      <c r="G435" t="str">
        <f t="shared" si="44"/>
        <v>Galaxias brevipinnis</v>
      </c>
      <c r="H435" t="str">
        <f t="shared" si="45"/>
        <v>Climbing_galaxias</v>
      </c>
      <c r="I435" t="str">
        <f t="shared" si="46"/>
        <v>Kōaro</v>
      </c>
      <c r="J435" t="str">
        <f t="shared" si="47"/>
        <v>Native</v>
      </c>
      <c r="K435" t="str">
        <f t="shared" si="48"/>
        <v>Yes</v>
      </c>
      <c r="L435">
        <v>1</v>
      </c>
      <c r="N435">
        <v>90</v>
      </c>
      <c r="O435">
        <v>7</v>
      </c>
      <c r="T435" t="str">
        <f t="shared" si="42"/>
        <v/>
      </c>
    </row>
    <row r="436" spans="1:20" x14ac:dyDescent="0.55000000000000004">
      <c r="A436">
        <v>3</v>
      </c>
      <c r="B436" s="15" t="str">
        <f t="shared" si="49"/>
        <v>3_1</v>
      </c>
      <c r="C436" s="20">
        <v>45776.6875</v>
      </c>
      <c r="D436" t="s">
        <v>175</v>
      </c>
      <c r="E436">
        <v>2</v>
      </c>
      <c r="F436" t="s">
        <v>127</v>
      </c>
      <c r="G436" t="str">
        <f t="shared" si="44"/>
        <v>Galaxias brevipinnis</v>
      </c>
      <c r="H436" t="str">
        <f t="shared" si="45"/>
        <v>Climbing_galaxias</v>
      </c>
      <c r="I436" t="str">
        <f t="shared" si="46"/>
        <v>Kōaro</v>
      </c>
      <c r="J436" t="str">
        <f t="shared" si="47"/>
        <v>Native</v>
      </c>
      <c r="K436" t="str">
        <f t="shared" si="48"/>
        <v>Yes</v>
      </c>
      <c r="L436">
        <v>1</v>
      </c>
      <c r="N436">
        <v>70</v>
      </c>
      <c r="O436">
        <v>2</v>
      </c>
      <c r="T436" t="str">
        <f t="shared" si="42"/>
        <v/>
      </c>
    </row>
    <row r="437" spans="1:20" x14ac:dyDescent="0.55000000000000004">
      <c r="A437">
        <v>3</v>
      </c>
      <c r="B437" s="15" t="str">
        <f t="shared" si="49"/>
        <v>3_1</v>
      </c>
      <c r="C437" s="20">
        <v>45776.6875</v>
      </c>
      <c r="D437" t="s">
        <v>175</v>
      </c>
      <c r="E437">
        <v>2</v>
      </c>
      <c r="F437" t="s">
        <v>127</v>
      </c>
      <c r="G437" t="str">
        <f t="shared" si="44"/>
        <v>Galaxias brevipinnis</v>
      </c>
      <c r="H437" t="str">
        <f t="shared" si="45"/>
        <v>Climbing_galaxias</v>
      </c>
      <c r="I437" t="str">
        <f t="shared" si="46"/>
        <v>Kōaro</v>
      </c>
      <c r="J437" t="str">
        <f t="shared" si="47"/>
        <v>Native</v>
      </c>
      <c r="K437" t="str">
        <f t="shared" si="48"/>
        <v>Yes</v>
      </c>
      <c r="L437">
        <v>1</v>
      </c>
      <c r="N437">
        <v>110</v>
      </c>
      <c r="O437">
        <v>13</v>
      </c>
      <c r="T437" t="str">
        <f t="shared" si="42"/>
        <v/>
      </c>
    </row>
    <row r="438" spans="1:20" x14ac:dyDescent="0.55000000000000004">
      <c r="A438">
        <v>3</v>
      </c>
      <c r="B438" s="15" t="str">
        <f t="shared" si="49"/>
        <v>3_1</v>
      </c>
      <c r="C438" s="20">
        <v>45776.6875</v>
      </c>
      <c r="D438" t="s">
        <v>175</v>
      </c>
      <c r="E438">
        <v>2</v>
      </c>
      <c r="F438" t="s">
        <v>127</v>
      </c>
      <c r="G438" t="str">
        <f t="shared" si="44"/>
        <v>Galaxias brevipinnis</v>
      </c>
      <c r="H438" t="str">
        <f t="shared" si="45"/>
        <v>Climbing_galaxias</v>
      </c>
      <c r="I438" t="str">
        <f t="shared" si="46"/>
        <v>Kōaro</v>
      </c>
      <c r="J438" t="str">
        <f t="shared" si="47"/>
        <v>Native</v>
      </c>
      <c r="K438" t="str">
        <f t="shared" si="48"/>
        <v>Yes</v>
      </c>
      <c r="L438">
        <v>1</v>
      </c>
      <c r="N438">
        <v>80</v>
      </c>
      <c r="O438">
        <v>3</v>
      </c>
      <c r="T438" t="str">
        <f t="shared" si="42"/>
        <v/>
      </c>
    </row>
    <row r="439" spans="1:20" x14ac:dyDescent="0.55000000000000004">
      <c r="A439">
        <v>3</v>
      </c>
      <c r="B439" s="15" t="str">
        <f t="shared" si="49"/>
        <v>3_1</v>
      </c>
      <c r="C439" s="20">
        <v>45776.6875</v>
      </c>
      <c r="D439" t="s">
        <v>175</v>
      </c>
      <c r="E439">
        <v>2</v>
      </c>
      <c r="F439" t="s">
        <v>127</v>
      </c>
      <c r="G439" t="str">
        <f t="shared" si="44"/>
        <v>Galaxias brevipinnis</v>
      </c>
      <c r="H439" t="str">
        <f t="shared" si="45"/>
        <v>Climbing_galaxias</v>
      </c>
      <c r="I439" t="str">
        <f t="shared" si="46"/>
        <v>Kōaro</v>
      </c>
      <c r="J439" t="str">
        <f t="shared" si="47"/>
        <v>Native</v>
      </c>
      <c r="K439" t="str">
        <f t="shared" si="48"/>
        <v>Yes</v>
      </c>
      <c r="L439">
        <v>1</v>
      </c>
      <c r="N439">
        <v>150</v>
      </c>
      <c r="O439">
        <v>26</v>
      </c>
      <c r="T439" t="str">
        <f t="shared" si="42"/>
        <v/>
      </c>
    </row>
    <row r="440" spans="1:20" x14ac:dyDescent="0.55000000000000004">
      <c r="A440">
        <v>3</v>
      </c>
      <c r="B440" s="15" t="str">
        <f t="shared" si="49"/>
        <v>3_1</v>
      </c>
      <c r="C440" s="20">
        <v>45776.6875</v>
      </c>
      <c r="D440" t="s">
        <v>175</v>
      </c>
      <c r="E440">
        <v>2</v>
      </c>
      <c r="F440" t="s">
        <v>127</v>
      </c>
      <c r="G440" t="str">
        <f t="shared" si="44"/>
        <v>Galaxias brevipinnis</v>
      </c>
      <c r="H440" t="str">
        <f t="shared" si="45"/>
        <v>Climbing_galaxias</v>
      </c>
      <c r="I440" t="str">
        <f t="shared" si="46"/>
        <v>Kōaro</v>
      </c>
      <c r="J440" t="str">
        <f t="shared" si="47"/>
        <v>Native</v>
      </c>
      <c r="K440" t="str">
        <f t="shared" si="48"/>
        <v>Yes</v>
      </c>
      <c r="L440">
        <v>1</v>
      </c>
      <c r="N440">
        <v>100</v>
      </c>
      <c r="O440">
        <v>7</v>
      </c>
      <c r="T440" t="str">
        <f t="shared" ref="T440:T503" si="50">IF(S440&lt;&gt;"", S440*236.588, "")</f>
        <v/>
      </c>
    </row>
    <row r="441" spans="1:20" x14ac:dyDescent="0.55000000000000004">
      <c r="A441">
        <v>3</v>
      </c>
      <c r="B441" s="15" t="str">
        <f t="shared" si="49"/>
        <v>3_1</v>
      </c>
      <c r="C441" s="20">
        <v>45776.6875</v>
      </c>
      <c r="D441" t="s">
        <v>175</v>
      </c>
      <c r="E441">
        <v>2</v>
      </c>
      <c r="F441" t="s">
        <v>127</v>
      </c>
      <c r="G441" t="str">
        <f t="shared" si="44"/>
        <v>Galaxias brevipinnis</v>
      </c>
      <c r="H441" t="str">
        <f t="shared" si="45"/>
        <v>Climbing_galaxias</v>
      </c>
      <c r="I441" t="str">
        <f t="shared" si="46"/>
        <v>Kōaro</v>
      </c>
      <c r="J441" t="str">
        <f t="shared" si="47"/>
        <v>Native</v>
      </c>
      <c r="K441" t="str">
        <f t="shared" si="48"/>
        <v>Yes</v>
      </c>
      <c r="L441">
        <v>1</v>
      </c>
      <c r="N441">
        <v>80</v>
      </c>
      <c r="O441">
        <v>5</v>
      </c>
      <c r="T441" t="str">
        <f t="shared" si="50"/>
        <v/>
      </c>
    </row>
    <row r="442" spans="1:20" x14ac:dyDescent="0.55000000000000004">
      <c r="A442">
        <v>3</v>
      </c>
      <c r="B442" s="15" t="str">
        <f t="shared" si="49"/>
        <v>3_1</v>
      </c>
      <c r="C442" s="20">
        <v>45776.6875</v>
      </c>
      <c r="D442" t="s">
        <v>175</v>
      </c>
      <c r="E442">
        <v>2</v>
      </c>
      <c r="F442" t="s">
        <v>127</v>
      </c>
      <c r="G442" t="str">
        <f t="shared" si="44"/>
        <v>Galaxias brevipinnis</v>
      </c>
      <c r="H442" t="str">
        <f t="shared" si="45"/>
        <v>Climbing_galaxias</v>
      </c>
      <c r="I442" t="str">
        <f t="shared" si="46"/>
        <v>Kōaro</v>
      </c>
      <c r="J442" t="str">
        <f t="shared" si="47"/>
        <v>Native</v>
      </c>
      <c r="K442" t="str">
        <f t="shared" si="48"/>
        <v>Yes</v>
      </c>
      <c r="L442">
        <v>1</v>
      </c>
      <c r="N442">
        <v>120</v>
      </c>
      <c r="O442">
        <v>16</v>
      </c>
      <c r="T442" t="str">
        <f t="shared" si="50"/>
        <v/>
      </c>
    </row>
    <row r="443" spans="1:20" x14ac:dyDescent="0.55000000000000004">
      <c r="A443">
        <v>3</v>
      </c>
      <c r="B443" s="15" t="str">
        <f t="shared" si="49"/>
        <v>3_1</v>
      </c>
      <c r="C443" s="20">
        <v>45776.6875</v>
      </c>
      <c r="D443" t="s">
        <v>175</v>
      </c>
      <c r="E443">
        <v>2</v>
      </c>
      <c r="F443" t="s">
        <v>127</v>
      </c>
      <c r="G443" t="str">
        <f t="shared" si="44"/>
        <v>Galaxias brevipinnis</v>
      </c>
      <c r="H443" t="str">
        <f t="shared" si="45"/>
        <v>Climbing_galaxias</v>
      </c>
      <c r="I443" t="str">
        <f t="shared" si="46"/>
        <v>Kōaro</v>
      </c>
      <c r="J443" t="str">
        <f t="shared" si="47"/>
        <v>Native</v>
      </c>
      <c r="K443" t="str">
        <f t="shared" si="48"/>
        <v>Yes</v>
      </c>
      <c r="L443">
        <v>1</v>
      </c>
      <c r="N443">
        <v>100</v>
      </c>
      <c r="O443">
        <v>19</v>
      </c>
      <c r="T443" t="str">
        <f t="shared" si="50"/>
        <v/>
      </c>
    </row>
    <row r="444" spans="1:20" x14ac:dyDescent="0.55000000000000004">
      <c r="A444">
        <v>3</v>
      </c>
      <c r="B444" s="15" t="str">
        <f t="shared" si="49"/>
        <v>3_1</v>
      </c>
      <c r="C444" s="20">
        <v>45776.6875</v>
      </c>
      <c r="D444" t="s">
        <v>175</v>
      </c>
      <c r="E444">
        <v>2</v>
      </c>
      <c r="F444" t="s">
        <v>127</v>
      </c>
      <c r="G444" t="str">
        <f t="shared" si="44"/>
        <v>Galaxias brevipinnis</v>
      </c>
      <c r="H444" t="str">
        <f t="shared" si="45"/>
        <v>Climbing_galaxias</v>
      </c>
      <c r="I444" t="str">
        <f t="shared" si="46"/>
        <v>Kōaro</v>
      </c>
      <c r="J444" t="str">
        <f t="shared" si="47"/>
        <v>Native</v>
      </c>
      <c r="K444" t="str">
        <f t="shared" si="48"/>
        <v>Yes</v>
      </c>
      <c r="L444">
        <v>1</v>
      </c>
      <c r="N444">
        <v>80</v>
      </c>
      <c r="O444">
        <v>4</v>
      </c>
      <c r="T444" t="str">
        <f t="shared" si="50"/>
        <v/>
      </c>
    </row>
    <row r="445" spans="1:20" x14ac:dyDescent="0.55000000000000004">
      <c r="A445">
        <v>3</v>
      </c>
      <c r="B445" s="15" t="str">
        <f t="shared" si="49"/>
        <v>3_1</v>
      </c>
      <c r="C445" s="20">
        <v>45776.6875</v>
      </c>
      <c r="D445" t="s">
        <v>175</v>
      </c>
      <c r="E445">
        <v>2</v>
      </c>
      <c r="F445" t="s">
        <v>124</v>
      </c>
      <c r="G445" t="str">
        <f t="shared" si="44"/>
        <v>Carassius auratus</v>
      </c>
      <c r="H445" t="str">
        <f t="shared" si="45"/>
        <v>Goldfish</v>
      </c>
      <c r="I445" t="str">
        <f t="shared" si="46"/>
        <v>Morihana</v>
      </c>
      <c r="J445" t="str">
        <f t="shared" si="47"/>
        <v>Nonnative</v>
      </c>
      <c r="K445" t="str">
        <f t="shared" si="48"/>
        <v>No</v>
      </c>
      <c r="L445">
        <v>1</v>
      </c>
      <c r="N445">
        <v>100</v>
      </c>
      <c r="O445">
        <v>9</v>
      </c>
      <c r="T445" t="str">
        <f t="shared" si="50"/>
        <v/>
      </c>
    </row>
    <row r="446" spans="1:20" x14ac:dyDescent="0.55000000000000004">
      <c r="A446">
        <v>3</v>
      </c>
      <c r="B446" s="15" t="str">
        <f t="shared" si="49"/>
        <v>3_1</v>
      </c>
      <c r="C446" s="20">
        <v>45776.6875</v>
      </c>
      <c r="D446" t="s">
        <v>175</v>
      </c>
      <c r="E446">
        <v>2</v>
      </c>
      <c r="F446" t="s">
        <v>127</v>
      </c>
      <c r="G446" t="str">
        <f t="shared" si="44"/>
        <v>Galaxias brevipinnis</v>
      </c>
      <c r="H446" t="str">
        <f t="shared" si="45"/>
        <v>Climbing_galaxias</v>
      </c>
      <c r="I446" t="str">
        <f t="shared" si="46"/>
        <v>Kōaro</v>
      </c>
      <c r="J446" t="str">
        <f t="shared" si="47"/>
        <v>Native</v>
      </c>
      <c r="K446" t="str">
        <f t="shared" si="48"/>
        <v>Yes</v>
      </c>
      <c r="L446">
        <v>1</v>
      </c>
      <c r="N446">
        <v>90</v>
      </c>
      <c r="O446">
        <v>7</v>
      </c>
      <c r="T446" t="str">
        <f t="shared" si="50"/>
        <v/>
      </c>
    </row>
    <row r="447" spans="1:20" x14ac:dyDescent="0.55000000000000004">
      <c r="A447">
        <v>3</v>
      </c>
      <c r="B447" s="15" t="str">
        <f t="shared" si="49"/>
        <v>3_1</v>
      </c>
      <c r="C447" s="20">
        <v>45776.6875</v>
      </c>
      <c r="D447" t="s">
        <v>175</v>
      </c>
      <c r="E447">
        <v>2</v>
      </c>
      <c r="F447" t="s">
        <v>127</v>
      </c>
      <c r="G447" t="str">
        <f t="shared" si="44"/>
        <v>Galaxias brevipinnis</v>
      </c>
      <c r="H447" t="str">
        <f t="shared" si="45"/>
        <v>Climbing_galaxias</v>
      </c>
      <c r="I447" t="str">
        <f t="shared" si="46"/>
        <v>Kōaro</v>
      </c>
      <c r="J447" t="str">
        <f t="shared" si="47"/>
        <v>Native</v>
      </c>
      <c r="K447" t="str">
        <f t="shared" si="48"/>
        <v>Yes</v>
      </c>
      <c r="L447">
        <v>1</v>
      </c>
      <c r="N447">
        <v>80</v>
      </c>
      <c r="O447">
        <v>5</v>
      </c>
      <c r="T447" t="str">
        <f t="shared" si="50"/>
        <v/>
      </c>
    </row>
    <row r="448" spans="1:20" x14ac:dyDescent="0.55000000000000004">
      <c r="A448">
        <v>3</v>
      </c>
      <c r="B448" s="15" t="str">
        <f t="shared" si="49"/>
        <v>3_1</v>
      </c>
      <c r="C448" s="20">
        <v>45776.6875</v>
      </c>
      <c r="D448" t="s">
        <v>175</v>
      </c>
      <c r="E448">
        <v>2</v>
      </c>
      <c r="F448" t="s">
        <v>127</v>
      </c>
      <c r="G448" t="str">
        <f t="shared" si="44"/>
        <v>Galaxias brevipinnis</v>
      </c>
      <c r="H448" t="str">
        <f t="shared" si="45"/>
        <v>Climbing_galaxias</v>
      </c>
      <c r="I448" t="str">
        <f t="shared" si="46"/>
        <v>Kōaro</v>
      </c>
      <c r="J448" t="str">
        <f t="shared" si="47"/>
        <v>Native</v>
      </c>
      <c r="K448" t="str">
        <f t="shared" si="48"/>
        <v>Yes</v>
      </c>
      <c r="L448">
        <v>1</v>
      </c>
      <c r="N448">
        <v>90</v>
      </c>
      <c r="O448">
        <v>7</v>
      </c>
      <c r="T448" t="str">
        <f t="shared" si="50"/>
        <v/>
      </c>
    </row>
    <row r="449" spans="1:20" x14ac:dyDescent="0.55000000000000004">
      <c r="A449">
        <v>3</v>
      </c>
      <c r="B449" s="15" t="str">
        <f t="shared" si="49"/>
        <v>3_1</v>
      </c>
      <c r="C449" s="20">
        <v>45776.6875</v>
      </c>
      <c r="D449" t="s">
        <v>175</v>
      </c>
      <c r="E449">
        <v>2</v>
      </c>
      <c r="F449" t="s">
        <v>135</v>
      </c>
      <c r="G449" t="str">
        <f t="shared" si="44"/>
        <v>Gobiomorphus cotidianus</v>
      </c>
      <c r="H449" t="str">
        <f t="shared" si="45"/>
        <v>Common_bully</v>
      </c>
      <c r="I449" t="str">
        <f t="shared" si="46"/>
        <v>Toitoi</v>
      </c>
      <c r="J449" t="str">
        <f t="shared" si="47"/>
        <v>Native</v>
      </c>
      <c r="K449" t="str">
        <f t="shared" si="48"/>
        <v>No</v>
      </c>
      <c r="O449">
        <v>675</v>
      </c>
      <c r="S449">
        <v>2.5</v>
      </c>
      <c r="T449">
        <f t="shared" si="50"/>
        <v>591.47</v>
      </c>
    </row>
    <row r="450" spans="1:20" x14ac:dyDescent="0.55000000000000004">
      <c r="A450">
        <v>3</v>
      </c>
      <c r="B450" s="15" t="str">
        <f t="shared" si="49"/>
        <v>3_1</v>
      </c>
      <c r="C450" s="20">
        <v>45776.6875</v>
      </c>
      <c r="D450" t="s">
        <v>175</v>
      </c>
      <c r="E450">
        <v>2</v>
      </c>
      <c r="F450" t="s">
        <v>135</v>
      </c>
      <c r="G450" t="str">
        <f t="shared" ref="G450:G513" si="51">VLOOKUP($F450, $W$1:$AB$10, 2, FALSE)</f>
        <v>Gobiomorphus cotidianus</v>
      </c>
      <c r="H450" t="str">
        <f t="shared" ref="H450:H513" si="52">VLOOKUP($F450, $W$1:$AB$10, 3, FALSE)</f>
        <v>Common_bully</v>
      </c>
      <c r="I450" t="str">
        <f t="shared" ref="I450:I513" si="53">VLOOKUP($F450, $W$1:$AB$10, 4, FALSE)</f>
        <v>Toitoi</v>
      </c>
      <c r="J450" t="str">
        <f t="shared" ref="J450:J513" si="54">VLOOKUP($F450, $W$1:$AC$10, 5, FALSE)</f>
        <v>Native</v>
      </c>
      <c r="K450" t="str">
        <f t="shared" ref="K450:K513" si="55">VLOOKUP($F450, $W$1:$AB$10, 6, FALSE)</f>
        <v>No</v>
      </c>
      <c r="O450">
        <v>559</v>
      </c>
      <c r="S450">
        <v>2.5</v>
      </c>
      <c r="T450">
        <f t="shared" si="50"/>
        <v>591.47</v>
      </c>
    </row>
    <row r="451" spans="1:20" x14ac:dyDescent="0.55000000000000004">
      <c r="A451">
        <v>3</v>
      </c>
      <c r="B451" s="15" t="str">
        <f t="shared" si="49"/>
        <v>3_1</v>
      </c>
      <c r="C451" s="20">
        <v>45776.6875</v>
      </c>
      <c r="D451" t="s">
        <v>175</v>
      </c>
      <c r="E451">
        <v>2</v>
      </c>
      <c r="F451" t="s">
        <v>135</v>
      </c>
      <c r="G451" t="str">
        <f t="shared" si="51"/>
        <v>Gobiomorphus cotidianus</v>
      </c>
      <c r="H451" t="str">
        <f t="shared" si="52"/>
        <v>Common_bully</v>
      </c>
      <c r="I451" t="str">
        <f t="shared" si="53"/>
        <v>Toitoi</v>
      </c>
      <c r="J451" t="str">
        <f t="shared" si="54"/>
        <v>Native</v>
      </c>
      <c r="K451" t="str">
        <f t="shared" si="55"/>
        <v>No</v>
      </c>
      <c r="O451">
        <v>247</v>
      </c>
      <c r="S451">
        <v>1</v>
      </c>
      <c r="T451">
        <f t="shared" si="50"/>
        <v>236.58799999999999</v>
      </c>
    </row>
    <row r="452" spans="1:20" x14ac:dyDescent="0.55000000000000004">
      <c r="A452">
        <v>3</v>
      </c>
      <c r="B452" s="15" t="str">
        <f t="shared" si="49"/>
        <v>3_1</v>
      </c>
      <c r="C452" s="20">
        <v>45776.6875</v>
      </c>
      <c r="D452" t="s">
        <v>175</v>
      </c>
      <c r="E452">
        <v>2</v>
      </c>
      <c r="F452" t="s">
        <v>127</v>
      </c>
      <c r="G452" t="str">
        <f t="shared" si="51"/>
        <v>Galaxias brevipinnis</v>
      </c>
      <c r="H452" t="str">
        <f t="shared" si="52"/>
        <v>Climbing_galaxias</v>
      </c>
      <c r="I452" t="str">
        <f t="shared" si="53"/>
        <v>Kōaro</v>
      </c>
      <c r="J452" t="str">
        <f t="shared" si="54"/>
        <v>Native</v>
      </c>
      <c r="K452" t="str">
        <f t="shared" si="55"/>
        <v>Yes</v>
      </c>
      <c r="L452">
        <v>1</v>
      </c>
      <c r="N452">
        <v>100</v>
      </c>
      <c r="O452">
        <v>14</v>
      </c>
      <c r="T452" t="str">
        <f t="shared" si="50"/>
        <v/>
      </c>
    </row>
    <row r="453" spans="1:20" x14ac:dyDescent="0.55000000000000004">
      <c r="A453">
        <v>3</v>
      </c>
      <c r="B453" s="15" t="str">
        <f t="shared" si="49"/>
        <v>3_1</v>
      </c>
      <c r="C453" s="20">
        <v>45776.6875</v>
      </c>
      <c r="D453" t="s">
        <v>175</v>
      </c>
      <c r="E453">
        <v>2</v>
      </c>
      <c r="F453" t="s">
        <v>127</v>
      </c>
      <c r="G453" t="str">
        <f t="shared" si="51"/>
        <v>Galaxias brevipinnis</v>
      </c>
      <c r="H453" t="str">
        <f t="shared" si="52"/>
        <v>Climbing_galaxias</v>
      </c>
      <c r="I453" t="str">
        <f t="shared" si="53"/>
        <v>Kōaro</v>
      </c>
      <c r="J453" t="str">
        <f t="shared" si="54"/>
        <v>Native</v>
      </c>
      <c r="K453" t="str">
        <f t="shared" si="55"/>
        <v>Yes</v>
      </c>
      <c r="L453">
        <v>1</v>
      </c>
      <c r="N453">
        <v>110</v>
      </c>
      <c r="O453">
        <v>10</v>
      </c>
      <c r="T453" t="str">
        <f t="shared" si="50"/>
        <v/>
      </c>
    </row>
    <row r="454" spans="1:20" x14ac:dyDescent="0.55000000000000004">
      <c r="A454">
        <v>3</v>
      </c>
      <c r="B454" s="15" t="str">
        <f t="shared" si="49"/>
        <v>3_1</v>
      </c>
      <c r="C454" s="20">
        <v>45776.6875</v>
      </c>
      <c r="D454" t="s">
        <v>175</v>
      </c>
      <c r="E454">
        <v>2</v>
      </c>
      <c r="F454" t="s">
        <v>135</v>
      </c>
      <c r="G454" t="str">
        <f t="shared" si="51"/>
        <v>Gobiomorphus cotidianus</v>
      </c>
      <c r="H454" t="str">
        <f t="shared" si="52"/>
        <v>Common_bully</v>
      </c>
      <c r="I454" t="str">
        <f t="shared" si="53"/>
        <v>Toitoi</v>
      </c>
      <c r="J454" t="str">
        <f t="shared" si="54"/>
        <v>Native</v>
      </c>
      <c r="K454" t="str">
        <f t="shared" si="55"/>
        <v>No</v>
      </c>
      <c r="O454">
        <v>315</v>
      </c>
      <c r="S454">
        <v>1.5</v>
      </c>
      <c r="T454">
        <f t="shared" si="50"/>
        <v>354.88200000000001</v>
      </c>
    </row>
    <row r="455" spans="1:20" x14ac:dyDescent="0.55000000000000004">
      <c r="A455">
        <v>4</v>
      </c>
      <c r="B455" s="15" t="str">
        <f t="shared" ref="B455:B518" si="56">A455 &amp; "_1"</f>
        <v>4_1</v>
      </c>
      <c r="C455" s="20">
        <v>45776.645833333336</v>
      </c>
      <c r="D455" t="s">
        <v>174</v>
      </c>
      <c r="E455">
        <v>2</v>
      </c>
      <c r="F455" t="s">
        <v>135</v>
      </c>
      <c r="G455" t="str">
        <f t="shared" si="51"/>
        <v>Gobiomorphus cotidianus</v>
      </c>
      <c r="H455" t="str">
        <f t="shared" si="52"/>
        <v>Common_bully</v>
      </c>
      <c r="I455" t="str">
        <f t="shared" si="53"/>
        <v>Toitoi</v>
      </c>
      <c r="J455" t="str">
        <f t="shared" si="54"/>
        <v>Native</v>
      </c>
      <c r="K455" t="str">
        <f t="shared" si="55"/>
        <v>No</v>
      </c>
      <c r="L455">
        <v>17</v>
      </c>
      <c r="O455">
        <v>17</v>
      </c>
      <c r="T455" t="str">
        <f t="shared" si="50"/>
        <v/>
      </c>
    </row>
    <row r="456" spans="1:20" x14ac:dyDescent="0.55000000000000004">
      <c r="A456">
        <v>4</v>
      </c>
      <c r="B456" s="15" t="str">
        <f t="shared" si="56"/>
        <v>4_1</v>
      </c>
      <c r="C456" s="20">
        <v>45776.645833333336</v>
      </c>
      <c r="D456" t="s">
        <v>175</v>
      </c>
      <c r="E456">
        <v>2</v>
      </c>
      <c r="F456" t="s">
        <v>124</v>
      </c>
      <c r="G456" t="str">
        <f t="shared" si="51"/>
        <v>Carassius auratus</v>
      </c>
      <c r="H456" t="str">
        <f t="shared" si="52"/>
        <v>Goldfish</v>
      </c>
      <c r="I456" t="str">
        <f t="shared" si="53"/>
        <v>Morihana</v>
      </c>
      <c r="J456" t="str">
        <f t="shared" si="54"/>
        <v>Nonnative</v>
      </c>
      <c r="K456" t="str">
        <f t="shared" si="55"/>
        <v>No</v>
      </c>
      <c r="L456">
        <v>1</v>
      </c>
      <c r="N456">
        <v>145</v>
      </c>
      <c r="O456">
        <v>85</v>
      </c>
      <c r="T456" t="str">
        <f t="shared" si="50"/>
        <v/>
      </c>
    </row>
    <row r="457" spans="1:20" x14ac:dyDescent="0.55000000000000004">
      <c r="A457">
        <v>4</v>
      </c>
      <c r="B457" s="15" t="str">
        <f t="shared" si="56"/>
        <v>4_1</v>
      </c>
      <c r="C457" s="20">
        <v>45776.645833333336</v>
      </c>
      <c r="D457" t="s">
        <v>175</v>
      </c>
      <c r="E457">
        <v>2</v>
      </c>
      <c r="F457" t="s">
        <v>127</v>
      </c>
      <c r="G457" t="str">
        <f t="shared" si="51"/>
        <v>Galaxias brevipinnis</v>
      </c>
      <c r="H457" t="str">
        <f t="shared" si="52"/>
        <v>Climbing_galaxias</v>
      </c>
      <c r="I457" t="str">
        <f t="shared" si="53"/>
        <v>Kōaro</v>
      </c>
      <c r="J457" t="str">
        <f t="shared" si="54"/>
        <v>Native</v>
      </c>
      <c r="K457" t="str">
        <f t="shared" si="55"/>
        <v>Yes</v>
      </c>
      <c r="L457">
        <v>1</v>
      </c>
      <c r="N457">
        <v>105</v>
      </c>
      <c r="O457">
        <v>6</v>
      </c>
      <c r="T457" t="str">
        <f t="shared" si="50"/>
        <v/>
      </c>
    </row>
    <row r="458" spans="1:20" x14ac:dyDescent="0.55000000000000004">
      <c r="A458">
        <v>4</v>
      </c>
      <c r="B458" s="15" t="str">
        <f t="shared" si="56"/>
        <v>4_1</v>
      </c>
      <c r="C458" s="20">
        <v>45776.645833333336</v>
      </c>
      <c r="D458" t="s">
        <v>175</v>
      </c>
      <c r="E458">
        <v>2</v>
      </c>
      <c r="F458" t="s">
        <v>127</v>
      </c>
      <c r="G458" t="str">
        <f t="shared" si="51"/>
        <v>Galaxias brevipinnis</v>
      </c>
      <c r="H458" t="str">
        <f t="shared" si="52"/>
        <v>Climbing_galaxias</v>
      </c>
      <c r="I458" t="str">
        <f t="shared" si="53"/>
        <v>Kōaro</v>
      </c>
      <c r="J458" t="str">
        <f t="shared" si="54"/>
        <v>Native</v>
      </c>
      <c r="K458" t="str">
        <f t="shared" si="55"/>
        <v>Yes</v>
      </c>
      <c r="L458">
        <v>1</v>
      </c>
      <c r="N458">
        <v>110</v>
      </c>
      <c r="O458">
        <v>14</v>
      </c>
      <c r="T458" t="str">
        <f t="shared" si="50"/>
        <v/>
      </c>
    </row>
    <row r="459" spans="1:20" x14ac:dyDescent="0.55000000000000004">
      <c r="A459">
        <v>4</v>
      </c>
      <c r="B459" s="15" t="str">
        <f t="shared" si="56"/>
        <v>4_1</v>
      </c>
      <c r="C459" s="20">
        <v>45776.645833333336</v>
      </c>
      <c r="D459" t="s">
        <v>175</v>
      </c>
      <c r="E459">
        <v>2</v>
      </c>
      <c r="F459" t="s">
        <v>127</v>
      </c>
      <c r="G459" t="str">
        <f t="shared" si="51"/>
        <v>Galaxias brevipinnis</v>
      </c>
      <c r="H459" t="str">
        <f t="shared" si="52"/>
        <v>Climbing_galaxias</v>
      </c>
      <c r="I459" t="str">
        <f t="shared" si="53"/>
        <v>Kōaro</v>
      </c>
      <c r="J459" t="str">
        <f t="shared" si="54"/>
        <v>Native</v>
      </c>
      <c r="K459" t="str">
        <f t="shared" si="55"/>
        <v>Yes</v>
      </c>
      <c r="L459">
        <v>1</v>
      </c>
      <c r="N459">
        <v>115</v>
      </c>
      <c r="O459">
        <v>10</v>
      </c>
      <c r="T459" t="str">
        <f t="shared" si="50"/>
        <v/>
      </c>
    </row>
    <row r="460" spans="1:20" x14ac:dyDescent="0.55000000000000004">
      <c r="A460">
        <v>4</v>
      </c>
      <c r="B460" s="15" t="str">
        <f t="shared" si="56"/>
        <v>4_1</v>
      </c>
      <c r="C460" s="20">
        <v>45776.645833333336</v>
      </c>
      <c r="D460" t="s">
        <v>175</v>
      </c>
      <c r="E460">
        <v>2</v>
      </c>
      <c r="F460" t="s">
        <v>127</v>
      </c>
      <c r="G460" t="str">
        <f t="shared" si="51"/>
        <v>Galaxias brevipinnis</v>
      </c>
      <c r="H460" t="str">
        <f t="shared" si="52"/>
        <v>Climbing_galaxias</v>
      </c>
      <c r="I460" t="str">
        <f t="shared" si="53"/>
        <v>Kōaro</v>
      </c>
      <c r="J460" t="str">
        <f t="shared" si="54"/>
        <v>Native</v>
      </c>
      <c r="K460" t="str">
        <f t="shared" si="55"/>
        <v>Yes</v>
      </c>
      <c r="L460">
        <v>1</v>
      </c>
      <c r="N460">
        <v>115</v>
      </c>
      <c r="O460">
        <v>9</v>
      </c>
      <c r="T460" t="str">
        <f t="shared" si="50"/>
        <v/>
      </c>
    </row>
    <row r="461" spans="1:20" x14ac:dyDescent="0.55000000000000004">
      <c r="A461">
        <v>4</v>
      </c>
      <c r="B461" s="15" t="str">
        <f t="shared" si="56"/>
        <v>4_1</v>
      </c>
      <c r="C461" s="20">
        <v>45776.645833333336</v>
      </c>
      <c r="D461" t="s">
        <v>175</v>
      </c>
      <c r="E461">
        <v>2</v>
      </c>
      <c r="F461" t="s">
        <v>127</v>
      </c>
      <c r="G461" t="str">
        <f t="shared" si="51"/>
        <v>Galaxias brevipinnis</v>
      </c>
      <c r="H461" t="str">
        <f t="shared" si="52"/>
        <v>Climbing_galaxias</v>
      </c>
      <c r="I461" t="str">
        <f t="shared" si="53"/>
        <v>Kōaro</v>
      </c>
      <c r="J461" t="str">
        <f t="shared" si="54"/>
        <v>Native</v>
      </c>
      <c r="K461" t="str">
        <f t="shared" si="55"/>
        <v>Yes</v>
      </c>
      <c r="L461">
        <v>1</v>
      </c>
      <c r="N461">
        <v>80</v>
      </c>
      <c r="O461">
        <v>3</v>
      </c>
      <c r="T461" t="str">
        <f t="shared" si="50"/>
        <v/>
      </c>
    </row>
    <row r="462" spans="1:20" x14ac:dyDescent="0.55000000000000004">
      <c r="A462">
        <v>4</v>
      </c>
      <c r="B462" s="15" t="str">
        <f t="shared" si="56"/>
        <v>4_1</v>
      </c>
      <c r="C462" s="20">
        <v>45776.645833333336</v>
      </c>
      <c r="D462" t="s">
        <v>175</v>
      </c>
      <c r="E462">
        <v>2</v>
      </c>
      <c r="F462" t="s">
        <v>127</v>
      </c>
      <c r="G462" t="str">
        <f t="shared" si="51"/>
        <v>Galaxias brevipinnis</v>
      </c>
      <c r="H462" t="str">
        <f t="shared" si="52"/>
        <v>Climbing_galaxias</v>
      </c>
      <c r="I462" t="str">
        <f t="shared" si="53"/>
        <v>Kōaro</v>
      </c>
      <c r="J462" t="str">
        <f t="shared" si="54"/>
        <v>Native</v>
      </c>
      <c r="K462" t="str">
        <f t="shared" si="55"/>
        <v>Yes</v>
      </c>
      <c r="L462">
        <v>1</v>
      </c>
      <c r="N462">
        <v>105</v>
      </c>
      <c r="O462">
        <v>13</v>
      </c>
      <c r="T462" t="str">
        <f t="shared" si="50"/>
        <v/>
      </c>
    </row>
    <row r="463" spans="1:20" x14ac:dyDescent="0.55000000000000004">
      <c r="A463">
        <v>4</v>
      </c>
      <c r="B463" s="15" t="str">
        <f t="shared" si="56"/>
        <v>4_1</v>
      </c>
      <c r="C463" s="20">
        <v>45776.645833333336</v>
      </c>
      <c r="D463" t="s">
        <v>175</v>
      </c>
      <c r="E463">
        <v>2</v>
      </c>
      <c r="F463" t="s">
        <v>127</v>
      </c>
      <c r="G463" t="str">
        <f t="shared" si="51"/>
        <v>Galaxias brevipinnis</v>
      </c>
      <c r="H463" t="str">
        <f t="shared" si="52"/>
        <v>Climbing_galaxias</v>
      </c>
      <c r="I463" t="str">
        <f t="shared" si="53"/>
        <v>Kōaro</v>
      </c>
      <c r="J463" t="str">
        <f t="shared" si="54"/>
        <v>Native</v>
      </c>
      <c r="K463" t="str">
        <f t="shared" si="55"/>
        <v>Yes</v>
      </c>
      <c r="L463">
        <v>1</v>
      </c>
      <c r="N463">
        <v>85</v>
      </c>
      <c r="O463">
        <v>6</v>
      </c>
      <c r="T463" t="str">
        <f t="shared" si="50"/>
        <v/>
      </c>
    </row>
    <row r="464" spans="1:20" x14ac:dyDescent="0.55000000000000004">
      <c r="A464">
        <v>4</v>
      </c>
      <c r="B464" s="15" t="str">
        <f t="shared" si="56"/>
        <v>4_1</v>
      </c>
      <c r="C464" s="20">
        <v>45776.645833333336</v>
      </c>
      <c r="D464" t="s">
        <v>175</v>
      </c>
      <c r="E464">
        <v>2</v>
      </c>
      <c r="F464" t="s">
        <v>127</v>
      </c>
      <c r="G464" t="str">
        <f t="shared" si="51"/>
        <v>Galaxias brevipinnis</v>
      </c>
      <c r="H464" t="str">
        <f t="shared" si="52"/>
        <v>Climbing_galaxias</v>
      </c>
      <c r="I464" t="str">
        <f t="shared" si="53"/>
        <v>Kōaro</v>
      </c>
      <c r="J464" t="str">
        <f t="shared" si="54"/>
        <v>Native</v>
      </c>
      <c r="K464" t="str">
        <f t="shared" si="55"/>
        <v>Yes</v>
      </c>
      <c r="L464">
        <v>1</v>
      </c>
      <c r="N464">
        <v>115</v>
      </c>
      <c r="O464">
        <v>11</v>
      </c>
      <c r="T464" t="str">
        <f t="shared" si="50"/>
        <v/>
      </c>
    </row>
    <row r="465" spans="1:20" x14ac:dyDescent="0.55000000000000004">
      <c r="A465">
        <v>4</v>
      </c>
      <c r="B465" s="15" t="str">
        <f t="shared" si="56"/>
        <v>4_1</v>
      </c>
      <c r="C465" s="20">
        <v>45776.645833333336</v>
      </c>
      <c r="D465" t="s">
        <v>175</v>
      </c>
      <c r="E465">
        <v>2</v>
      </c>
      <c r="F465" t="s">
        <v>127</v>
      </c>
      <c r="G465" t="str">
        <f t="shared" si="51"/>
        <v>Galaxias brevipinnis</v>
      </c>
      <c r="H465" t="str">
        <f t="shared" si="52"/>
        <v>Climbing_galaxias</v>
      </c>
      <c r="I465" t="str">
        <f t="shared" si="53"/>
        <v>Kōaro</v>
      </c>
      <c r="J465" t="str">
        <f t="shared" si="54"/>
        <v>Native</v>
      </c>
      <c r="K465" t="str">
        <f t="shared" si="55"/>
        <v>Yes</v>
      </c>
      <c r="L465">
        <v>1</v>
      </c>
      <c r="N465">
        <v>120</v>
      </c>
      <c r="O465">
        <v>13</v>
      </c>
      <c r="T465" t="str">
        <f t="shared" si="50"/>
        <v/>
      </c>
    </row>
    <row r="466" spans="1:20" x14ac:dyDescent="0.55000000000000004">
      <c r="A466">
        <v>4</v>
      </c>
      <c r="B466" s="15" t="str">
        <f t="shared" si="56"/>
        <v>4_1</v>
      </c>
      <c r="C466" s="20">
        <v>45776.645833333336</v>
      </c>
      <c r="D466" t="s">
        <v>175</v>
      </c>
      <c r="E466">
        <v>2</v>
      </c>
      <c r="F466" t="s">
        <v>127</v>
      </c>
      <c r="G466" t="str">
        <f t="shared" si="51"/>
        <v>Galaxias brevipinnis</v>
      </c>
      <c r="H466" t="str">
        <f t="shared" si="52"/>
        <v>Climbing_galaxias</v>
      </c>
      <c r="I466" t="str">
        <f t="shared" si="53"/>
        <v>Kōaro</v>
      </c>
      <c r="J466" t="str">
        <f t="shared" si="54"/>
        <v>Native</v>
      </c>
      <c r="K466" t="str">
        <f t="shared" si="55"/>
        <v>Yes</v>
      </c>
      <c r="L466">
        <v>1</v>
      </c>
      <c r="N466">
        <v>70</v>
      </c>
      <c r="O466">
        <v>2</v>
      </c>
      <c r="T466" t="str">
        <f t="shared" si="50"/>
        <v/>
      </c>
    </row>
    <row r="467" spans="1:20" x14ac:dyDescent="0.55000000000000004">
      <c r="A467">
        <v>4</v>
      </c>
      <c r="B467" s="15" t="str">
        <f t="shared" si="56"/>
        <v>4_1</v>
      </c>
      <c r="C467" s="20">
        <v>45776.645833333336</v>
      </c>
      <c r="D467" t="s">
        <v>175</v>
      </c>
      <c r="E467">
        <v>2</v>
      </c>
      <c r="F467" t="s">
        <v>127</v>
      </c>
      <c r="G467" t="str">
        <f t="shared" si="51"/>
        <v>Galaxias brevipinnis</v>
      </c>
      <c r="H467" t="str">
        <f t="shared" si="52"/>
        <v>Climbing_galaxias</v>
      </c>
      <c r="I467" t="str">
        <f t="shared" si="53"/>
        <v>Kōaro</v>
      </c>
      <c r="J467" t="str">
        <f t="shared" si="54"/>
        <v>Native</v>
      </c>
      <c r="K467" t="str">
        <f t="shared" si="55"/>
        <v>Yes</v>
      </c>
      <c r="L467">
        <v>1</v>
      </c>
      <c r="N467">
        <v>110</v>
      </c>
      <c r="O467">
        <v>10</v>
      </c>
      <c r="T467" t="str">
        <f t="shared" si="50"/>
        <v/>
      </c>
    </row>
    <row r="468" spans="1:20" x14ac:dyDescent="0.55000000000000004">
      <c r="A468">
        <v>4</v>
      </c>
      <c r="B468" s="15" t="str">
        <f t="shared" si="56"/>
        <v>4_1</v>
      </c>
      <c r="C468" s="20">
        <v>45776.645833333336</v>
      </c>
      <c r="D468" t="s">
        <v>175</v>
      </c>
      <c r="E468">
        <v>2</v>
      </c>
      <c r="F468" t="s">
        <v>127</v>
      </c>
      <c r="G468" t="str">
        <f t="shared" si="51"/>
        <v>Galaxias brevipinnis</v>
      </c>
      <c r="H468" t="str">
        <f t="shared" si="52"/>
        <v>Climbing_galaxias</v>
      </c>
      <c r="I468" t="str">
        <f t="shared" si="53"/>
        <v>Kōaro</v>
      </c>
      <c r="J468" t="str">
        <f t="shared" si="54"/>
        <v>Native</v>
      </c>
      <c r="K468" t="str">
        <f t="shared" si="55"/>
        <v>Yes</v>
      </c>
      <c r="L468">
        <v>1</v>
      </c>
      <c r="N468">
        <v>110</v>
      </c>
      <c r="O468">
        <v>13</v>
      </c>
      <c r="T468" t="str">
        <f t="shared" si="50"/>
        <v/>
      </c>
    </row>
    <row r="469" spans="1:20" x14ac:dyDescent="0.55000000000000004">
      <c r="A469">
        <v>4</v>
      </c>
      <c r="B469" s="15" t="str">
        <f t="shared" si="56"/>
        <v>4_1</v>
      </c>
      <c r="C469" s="20">
        <v>45776.645833333336</v>
      </c>
      <c r="D469" t="s">
        <v>175</v>
      </c>
      <c r="E469">
        <v>2</v>
      </c>
      <c r="F469" t="s">
        <v>115</v>
      </c>
      <c r="G469" t="str">
        <f t="shared" si="51"/>
        <v>Paranephrops planifrons</v>
      </c>
      <c r="H469" t="str">
        <f t="shared" si="52"/>
        <v>Freshwater_crayfish</v>
      </c>
      <c r="I469" t="str">
        <f t="shared" si="53"/>
        <v>Kōura</v>
      </c>
      <c r="J469" t="str">
        <f t="shared" si="54"/>
        <v>Native</v>
      </c>
      <c r="K469" t="str">
        <f t="shared" si="55"/>
        <v>Yes</v>
      </c>
      <c r="L469">
        <v>1</v>
      </c>
      <c r="M469" t="s">
        <v>176</v>
      </c>
      <c r="N469">
        <v>30</v>
      </c>
      <c r="O469">
        <v>21</v>
      </c>
      <c r="T469" t="str">
        <f t="shared" si="50"/>
        <v/>
      </c>
    </row>
    <row r="470" spans="1:20" x14ac:dyDescent="0.55000000000000004">
      <c r="A470">
        <v>4</v>
      </c>
      <c r="B470" s="15" t="str">
        <f t="shared" si="56"/>
        <v>4_1</v>
      </c>
      <c r="C470" s="20">
        <v>45776.645833333336</v>
      </c>
      <c r="D470" t="s">
        <v>175</v>
      </c>
      <c r="E470">
        <v>2</v>
      </c>
      <c r="F470" t="s">
        <v>115</v>
      </c>
      <c r="G470" t="str">
        <f t="shared" si="51"/>
        <v>Paranephrops planifrons</v>
      </c>
      <c r="H470" t="str">
        <f t="shared" si="52"/>
        <v>Freshwater_crayfish</v>
      </c>
      <c r="I470" t="str">
        <f t="shared" si="53"/>
        <v>Kōura</v>
      </c>
      <c r="J470" t="str">
        <f t="shared" si="54"/>
        <v>Native</v>
      </c>
      <c r="K470" t="str">
        <f t="shared" si="55"/>
        <v>Yes</v>
      </c>
      <c r="L470">
        <v>1</v>
      </c>
      <c r="M470" t="s">
        <v>176</v>
      </c>
      <c r="N470">
        <v>29</v>
      </c>
      <c r="O470">
        <v>19</v>
      </c>
      <c r="Q470">
        <v>1</v>
      </c>
      <c r="T470" t="str">
        <f t="shared" si="50"/>
        <v/>
      </c>
    </row>
    <row r="471" spans="1:20" x14ac:dyDescent="0.55000000000000004">
      <c r="A471">
        <v>4</v>
      </c>
      <c r="B471" s="15" t="str">
        <f t="shared" si="56"/>
        <v>4_1</v>
      </c>
      <c r="C471" s="20">
        <v>45776.645833333336</v>
      </c>
      <c r="D471" t="s">
        <v>175</v>
      </c>
      <c r="E471">
        <v>2</v>
      </c>
      <c r="F471" t="s">
        <v>115</v>
      </c>
      <c r="G471" t="str">
        <f t="shared" si="51"/>
        <v>Paranephrops planifrons</v>
      </c>
      <c r="H471" t="str">
        <f t="shared" si="52"/>
        <v>Freshwater_crayfish</v>
      </c>
      <c r="I471" t="str">
        <f t="shared" si="53"/>
        <v>Kōura</v>
      </c>
      <c r="J471" t="str">
        <f t="shared" si="54"/>
        <v>Native</v>
      </c>
      <c r="K471" t="str">
        <f t="shared" si="55"/>
        <v>Yes</v>
      </c>
      <c r="L471">
        <v>1</v>
      </c>
      <c r="M471" t="s">
        <v>176</v>
      </c>
      <c r="N471">
        <v>31</v>
      </c>
      <c r="O471">
        <v>26</v>
      </c>
      <c r="T471" t="str">
        <f t="shared" si="50"/>
        <v/>
      </c>
    </row>
    <row r="472" spans="1:20" x14ac:dyDescent="0.55000000000000004">
      <c r="A472">
        <v>4</v>
      </c>
      <c r="B472" s="15" t="str">
        <f t="shared" si="56"/>
        <v>4_1</v>
      </c>
      <c r="C472" s="20">
        <v>45776.645833333336</v>
      </c>
      <c r="D472" t="s">
        <v>175</v>
      </c>
      <c r="E472">
        <v>2</v>
      </c>
      <c r="F472" t="s">
        <v>115</v>
      </c>
      <c r="G472" t="str">
        <f t="shared" si="51"/>
        <v>Paranephrops planifrons</v>
      </c>
      <c r="H472" t="str">
        <f t="shared" si="52"/>
        <v>Freshwater_crayfish</v>
      </c>
      <c r="I472" t="str">
        <f t="shared" si="53"/>
        <v>Kōura</v>
      </c>
      <c r="J472" t="str">
        <f t="shared" si="54"/>
        <v>Native</v>
      </c>
      <c r="K472" t="str">
        <f t="shared" si="55"/>
        <v>Yes</v>
      </c>
      <c r="L472">
        <v>1</v>
      </c>
      <c r="M472" t="s">
        <v>176</v>
      </c>
      <c r="N472">
        <v>31</v>
      </c>
      <c r="O472">
        <v>26</v>
      </c>
      <c r="P472">
        <v>1</v>
      </c>
      <c r="T472" t="str">
        <f t="shared" si="50"/>
        <v/>
      </c>
    </row>
    <row r="473" spans="1:20" x14ac:dyDescent="0.55000000000000004">
      <c r="A473">
        <v>4</v>
      </c>
      <c r="B473" s="15" t="str">
        <f t="shared" si="56"/>
        <v>4_1</v>
      </c>
      <c r="C473" s="20">
        <v>45776.645833333336</v>
      </c>
      <c r="D473" t="s">
        <v>175</v>
      </c>
      <c r="E473">
        <v>2</v>
      </c>
      <c r="F473" t="s">
        <v>115</v>
      </c>
      <c r="G473" t="str">
        <f t="shared" si="51"/>
        <v>Paranephrops planifrons</v>
      </c>
      <c r="H473" t="str">
        <f t="shared" si="52"/>
        <v>Freshwater_crayfish</v>
      </c>
      <c r="I473" t="str">
        <f t="shared" si="53"/>
        <v>Kōura</v>
      </c>
      <c r="J473" t="str">
        <f t="shared" si="54"/>
        <v>Native</v>
      </c>
      <c r="K473" t="str">
        <f t="shared" si="55"/>
        <v>Yes</v>
      </c>
      <c r="L473">
        <v>1</v>
      </c>
      <c r="M473" t="s">
        <v>176</v>
      </c>
      <c r="N473">
        <v>34</v>
      </c>
      <c r="O473">
        <v>31</v>
      </c>
      <c r="T473" t="str">
        <f t="shared" si="50"/>
        <v/>
      </c>
    </row>
    <row r="474" spans="1:20" x14ac:dyDescent="0.55000000000000004">
      <c r="A474">
        <v>4</v>
      </c>
      <c r="B474" s="15" t="str">
        <f t="shared" si="56"/>
        <v>4_1</v>
      </c>
      <c r="C474" s="20">
        <v>45776.645833333336</v>
      </c>
      <c r="D474" t="s">
        <v>175</v>
      </c>
      <c r="E474">
        <v>2</v>
      </c>
      <c r="F474" t="s">
        <v>127</v>
      </c>
      <c r="G474" t="str">
        <f t="shared" si="51"/>
        <v>Galaxias brevipinnis</v>
      </c>
      <c r="H474" t="str">
        <f t="shared" si="52"/>
        <v>Climbing_galaxias</v>
      </c>
      <c r="I474" t="str">
        <f t="shared" si="53"/>
        <v>Kōaro</v>
      </c>
      <c r="J474" t="str">
        <f t="shared" si="54"/>
        <v>Native</v>
      </c>
      <c r="K474" t="str">
        <f t="shared" si="55"/>
        <v>Yes</v>
      </c>
      <c r="L474">
        <v>1</v>
      </c>
      <c r="N474">
        <v>115</v>
      </c>
      <c r="O474">
        <v>10</v>
      </c>
      <c r="T474" t="str">
        <f t="shared" si="50"/>
        <v/>
      </c>
    </row>
    <row r="475" spans="1:20" x14ac:dyDescent="0.55000000000000004">
      <c r="A475">
        <v>4</v>
      </c>
      <c r="B475" s="15" t="str">
        <f t="shared" si="56"/>
        <v>4_1</v>
      </c>
      <c r="C475" s="20">
        <v>45776.645833333336</v>
      </c>
      <c r="D475" t="s">
        <v>175</v>
      </c>
      <c r="E475">
        <v>2</v>
      </c>
      <c r="F475" t="s">
        <v>115</v>
      </c>
      <c r="G475" t="str">
        <f t="shared" si="51"/>
        <v>Paranephrops planifrons</v>
      </c>
      <c r="H475" t="str">
        <f t="shared" si="52"/>
        <v>Freshwater_crayfish</v>
      </c>
      <c r="I475" t="str">
        <f t="shared" si="53"/>
        <v>Kōura</v>
      </c>
      <c r="J475" t="str">
        <f t="shared" si="54"/>
        <v>Native</v>
      </c>
      <c r="K475" t="str">
        <f t="shared" si="55"/>
        <v>Yes</v>
      </c>
      <c r="L475">
        <v>1</v>
      </c>
      <c r="M475" t="s">
        <v>177</v>
      </c>
      <c r="N475">
        <v>27</v>
      </c>
      <c r="O475">
        <v>17</v>
      </c>
      <c r="T475" t="str">
        <f t="shared" si="50"/>
        <v/>
      </c>
    </row>
    <row r="476" spans="1:20" x14ac:dyDescent="0.55000000000000004">
      <c r="A476">
        <v>4</v>
      </c>
      <c r="B476" s="15" t="str">
        <f t="shared" si="56"/>
        <v>4_1</v>
      </c>
      <c r="C476" s="20">
        <v>45776.645833333336</v>
      </c>
      <c r="D476" t="s">
        <v>175</v>
      </c>
      <c r="E476">
        <v>2</v>
      </c>
      <c r="F476" t="s">
        <v>115</v>
      </c>
      <c r="G476" t="str">
        <f t="shared" si="51"/>
        <v>Paranephrops planifrons</v>
      </c>
      <c r="H476" t="str">
        <f t="shared" si="52"/>
        <v>Freshwater_crayfish</v>
      </c>
      <c r="I476" t="str">
        <f t="shared" si="53"/>
        <v>Kōura</v>
      </c>
      <c r="J476" t="str">
        <f t="shared" si="54"/>
        <v>Native</v>
      </c>
      <c r="K476" t="str">
        <f t="shared" si="55"/>
        <v>Yes</v>
      </c>
      <c r="L476">
        <v>1</v>
      </c>
      <c r="M476" t="s">
        <v>177</v>
      </c>
      <c r="N476">
        <v>21</v>
      </c>
      <c r="O476">
        <v>22</v>
      </c>
      <c r="T476" t="str">
        <f t="shared" si="50"/>
        <v/>
      </c>
    </row>
    <row r="477" spans="1:20" x14ac:dyDescent="0.55000000000000004">
      <c r="A477">
        <v>4</v>
      </c>
      <c r="B477" s="15" t="str">
        <f t="shared" si="56"/>
        <v>4_1</v>
      </c>
      <c r="C477" s="20">
        <v>45776.645833333336</v>
      </c>
      <c r="D477" t="s">
        <v>175</v>
      </c>
      <c r="E477">
        <v>2</v>
      </c>
      <c r="F477" t="s">
        <v>115</v>
      </c>
      <c r="G477" t="str">
        <f t="shared" si="51"/>
        <v>Paranephrops planifrons</v>
      </c>
      <c r="H477" t="str">
        <f t="shared" si="52"/>
        <v>Freshwater_crayfish</v>
      </c>
      <c r="I477" t="str">
        <f t="shared" si="53"/>
        <v>Kōura</v>
      </c>
      <c r="J477" t="str">
        <f t="shared" si="54"/>
        <v>Native</v>
      </c>
      <c r="K477" t="str">
        <f t="shared" si="55"/>
        <v>Yes</v>
      </c>
      <c r="L477">
        <v>1</v>
      </c>
      <c r="M477" t="s">
        <v>176</v>
      </c>
      <c r="N477">
        <v>24</v>
      </c>
      <c r="O477">
        <v>9</v>
      </c>
      <c r="T477" t="str">
        <f t="shared" si="50"/>
        <v/>
      </c>
    </row>
    <row r="478" spans="1:20" x14ac:dyDescent="0.55000000000000004">
      <c r="A478">
        <v>4</v>
      </c>
      <c r="B478" s="15" t="str">
        <f t="shared" si="56"/>
        <v>4_1</v>
      </c>
      <c r="C478" s="20">
        <v>45776.645833333336</v>
      </c>
      <c r="D478" t="s">
        <v>175</v>
      </c>
      <c r="E478">
        <v>2</v>
      </c>
      <c r="F478" t="s">
        <v>127</v>
      </c>
      <c r="G478" t="str">
        <f t="shared" si="51"/>
        <v>Galaxias brevipinnis</v>
      </c>
      <c r="H478" t="str">
        <f t="shared" si="52"/>
        <v>Climbing_galaxias</v>
      </c>
      <c r="I478" t="str">
        <f t="shared" si="53"/>
        <v>Kōaro</v>
      </c>
      <c r="J478" t="str">
        <f t="shared" si="54"/>
        <v>Native</v>
      </c>
      <c r="K478" t="str">
        <f t="shared" si="55"/>
        <v>Yes</v>
      </c>
      <c r="L478">
        <v>1</v>
      </c>
      <c r="N478">
        <v>80</v>
      </c>
      <c r="O478">
        <v>4</v>
      </c>
      <c r="T478" t="str">
        <f t="shared" si="50"/>
        <v/>
      </c>
    </row>
    <row r="479" spans="1:20" x14ac:dyDescent="0.55000000000000004">
      <c r="A479">
        <v>4</v>
      </c>
      <c r="B479" s="15" t="str">
        <f t="shared" si="56"/>
        <v>4_1</v>
      </c>
      <c r="C479" s="20">
        <v>45776.645833333336</v>
      </c>
      <c r="D479" t="s">
        <v>175</v>
      </c>
      <c r="E479">
        <v>2</v>
      </c>
      <c r="F479" t="s">
        <v>127</v>
      </c>
      <c r="G479" t="str">
        <f t="shared" si="51"/>
        <v>Galaxias brevipinnis</v>
      </c>
      <c r="H479" t="str">
        <f t="shared" si="52"/>
        <v>Climbing_galaxias</v>
      </c>
      <c r="I479" t="str">
        <f t="shared" si="53"/>
        <v>Kōaro</v>
      </c>
      <c r="J479" t="str">
        <f t="shared" si="54"/>
        <v>Native</v>
      </c>
      <c r="K479" t="str">
        <f t="shared" si="55"/>
        <v>Yes</v>
      </c>
      <c r="L479">
        <v>1</v>
      </c>
      <c r="N479">
        <v>85</v>
      </c>
      <c r="O479">
        <v>4</v>
      </c>
      <c r="T479" t="str">
        <f t="shared" si="50"/>
        <v/>
      </c>
    </row>
    <row r="480" spans="1:20" x14ac:dyDescent="0.55000000000000004">
      <c r="A480">
        <v>4</v>
      </c>
      <c r="B480" s="15" t="str">
        <f t="shared" si="56"/>
        <v>4_1</v>
      </c>
      <c r="C480" s="20">
        <v>45776.645833333336</v>
      </c>
      <c r="D480" t="s">
        <v>175</v>
      </c>
      <c r="E480">
        <v>2</v>
      </c>
      <c r="F480" t="s">
        <v>127</v>
      </c>
      <c r="G480" t="str">
        <f t="shared" si="51"/>
        <v>Galaxias brevipinnis</v>
      </c>
      <c r="H480" t="str">
        <f t="shared" si="52"/>
        <v>Climbing_galaxias</v>
      </c>
      <c r="I480" t="str">
        <f t="shared" si="53"/>
        <v>Kōaro</v>
      </c>
      <c r="J480" t="str">
        <f t="shared" si="54"/>
        <v>Native</v>
      </c>
      <c r="K480" t="str">
        <f t="shared" si="55"/>
        <v>Yes</v>
      </c>
      <c r="L480">
        <v>1</v>
      </c>
      <c r="N480">
        <v>100</v>
      </c>
      <c r="O480">
        <v>10</v>
      </c>
      <c r="T480" t="str">
        <f t="shared" si="50"/>
        <v/>
      </c>
    </row>
    <row r="481" spans="1:20" x14ac:dyDescent="0.55000000000000004">
      <c r="A481">
        <v>4</v>
      </c>
      <c r="B481" s="15" t="str">
        <f t="shared" si="56"/>
        <v>4_1</v>
      </c>
      <c r="C481" s="20">
        <v>45776.645833333336</v>
      </c>
      <c r="D481" t="s">
        <v>175</v>
      </c>
      <c r="E481">
        <v>2</v>
      </c>
      <c r="F481" t="s">
        <v>115</v>
      </c>
      <c r="G481" t="str">
        <f t="shared" si="51"/>
        <v>Paranephrops planifrons</v>
      </c>
      <c r="H481" t="str">
        <f t="shared" si="52"/>
        <v>Freshwater_crayfish</v>
      </c>
      <c r="I481" t="str">
        <f t="shared" si="53"/>
        <v>Kōura</v>
      </c>
      <c r="J481" t="str">
        <f t="shared" si="54"/>
        <v>Native</v>
      </c>
      <c r="K481" t="str">
        <f t="shared" si="55"/>
        <v>Yes</v>
      </c>
      <c r="L481">
        <v>1</v>
      </c>
      <c r="M481" t="s">
        <v>176</v>
      </c>
      <c r="N481">
        <v>27</v>
      </c>
      <c r="O481">
        <v>18</v>
      </c>
      <c r="P481">
        <v>1</v>
      </c>
      <c r="T481" t="str">
        <f t="shared" si="50"/>
        <v/>
      </c>
    </row>
    <row r="482" spans="1:20" x14ac:dyDescent="0.55000000000000004">
      <c r="A482">
        <v>4</v>
      </c>
      <c r="B482" s="15" t="str">
        <f t="shared" si="56"/>
        <v>4_1</v>
      </c>
      <c r="C482" s="20">
        <v>45776.645833333336</v>
      </c>
      <c r="D482" t="s">
        <v>175</v>
      </c>
      <c r="E482">
        <v>2</v>
      </c>
      <c r="F482" t="s">
        <v>115</v>
      </c>
      <c r="G482" t="str">
        <f t="shared" si="51"/>
        <v>Paranephrops planifrons</v>
      </c>
      <c r="H482" t="str">
        <f t="shared" si="52"/>
        <v>Freshwater_crayfish</v>
      </c>
      <c r="I482" t="str">
        <f t="shared" si="53"/>
        <v>Kōura</v>
      </c>
      <c r="J482" t="str">
        <f t="shared" si="54"/>
        <v>Native</v>
      </c>
      <c r="K482" t="str">
        <f t="shared" si="55"/>
        <v>Yes</v>
      </c>
      <c r="L482">
        <v>1</v>
      </c>
      <c r="M482" t="s">
        <v>177</v>
      </c>
      <c r="N482">
        <v>26</v>
      </c>
      <c r="O482">
        <v>18</v>
      </c>
      <c r="T482" t="str">
        <f t="shared" si="50"/>
        <v/>
      </c>
    </row>
    <row r="483" spans="1:20" x14ac:dyDescent="0.55000000000000004">
      <c r="A483">
        <v>4</v>
      </c>
      <c r="B483" s="15" t="str">
        <f t="shared" si="56"/>
        <v>4_1</v>
      </c>
      <c r="C483" s="20">
        <v>45776.645833333336</v>
      </c>
      <c r="D483" t="s">
        <v>175</v>
      </c>
      <c r="E483">
        <v>2</v>
      </c>
      <c r="F483" t="s">
        <v>115</v>
      </c>
      <c r="G483" t="str">
        <f t="shared" si="51"/>
        <v>Paranephrops planifrons</v>
      </c>
      <c r="H483" t="str">
        <f t="shared" si="52"/>
        <v>Freshwater_crayfish</v>
      </c>
      <c r="I483" t="str">
        <f t="shared" si="53"/>
        <v>Kōura</v>
      </c>
      <c r="J483" t="str">
        <f t="shared" si="54"/>
        <v>Native</v>
      </c>
      <c r="K483" t="str">
        <f t="shared" si="55"/>
        <v>Yes</v>
      </c>
      <c r="L483">
        <v>1</v>
      </c>
      <c r="M483" t="s">
        <v>176</v>
      </c>
      <c r="N483">
        <v>28</v>
      </c>
      <c r="O483">
        <v>18</v>
      </c>
      <c r="T483" t="str">
        <f t="shared" si="50"/>
        <v/>
      </c>
    </row>
    <row r="484" spans="1:20" x14ac:dyDescent="0.55000000000000004">
      <c r="A484">
        <v>4</v>
      </c>
      <c r="B484" s="15" t="str">
        <f t="shared" si="56"/>
        <v>4_1</v>
      </c>
      <c r="C484" s="20">
        <v>45776.645833333336</v>
      </c>
      <c r="D484" t="s">
        <v>175</v>
      </c>
      <c r="E484">
        <v>2</v>
      </c>
      <c r="F484" t="s">
        <v>115</v>
      </c>
      <c r="G484" t="str">
        <f t="shared" si="51"/>
        <v>Paranephrops planifrons</v>
      </c>
      <c r="H484" t="str">
        <f t="shared" si="52"/>
        <v>Freshwater_crayfish</v>
      </c>
      <c r="I484" t="str">
        <f t="shared" si="53"/>
        <v>Kōura</v>
      </c>
      <c r="J484" t="str">
        <f t="shared" si="54"/>
        <v>Native</v>
      </c>
      <c r="K484" t="str">
        <f t="shared" si="55"/>
        <v>Yes</v>
      </c>
      <c r="L484">
        <v>1</v>
      </c>
      <c r="M484" t="s">
        <v>177</v>
      </c>
      <c r="N484">
        <v>29</v>
      </c>
      <c r="O484">
        <v>19</v>
      </c>
      <c r="T484" t="str">
        <f t="shared" si="50"/>
        <v/>
      </c>
    </row>
    <row r="485" spans="1:20" x14ac:dyDescent="0.55000000000000004">
      <c r="A485">
        <v>4</v>
      </c>
      <c r="B485" s="15" t="str">
        <f t="shared" si="56"/>
        <v>4_1</v>
      </c>
      <c r="C485" s="20">
        <v>45776.645833333336</v>
      </c>
      <c r="D485" t="s">
        <v>175</v>
      </c>
      <c r="E485">
        <v>2</v>
      </c>
      <c r="F485" t="s">
        <v>115</v>
      </c>
      <c r="G485" t="str">
        <f t="shared" si="51"/>
        <v>Paranephrops planifrons</v>
      </c>
      <c r="H485" t="str">
        <f t="shared" si="52"/>
        <v>Freshwater_crayfish</v>
      </c>
      <c r="I485" t="str">
        <f t="shared" si="53"/>
        <v>Kōura</v>
      </c>
      <c r="J485" t="str">
        <f t="shared" si="54"/>
        <v>Native</v>
      </c>
      <c r="K485" t="str">
        <f t="shared" si="55"/>
        <v>Yes</v>
      </c>
      <c r="L485">
        <v>1</v>
      </c>
      <c r="M485" t="s">
        <v>176</v>
      </c>
      <c r="N485">
        <v>23</v>
      </c>
      <c r="O485">
        <v>9</v>
      </c>
      <c r="T485" t="str">
        <f t="shared" si="50"/>
        <v/>
      </c>
    </row>
    <row r="486" spans="1:20" x14ac:dyDescent="0.55000000000000004">
      <c r="A486">
        <v>4</v>
      </c>
      <c r="B486" s="15" t="str">
        <f t="shared" si="56"/>
        <v>4_1</v>
      </c>
      <c r="C486" s="20">
        <v>45776.645833333336</v>
      </c>
      <c r="D486" t="s">
        <v>175</v>
      </c>
      <c r="E486">
        <v>2</v>
      </c>
      <c r="F486" t="s">
        <v>127</v>
      </c>
      <c r="G486" t="str">
        <f t="shared" si="51"/>
        <v>Galaxias brevipinnis</v>
      </c>
      <c r="H486" t="str">
        <f t="shared" si="52"/>
        <v>Climbing_galaxias</v>
      </c>
      <c r="I486" t="str">
        <f t="shared" si="53"/>
        <v>Kōaro</v>
      </c>
      <c r="J486" t="str">
        <f t="shared" si="54"/>
        <v>Native</v>
      </c>
      <c r="K486" t="str">
        <f t="shared" si="55"/>
        <v>Yes</v>
      </c>
      <c r="L486">
        <v>1</v>
      </c>
      <c r="N486">
        <v>120</v>
      </c>
      <c r="O486">
        <v>15</v>
      </c>
      <c r="T486" t="str">
        <f t="shared" si="50"/>
        <v/>
      </c>
    </row>
    <row r="487" spans="1:20" x14ac:dyDescent="0.55000000000000004">
      <c r="A487">
        <v>4</v>
      </c>
      <c r="B487" s="15" t="str">
        <f t="shared" si="56"/>
        <v>4_1</v>
      </c>
      <c r="C487" s="20">
        <v>45776.645833333336</v>
      </c>
      <c r="D487" t="s">
        <v>175</v>
      </c>
      <c r="E487">
        <v>2</v>
      </c>
      <c r="F487" t="s">
        <v>127</v>
      </c>
      <c r="G487" t="str">
        <f t="shared" si="51"/>
        <v>Galaxias brevipinnis</v>
      </c>
      <c r="H487" t="str">
        <f t="shared" si="52"/>
        <v>Climbing_galaxias</v>
      </c>
      <c r="I487" t="str">
        <f t="shared" si="53"/>
        <v>Kōaro</v>
      </c>
      <c r="J487" t="str">
        <f t="shared" si="54"/>
        <v>Native</v>
      </c>
      <c r="K487" t="str">
        <f t="shared" si="55"/>
        <v>Yes</v>
      </c>
      <c r="L487">
        <v>1</v>
      </c>
      <c r="N487">
        <v>90</v>
      </c>
      <c r="O487">
        <v>4</v>
      </c>
      <c r="T487" t="str">
        <f t="shared" si="50"/>
        <v/>
      </c>
    </row>
    <row r="488" spans="1:20" x14ac:dyDescent="0.55000000000000004">
      <c r="A488">
        <v>4</v>
      </c>
      <c r="B488" s="15" t="str">
        <f t="shared" si="56"/>
        <v>4_1</v>
      </c>
      <c r="C488" s="20">
        <v>45776.645833333336</v>
      </c>
      <c r="D488" t="s">
        <v>175</v>
      </c>
      <c r="E488">
        <v>2</v>
      </c>
      <c r="F488" t="s">
        <v>127</v>
      </c>
      <c r="G488" t="str">
        <f t="shared" si="51"/>
        <v>Galaxias brevipinnis</v>
      </c>
      <c r="H488" t="str">
        <f t="shared" si="52"/>
        <v>Climbing_galaxias</v>
      </c>
      <c r="I488" t="str">
        <f t="shared" si="53"/>
        <v>Kōaro</v>
      </c>
      <c r="J488" t="str">
        <f t="shared" si="54"/>
        <v>Native</v>
      </c>
      <c r="K488" t="str">
        <f t="shared" si="55"/>
        <v>Yes</v>
      </c>
      <c r="L488">
        <v>1</v>
      </c>
      <c r="N488">
        <v>95</v>
      </c>
      <c r="O488">
        <v>4</v>
      </c>
      <c r="T488" t="str">
        <f t="shared" si="50"/>
        <v/>
      </c>
    </row>
    <row r="489" spans="1:20" x14ac:dyDescent="0.55000000000000004">
      <c r="A489">
        <v>4</v>
      </c>
      <c r="B489" s="15" t="str">
        <f t="shared" si="56"/>
        <v>4_1</v>
      </c>
      <c r="C489" s="20">
        <v>45776.645833333336</v>
      </c>
      <c r="D489" t="s">
        <v>175</v>
      </c>
      <c r="E489">
        <v>2</v>
      </c>
      <c r="F489" t="s">
        <v>127</v>
      </c>
      <c r="G489" t="str">
        <f t="shared" si="51"/>
        <v>Galaxias brevipinnis</v>
      </c>
      <c r="H489" t="str">
        <f t="shared" si="52"/>
        <v>Climbing_galaxias</v>
      </c>
      <c r="I489" t="str">
        <f t="shared" si="53"/>
        <v>Kōaro</v>
      </c>
      <c r="J489" t="str">
        <f t="shared" si="54"/>
        <v>Native</v>
      </c>
      <c r="K489" t="str">
        <f t="shared" si="55"/>
        <v>Yes</v>
      </c>
      <c r="L489">
        <v>1</v>
      </c>
      <c r="N489">
        <v>110</v>
      </c>
      <c r="O489">
        <v>8</v>
      </c>
      <c r="T489" t="str">
        <f t="shared" si="50"/>
        <v/>
      </c>
    </row>
    <row r="490" spans="1:20" x14ac:dyDescent="0.55000000000000004">
      <c r="A490">
        <v>4</v>
      </c>
      <c r="B490" s="15" t="str">
        <f t="shared" si="56"/>
        <v>4_1</v>
      </c>
      <c r="C490" s="20">
        <v>45776.645833333336</v>
      </c>
      <c r="D490" t="s">
        <v>175</v>
      </c>
      <c r="E490">
        <v>2</v>
      </c>
      <c r="F490" t="s">
        <v>127</v>
      </c>
      <c r="G490" t="str">
        <f t="shared" si="51"/>
        <v>Galaxias brevipinnis</v>
      </c>
      <c r="H490" t="str">
        <f t="shared" si="52"/>
        <v>Climbing_galaxias</v>
      </c>
      <c r="I490" t="str">
        <f t="shared" si="53"/>
        <v>Kōaro</v>
      </c>
      <c r="J490" t="str">
        <f t="shared" si="54"/>
        <v>Native</v>
      </c>
      <c r="K490" t="str">
        <f t="shared" si="55"/>
        <v>Yes</v>
      </c>
      <c r="L490">
        <v>1</v>
      </c>
      <c r="N490">
        <v>70</v>
      </c>
      <c r="O490">
        <v>3</v>
      </c>
      <c r="T490" t="str">
        <f t="shared" si="50"/>
        <v/>
      </c>
    </row>
    <row r="491" spans="1:20" x14ac:dyDescent="0.55000000000000004">
      <c r="A491">
        <v>4</v>
      </c>
      <c r="B491" s="15" t="str">
        <f t="shared" si="56"/>
        <v>4_1</v>
      </c>
      <c r="C491" s="20">
        <v>45776.645833333336</v>
      </c>
      <c r="D491" t="s">
        <v>175</v>
      </c>
      <c r="E491">
        <v>2</v>
      </c>
      <c r="F491" t="s">
        <v>135</v>
      </c>
      <c r="G491" t="str">
        <f t="shared" si="51"/>
        <v>Gobiomorphus cotidianus</v>
      </c>
      <c r="H491" t="str">
        <f t="shared" si="52"/>
        <v>Common_bully</v>
      </c>
      <c r="I491" t="str">
        <f t="shared" si="53"/>
        <v>Toitoi</v>
      </c>
      <c r="J491" t="str">
        <f t="shared" si="54"/>
        <v>Native</v>
      </c>
      <c r="K491" t="str">
        <f t="shared" si="55"/>
        <v>No</v>
      </c>
      <c r="O491">
        <v>502</v>
      </c>
      <c r="S491">
        <v>2.5</v>
      </c>
      <c r="T491">
        <f t="shared" si="50"/>
        <v>591.47</v>
      </c>
    </row>
    <row r="492" spans="1:20" x14ac:dyDescent="0.55000000000000004">
      <c r="A492">
        <v>4</v>
      </c>
      <c r="B492" s="15" t="str">
        <f t="shared" si="56"/>
        <v>4_1</v>
      </c>
      <c r="C492" s="20">
        <v>45776.645833333336</v>
      </c>
      <c r="D492" t="s">
        <v>175</v>
      </c>
      <c r="E492">
        <v>2</v>
      </c>
      <c r="F492" t="s">
        <v>135</v>
      </c>
      <c r="G492" t="str">
        <f t="shared" si="51"/>
        <v>Gobiomorphus cotidianus</v>
      </c>
      <c r="H492" t="str">
        <f t="shared" si="52"/>
        <v>Common_bully</v>
      </c>
      <c r="I492" t="str">
        <f t="shared" si="53"/>
        <v>Toitoi</v>
      </c>
      <c r="J492" t="str">
        <f t="shared" si="54"/>
        <v>Native</v>
      </c>
      <c r="K492" t="str">
        <f t="shared" si="55"/>
        <v>No</v>
      </c>
      <c r="O492">
        <v>535</v>
      </c>
      <c r="S492">
        <v>2.5</v>
      </c>
      <c r="T492">
        <f t="shared" si="50"/>
        <v>591.47</v>
      </c>
    </row>
    <row r="493" spans="1:20" x14ac:dyDescent="0.55000000000000004">
      <c r="A493">
        <v>4</v>
      </c>
      <c r="B493" s="15" t="str">
        <f t="shared" si="56"/>
        <v>4_1</v>
      </c>
      <c r="C493" s="20">
        <v>45776.645833333336</v>
      </c>
      <c r="D493" t="s">
        <v>175</v>
      </c>
      <c r="E493">
        <v>2</v>
      </c>
      <c r="F493" t="s">
        <v>127</v>
      </c>
      <c r="G493" t="str">
        <f t="shared" si="51"/>
        <v>Galaxias brevipinnis</v>
      </c>
      <c r="H493" t="str">
        <f t="shared" si="52"/>
        <v>Climbing_galaxias</v>
      </c>
      <c r="I493" t="str">
        <f t="shared" si="53"/>
        <v>Kōaro</v>
      </c>
      <c r="J493" t="str">
        <f t="shared" si="54"/>
        <v>Native</v>
      </c>
      <c r="K493" t="str">
        <f t="shared" si="55"/>
        <v>Yes</v>
      </c>
      <c r="L493">
        <v>1</v>
      </c>
      <c r="N493">
        <v>90</v>
      </c>
      <c r="O493">
        <v>8</v>
      </c>
      <c r="T493" t="str">
        <f t="shared" si="50"/>
        <v/>
      </c>
    </row>
    <row r="494" spans="1:20" x14ac:dyDescent="0.55000000000000004">
      <c r="A494">
        <v>4</v>
      </c>
      <c r="B494" s="15" t="str">
        <f t="shared" si="56"/>
        <v>4_1</v>
      </c>
      <c r="C494" s="20">
        <v>45776.645833333336</v>
      </c>
      <c r="D494" t="s">
        <v>175</v>
      </c>
      <c r="E494">
        <v>2</v>
      </c>
      <c r="F494" t="s">
        <v>127</v>
      </c>
      <c r="G494" t="str">
        <f t="shared" si="51"/>
        <v>Galaxias brevipinnis</v>
      </c>
      <c r="H494" t="str">
        <f t="shared" si="52"/>
        <v>Climbing_galaxias</v>
      </c>
      <c r="I494" t="str">
        <f t="shared" si="53"/>
        <v>Kōaro</v>
      </c>
      <c r="J494" t="str">
        <f t="shared" si="54"/>
        <v>Native</v>
      </c>
      <c r="K494" t="str">
        <f t="shared" si="55"/>
        <v>Yes</v>
      </c>
      <c r="L494">
        <v>1</v>
      </c>
      <c r="N494">
        <v>90</v>
      </c>
      <c r="O494">
        <v>6</v>
      </c>
      <c r="T494" t="str">
        <f t="shared" si="50"/>
        <v/>
      </c>
    </row>
    <row r="495" spans="1:20" x14ac:dyDescent="0.55000000000000004">
      <c r="A495">
        <v>4</v>
      </c>
      <c r="B495" s="15" t="str">
        <f t="shared" si="56"/>
        <v>4_1</v>
      </c>
      <c r="C495" s="20">
        <v>45776.645833333336</v>
      </c>
      <c r="D495" t="s">
        <v>175</v>
      </c>
      <c r="E495">
        <v>2</v>
      </c>
      <c r="F495" t="s">
        <v>135</v>
      </c>
      <c r="G495" t="str">
        <f t="shared" si="51"/>
        <v>Gobiomorphus cotidianus</v>
      </c>
      <c r="H495" t="str">
        <f t="shared" si="52"/>
        <v>Common_bully</v>
      </c>
      <c r="I495" t="str">
        <f t="shared" si="53"/>
        <v>Toitoi</v>
      </c>
      <c r="J495" t="str">
        <f t="shared" si="54"/>
        <v>Native</v>
      </c>
      <c r="K495" t="str">
        <f t="shared" si="55"/>
        <v>No</v>
      </c>
      <c r="O495">
        <v>427</v>
      </c>
      <c r="S495">
        <v>2</v>
      </c>
      <c r="T495">
        <f t="shared" si="50"/>
        <v>473.17599999999999</v>
      </c>
    </row>
    <row r="496" spans="1:20" x14ac:dyDescent="0.55000000000000004">
      <c r="A496">
        <v>4</v>
      </c>
      <c r="B496" s="15" t="str">
        <f t="shared" si="56"/>
        <v>4_1</v>
      </c>
      <c r="C496" s="20">
        <v>45776.645833333336</v>
      </c>
      <c r="D496" t="s">
        <v>175</v>
      </c>
      <c r="E496">
        <v>2</v>
      </c>
      <c r="F496" t="s">
        <v>115</v>
      </c>
      <c r="G496" t="str">
        <f t="shared" si="51"/>
        <v>Paranephrops planifrons</v>
      </c>
      <c r="H496" t="str">
        <f t="shared" si="52"/>
        <v>Freshwater_crayfish</v>
      </c>
      <c r="I496" t="str">
        <f t="shared" si="53"/>
        <v>Kōura</v>
      </c>
      <c r="J496" t="str">
        <f t="shared" si="54"/>
        <v>Native</v>
      </c>
      <c r="K496" t="str">
        <f t="shared" si="55"/>
        <v>Yes</v>
      </c>
      <c r="L496">
        <v>1</v>
      </c>
      <c r="M496" t="s">
        <v>177</v>
      </c>
      <c r="N496">
        <v>40</v>
      </c>
      <c r="O496">
        <v>53</v>
      </c>
      <c r="T496" t="str">
        <f t="shared" si="50"/>
        <v/>
      </c>
    </row>
    <row r="497" spans="1:21" x14ac:dyDescent="0.55000000000000004">
      <c r="A497">
        <v>4</v>
      </c>
      <c r="B497" s="15" t="str">
        <f t="shared" si="56"/>
        <v>4_1</v>
      </c>
      <c r="C497" s="20">
        <v>45776.645833333336</v>
      </c>
      <c r="D497" t="s">
        <v>175</v>
      </c>
      <c r="E497">
        <v>2</v>
      </c>
      <c r="F497" t="s">
        <v>115</v>
      </c>
      <c r="G497" t="str">
        <f t="shared" si="51"/>
        <v>Paranephrops planifrons</v>
      </c>
      <c r="H497" t="str">
        <f t="shared" si="52"/>
        <v>Freshwater_crayfish</v>
      </c>
      <c r="I497" t="str">
        <f t="shared" si="53"/>
        <v>Kōura</v>
      </c>
      <c r="J497" t="str">
        <f t="shared" si="54"/>
        <v>Native</v>
      </c>
      <c r="K497" t="str">
        <f t="shared" si="55"/>
        <v>Yes</v>
      </c>
      <c r="L497">
        <v>1</v>
      </c>
      <c r="M497" t="s">
        <v>177</v>
      </c>
      <c r="N497">
        <v>36</v>
      </c>
      <c r="O497">
        <v>42</v>
      </c>
      <c r="T497" t="str">
        <f t="shared" si="50"/>
        <v/>
      </c>
    </row>
    <row r="498" spans="1:21" x14ac:dyDescent="0.55000000000000004">
      <c r="A498">
        <v>4</v>
      </c>
      <c r="B498" s="15" t="str">
        <f t="shared" si="56"/>
        <v>4_1</v>
      </c>
      <c r="C498" s="20">
        <v>45776.645833333336</v>
      </c>
      <c r="D498" t="s">
        <v>175</v>
      </c>
      <c r="E498">
        <v>2</v>
      </c>
      <c r="F498" t="s">
        <v>115</v>
      </c>
      <c r="G498" t="str">
        <f t="shared" si="51"/>
        <v>Paranephrops planifrons</v>
      </c>
      <c r="H498" t="str">
        <f t="shared" si="52"/>
        <v>Freshwater_crayfish</v>
      </c>
      <c r="I498" t="str">
        <f t="shared" si="53"/>
        <v>Kōura</v>
      </c>
      <c r="J498" t="str">
        <f t="shared" si="54"/>
        <v>Native</v>
      </c>
      <c r="K498" t="str">
        <f t="shared" si="55"/>
        <v>Yes</v>
      </c>
      <c r="L498">
        <v>1</v>
      </c>
      <c r="M498" t="s">
        <v>176</v>
      </c>
      <c r="N498">
        <v>33</v>
      </c>
      <c r="O498">
        <v>23</v>
      </c>
      <c r="P498">
        <v>1</v>
      </c>
      <c r="T498" t="str">
        <f t="shared" si="50"/>
        <v/>
      </c>
    </row>
    <row r="499" spans="1:21" x14ac:dyDescent="0.55000000000000004">
      <c r="A499">
        <v>4</v>
      </c>
      <c r="B499" s="15" t="str">
        <f t="shared" si="56"/>
        <v>4_1</v>
      </c>
      <c r="C499" s="20">
        <v>45776.645833333336</v>
      </c>
      <c r="D499" t="s">
        <v>175</v>
      </c>
      <c r="E499">
        <v>2</v>
      </c>
      <c r="F499" t="s">
        <v>115</v>
      </c>
      <c r="G499" t="str">
        <f t="shared" si="51"/>
        <v>Paranephrops planifrons</v>
      </c>
      <c r="H499" t="str">
        <f t="shared" si="52"/>
        <v>Freshwater_crayfish</v>
      </c>
      <c r="I499" t="str">
        <f t="shared" si="53"/>
        <v>Kōura</v>
      </c>
      <c r="J499" t="str">
        <f t="shared" si="54"/>
        <v>Native</v>
      </c>
      <c r="K499" t="str">
        <f t="shared" si="55"/>
        <v>Yes</v>
      </c>
      <c r="L499">
        <v>1</v>
      </c>
      <c r="M499" t="s">
        <v>177</v>
      </c>
      <c r="N499">
        <v>30</v>
      </c>
      <c r="O499">
        <v>21</v>
      </c>
      <c r="T499" t="str">
        <f t="shared" si="50"/>
        <v/>
      </c>
    </row>
    <row r="500" spans="1:21" x14ac:dyDescent="0.55000000000000004">
      <c r="A500">
        <v>4</v>
      </c>
      <c r="B500" s="15" t="str">
        <f t="shared" si="56"/>
        <v>4_1</v>
      </c>
      <c r="C500" s="20">
        <v>45776.645833333336</v>
      </c>
      <c r="D500" t="s">
        <v>175</v>
      </c>
      <c r="E500">
        <v>2</v>
      </c>
      <c r="F500" t="s">
        <v>115</v>
      </c>
      <c r="G500" t="str">
        <f t="shared" si="51"/>
        <v>Paranephrops planifrons</v>
      </c>
      <c r="H500" t="str">
        <f t="shared" si="52"/>
        <v>Freshwater_crayfish</v>
      </c>
      <c r="I500" t="str">
        <f t="shared" si="53"/>
        <v>Kōura</v>
      </c>
      <c r="J500" t="str">
        <f t="shared" si="54"/>
        <v>Native</v>
      </c>
      <c r="K500" t="str">
        <f t="shared" si="55"/>
        <v>Yes</v>
      </c>
      <c r="L500">
        <v>1</v>
      </c>
      <c r="M500" t="s">
        <v>177</v>
      </c>
      <c r="N500">
        <v>27</v>
      </c>
      <c r="O500">
        <v>16</v>
      </c>
      <c r="T500" t="str">
        <f t="shared" si="50"/>
        <v/>
      </c>
    </row>
    <row r="501" spans="1:21" x14ac:dyDescent="0.55000000000000004">
      <c r="A501">
        <v>4</v>
      </c>
      <c r="B501" s="15" t="str">
        <f t="shared" si="56"/>
        <v>4_1</v>
      </c>
      <c r="C501" s="20">
        <v>45776.645833333336</v>
      </c>
      <c r="D501" t="s">
        <v>175</v>
      </c>
      <c r="E501">
        <v>2</v>
      </c>
      <c r="F501" t="s">
        <v>115</v>
      </c>
      <c r="G501" t="str">
        <f t="shared" si="51"/>
        <v>Paranephrops planifrons</v>
      </c>
      <c r="H501" t="str">
        <f t="shared" si="52"/>
        <v>Freshwater_crayfish</v>
      </c>
      <c r="I501" t="str">
        <f t="shared" si="53"/>
        <v>Kōura</v>
      </c>
      <c r="J501" t="str">
        <f t="shared" si="54"/>
        <v>Native</v>
      </c>
      <c r="K501" t="str">
        <f t="shared" si="55"/>
        <v>Yes</v>
      </c>
      <c r="L501">
        <v>1</v>
      </c>
      <c r="M501" t="s">
        <v>177</v>
      </c>
      <c r="N501">
        <v>30</v>
      </c>
      <c r="O501">
        <v>21</v>
      </c>
      <c r="T501" t="str">
        <f t="shared" si="50"/>
        <v/>
      </c>
    </row>
    <row r="502" spans="1:21" x14ac:dyDescent="0.55000000000000004">
      <c r="A502">
        <v>4</v>
      </c>
      <c r="B502" s="15" t="str">
        <f t="shared" si="56"/>
        <v>4_1</v>
      </c>
      <c r="C502" s="20">
        <v>45776.645833333336</v>
      </c>
      <c r="D502" t="s">
        <v>175</v>
      </c>
      <c r="E502">
        <v>2</v>
      </c>
      <c r="F502" t="s">
        <v>115</v>
      </c>
      <c r="G502" t="str">
        <f t="shared" si="51"/>
        <v>Paranephrops planifrons</v>
      </c>
      <c r="H502" t="str">
        <f t="shared" si="52"/>
        <v>Freshwater_crayfish</v>
      </c>
      <c r="I502" t="str">
        <f t="shared" si="53"/>
        <v>Kōura</v>
      </c>
      <c r="J502" t="str">
        <f t="shared" si="54"/>
        <v>Native</v>
      </c>
      <c r="K502" t="str">
        <f t="shared" si="55"/>
        <v>Yes</v>
      </c>
      <c r="L502">
        <v>1</v>
      </c>
      <c r="M502" t="s">
        <v>176</v>
      </c>
      <c r="N502">
        <v>30</v>
      </c>
      <c r="O502">
        <v>21</v>
      </c>
      <c r="P502">
        <v>1</v>
      </c>
      <c r="T502" t="str">
        <f t="shared" si="50"/>
        <v/>
      </c>
    </row>
    <row r="503" spans="1:21" x14ac:dyDescent="0.55000000000000004">
      <c r="A503">
        <v>4</v>
      </c>
      <c r="B503" s="15" t="str">
        <f t="shared" si="56"/>
        <v>4_1</v>
      </c>
      <c r="C503" s="20">
        <v>45776.645833333336</v>
      </c>
      <c r="D503" t="s">
        <v>175</v>
      </c>
      <c r="E503">
        <v>2</v>
      </c>
      <c r="F503" t="s">
        <v>115</v>
      </c>
      <c r="G503" t="str">
        <f t="shared" si="51"/>
        <v>Paranephrops planifrons</v>
      </c>
      <c r="H503" t="str">
        <f t="shared" si="52"/>
        <v>Freshwater_crayfish</v>
      </c>
      <c r="I503" t="str">
        <f t="shared" si="53"/>
        <v>Kōura</v>
      </c>
      <c r="J503" t="str">
        <f t="shared" si="54"/>
        <v>Native</v>
      </c>
      <c r="K503" t="str">
        <f t="shared" si="55"/>
        <v>Yes</v>
      </c>
      <c r="L503">
        <v>1</v>
      </c>
      <c r="M503" t="s">
        <v>177</v>
      </c>
      <c r="N503">
        <v>21</v>
      </c>
      <c r="O503">
        <v>7</v>
      </c>
      <c r="T503" t="str">
        <f t="shared" si="50"/>
        <v/>
      </c>
      <c r="U503" t="s">
        <v>184</v>
      </c>
    </row>
    <row r="504" spans="1:21" x14ac:dyDescent="0.55000000000000004">
      <c r="A504">
        <v>4</v>
      </c>
      <c r="B504" s="15" t="str">
        <f t="shared" si="56"/>
        <v>4_1</v>
      </c>
      <c r="C504" s="20">
        <v>45776.645833333336</v>
      </c>
      <c r="D504" t="s">
        <v>175</v>
      </c>
      <c r="E504">
        <v>2</v>
      </c>
      <c r="F504" t="s">
        <v>127</v>
      </c>
      <c r="G504" t="str">
        <f t="shared" si="51"/>
        <v>Galaxias brevipinnis</v>
      </c>
      <c r="H504" t="str">
        <f t="shared" si="52"/>
        <v>Climbing_galaxias</v>
      </c>
      <c r="I504" t="str">
        <f t="shared" si="53"/>
        <v>Kōaro</v>
      </c>
      <c r="J504" t="str">
        <f t="shared" si="54"/>
        <v>Native</v>
      </c>
      <c r="K504" t="str">
        <f t="shared" si="55"/>
        <v>Yes</v>
      </c>
      <c r="L504">
        <v>1</v>
      </c>
      <c r="N504">
        <v>70</v>
      </c>
      <c r="O504">
        <v>2</v>
      </c>
      <c r="T504" t="str">
        <f t="shared" ref="T504:T564" si="57">IF(S504&lt;&gt;"", S504*236.588, "")</f>
        <v/>
      </c>
    </row>
    <row r="505" spans="1:21" x14ac:dyDescent="0.55000000000000004">
      <c r="A505">
        <v>4</v>
      </c>
      <c r="B505" s="15" t="str">
        <f t="shared" si="56"/>
        <v>4_1</v>
      </c>
      <c r="C505" s="20">
        <v>45776.645833333336</v>
      </c>
      <c r="D505" t="s">
        <v>175</v>
      </c>
      <c r="E505">
        <v>2</v>
      </c>
      <c r="F505" t="s">
        <v>127</v>
      </c>
      <c r="G505" t="str">
        <f t="shared" si="51"/>
        <v>Galaxias brevipinnis</v>
      </c>
      <c r="H505" t="str">
        <f t="shared" si="52"/>
        <v>Climbing_galaxias</v>
      </c>
      <c r="I505" t="str">
        <f t="shared" si="53"/>
        <v>Kōaro</v>
      </c>
      <c r="J505" t="str">
        <f t="shared" si="54"/>
        <v>Native</v>
      </c>
      <c r="K505" t="str">
        <f t="shared" si="55"/>
        <v>Yes</v>
      </c>
      <c r="L505">
        <v>1</v>
      </c>
      <c r="N505">
        <v>80</v>
      </c>
      <c r="O505">
        <v>3</v>
      </c>
      <c r="T505" t="str">
        <f t="shared" si="57"/>
        <v/>
      </c>
    </row>
    <row r="506" spans="1:21" x14ac:dyDescent="0.55000000000000004">
      <c r="A506">
        <v>4</v>
      </c>
      <c r="B506" s="15" t="str">
        <f t="shared" si="56"/>
        <v>4_1</v>
      </c>
      <c r="C506" s="20">
        <v>45776.645833333336</v>
      </c>
      <c r="D506" t="s">
        <v>175</v>
      </c>
      <c r="E506">
        <v>2</v>
      </c>
      <c r="F506" t="s">
        <v>127</v>
      </c>
      <c r="G506" t="str">
        <f t="shared" si="51"/>
        <v>Galaxias brevipinnis</v>
      </c>
      <c r="H506" t="str">
        <f t="shared" si="52"/>
        <v>Climbing_galaxias</v>
      </c>
      <c r="I506" t="str">
        <f t="shared" si="53"/>
        <v>Kōaro</v>
      </c>
      <c r="J506" t="str">
        <f t="shared" si="54"/>
        <v>Native</v>
      </c>
      <c r="K506" t="str">
        <f t="shared" si="55"/>
        <v>Yes</v>
      </c>
      <c r="L506">
        <v>1</v>
      </c>
      <c r="N506">
        <v>105</v>
      </c>
      <c r="O506">
        <v>7</v>
      </c>
      <c r="T506" t="str">
        <f t="shared" si="57"/>
        <v/>
      </c>
    </row>
    <row r="507" spans="1:21" x14ac:dyDescent="0.55000000000000004">
      <c r="A507">
        <v>4</v>
      </c>
      <c r="B507" s="15" t="str">
        <f t="shared" si="56"/>
        <v>4_1</v>
      </c>
      <c r="C507" s="20">
        <v>45776.645833333336</v>
      </c>
      <c r="D507" t="s">
        <v>175</v>
      </c>
      <c r="E507">
        <v>2</v>
      </c>
      <c r="F507" t="s">
        <v>127</v>
      </c>
      <c r="G507" t="str">
        <f t="shared" si="51"/>
        <v>Galaxias brevipinnis</v>
      </c>
      <c r="H507" t="str">
        <f t="shared" si="52"/>
        <v>Climbing_galaxias</v>
      </c>
      <c r="I507" t="str">
        <f t="shared" si="53"/>
        <v>Kōaro</v>
      </c>
      <c r="J507" t="str">
        <f t="shared" si="54"/>
        <v>Native</v>
      </c>
      <c r="K507" t="str">
        <f t="shared" si="55"/>
        <v>Yes</v>
      </c>
      <c r="L507">
        <v>1</v>
      </c>
      <c r="N507">
        <v>110</v>
      </c>
      <c r="O507">
        <v>11</v>
      </c>
      <c r="T507" t="str">
        <f t="shared" si="57"/>
        <v/>
      </c>
    </row>
    <row r="508" spans="1:21" x14ac:dyDescent="0.55000000000000004">
      <c r="A508">
        <v>4</v>
      </c>
      <c r="B508" s="15" t="str">
        <f t="shared" si="56"/>
        <v>4_1</v>
      </c>
      <c r="C508" s="20">
        <v>45776.645833333336</v>
      </c>
      <c r="D508" t="s">
        <v>175</v>
      </c>
      <c r="E508">
        <v>2</v>
      </c>
      <c r="F508" t="s">
        <v>127</v>
      </c>
      <c r="G508" t="str">
        <f t="shared" si="51"/>
        <v>Galaxias brevipinnis</v>
      </c>
      <c r="H508" t="str">
        <f t="shared" si="52"/>
        <v>Climbing_galaxias</v>
      </c>
      <c r="I508" t="str">
        <f t="shared" si="53"/>
        <v>Kōaro</v>
      </c>
      <c r="J508" t="str">
        <f t="shared" si="54"/>
        <v>Native</v>
      </c>
      <c r="K508" t="str">
        <f t="shared" si="55"/>
        <v>Yes</v>
      </c>
      <c r="L508">
        <v>1</v>
      </c>
      <c r="N508">
        <v>95</v>
      </c>
      <c r="O508">
        <v>7</v>
      </c>
      <c r="T508" t="str">
        <f t="shared" si="57"/>
        <v/>
      </c>
    </row>
    <row r="509" spans="1:21" x14ac:dyDescent="0.55000000000000004">
      <c r="A509">
        <v>4</v>
      </c>
      <c r="B509" s="15" t="str">
        <f t="shared" si="56"/>
        <v>4_1</v>
      </c>
      <c r="C509" s="20">
        <v>45776.645833333336</v>
      </c>
      <c r="D509" t="s">
        <v>175</v>
      </c>
      <c r="E509">
        <v>2</v>
      </c>
      <c r="F509" t="s">
        <v>127</v>
      </c>
      <c r="G509" t="str">
        <f t="shared" si="51"/>
        <v>Galaxias brevipinnis</v>
      </c>
      <c r="H509" t="str">
        <f t="shared" si="52"/>
        <v>Climbing_galaxias</v>
      </c>
      <c r="I509" t="str">
        <f t="shared" si="53"/>
        <v>Kōaro</v>
      </c>
      <c r="J509" t="str">
        <f t="shared" si="54"/>
        <v>Native</v>
      </c>
      <c r="K509" t="str">
        <f t="shared" si="55"/>
        <v>Yes</v>
      </c>
      <c r="L509">
        <v>1</v>
      </c>
      <c r="N509">
        <v>80</v>
      </c>
      <c r="O509">
        <v>3</v>
      </c>
      <c r="T509" t="str">
        <f t="shared" si="57"/>
        <v/>
      </c>
    </row>
    <row r="510" spans="1:21" x14ac:dyDescent="0.55000000000000004">
      <c r="A510">
        <v>4</v>
      </c>
      <c r="B510" s="15" t="str">
        <f t="shared" si="56"/>
        <v>4_1</v>
      </c>
      <c r="C510" s="20">
        <v>45776.645833333336</v>
      </c>
      <c r="D510" t="s">
        <v>175</v>
      </c>
      <c r="E510">
        <v>2</v>
      </c>
      <c r="F510" t="s">
        <v>127</v>
      </c>
      <c r="G510" t="str">
        <f t="shared" si="51"/>
        <v>Galaxias brevipinnis</v>
      </c>
      <c r="H510" t="str">
        <f t="shared" si="52"/>
        <v>Climbing_galaxias</v>
      </c>
      <c r="I510" t="str">
        <f t="shared" si="53"/>
        <v>Kōaro</v>
      </c>
      <c r="J510" t="str">
        <f t="shared" si="54"/>
        <v>Native</v>
      </c>
      <c r="K510" t="str">
        <f t="shared" si="55"/>
        <v>Yes</v>
      </c>
      <c r="L510">
        <v>1</v>
      </c>
      <c r="N510">
        <v>100</v>
      </c>
      <c r="O510">
        <v>6</v>
      </c>
      <c r="T510" t="str">
        <f t="shared" si="57"/>
        <v/>
      </c>
    </row>
    <row r="511" spans="1:21" x14ac:dyDescent="0.55000000000000004">
      <c r="A511">
        <v>4</v>
      </c>
      <c r="B511" s="15" t="str">
        <f t="shared" si="56"/>
        <v>4_1</v>
      </c>
      <c r="C511" s="20">
        <v>45776.645833333336</v>
      </c>
      <c r="D511" t="s">
        <v>175</v>
      </c>
      <c r="E511">
        <v>2</v>
      </c>
      <c r="F511" t="s">
        <v>135</v>
      </c>
      <c r="G511" t="str">
        <f t="shared" si="51"/>
        <v>Gobiomorphus cotidianus</v>
      </c>
      <c r="H511" t="str">
        <f t="shared" si="52"/>
        <v>Common_bully</v>
      </c>
      <c r="I511" t="str">
        <f t="shared" si="53"/>
        <v>Toitoi</v>
      </c>
      <c r="J511" t="str">
        <f t="shared" si="54"/>
        <v>Native</v>
      </c>
      <c r="K511" t="str">
        <f t="shared" si="55"/>
        <v>No</v>
      </c>
      <c r="O511">
        <v>557</v>
      </c>
      <c r="S511">
        <v>2.5</v>
      </c>
      <c r="T511">
        <f t="shared" si="57"/>
        <v>591.47</v>
      </c>
    </row>
    <row r="512" spans="1:21" x14ac:dyDescent="0.55000000000000004">
      <c r="A512">
        <v>4</v>
      </c>
      <c r="B512" s="15" t="str">
        <f t="shared" si="56"/>
        <v>4_1</v>
      </c>
      <c r="C512" s="20">
        <v>45776.645833333336</v>
      </c>
      <c r="D512" t="s">
        <v>175</v>
      </c>
      <c r="E512">
        <v>2</v>
      </c>
      <c r="F512" t="s">
        <v>135</v>
      </c>
      <c r="G512" t="str">
        <f t="shared" si="51"/>
        <v>Gobiomorphus cotidianus</v>
      </c>
      <c r="H512" t="str">
        <f t="shared" si="52"/>
        <v>Common_bully</v>
      </c>
      <c r="I512" t="str">
        <f t="shared" si="53"/>
        <v>Toitoi</v>
      </c>
      <c r="J512" t="str">
        <f t="shared" si="54"/>
        <v>Native</v>
      </c>
      <c r="K512" t="str">
        <f t="shared" si="55"/>
        <v>No</v>
      </c>
      <c r="O512">
        <v>515</v>
      </c>
      <c r="S512">
        <v>2.5</v>
      </c>
      <c r="T512">
        <f t="shared" si="57"/>
        <v>591.47</v>
      </c>
    </row>
    <row r="513" spans="1:20" x14ac:dyDescent="0.55000000000000004">
      <c r="A513">
        <v>4</v>
      </c>
      <c r="B513" s="15" t="str">
        <f t="shared" si="56"/>
        <v>4_1</v>
      </c>
      <c r="C513" s="20">
        <v>45776.645833333336</v>
      </c>
      <c r="D513" t="s">
        <v>175</v>
      </c>
      <c r="E513">
        <v>2</v>
      </c>
      <c r="F513" t="s">
        <v>127</v>
      </c>
      <c r="G513" t="str">
        <f t="shared" si="51"/>
        <v>Galaxias brevipinnis</v>
      </c>
      <c r="H513" t="str">
        <f t="shared" si="52"/>
        <v>Climbing_galaxias</v>
      </c>
      <c r="I513" t="str">
        <f t="shared" si="53"/>
        <v>Kōaro</v>
      </c>
      <c r="J513" t="str">
        <f t="shared" si="54"/>
        <v>Native</v>
      </c>
      <c r="K513" t="str">
        <f t="shared" si="55"/>
        <v>Yes</v>
      </c>
      <c r="L513">
        <v>1</v>
      </c>
      <c r="N513">
        <v>100</v>
      </c>
      <c r="O513">
        <v>8</v>
      </c>
      <c r="T513" t="str">
        <f t="shared" si="57"/>
        <v/>
      </c>
    </row>
    <row r="514" spans="1:20" x14ac:dyDescent="0.55000000000000004">
      <c r="A514">
        <v>4</v>
      </c>
      <c r="B514" s="15" t="str">
        <f t="shared" si="56"/>
        <v>4_1</v>
      </c>
      <c r="C514" s="20">
        <v>45776.645833333336</v>
      </c>
      <c r="D514" t="s">
        <v>175</v>
      </c>
      <c r="E514">
        <v>2</v>
      </c>
      <c r="F514" t="s">
        <v>135</v>
      </c>
      <c r="G514" t="str">
        <f t="shared" ref="G514:G577" si="58">VLOOKUP($F514, $W$1:$AB$10, 2, FALSE)</f>
        <v>Gobiomorphus cotidianus</v>
      </c>
      <c r="H514" t="str">
        <f t="shared" ref="H514:H577" si="59">VLOOKUP($F514, $W$1:$AB$10, 3, FALSE)</f>
        <v>Common_bully</v>
      </c>
      <c r="I514" t="str">
        <f t="shared" ref="I514:I577" si="60">VLOOKUP($F514, $W$1:$AB$10, 4, FALSE)</f>
        <v>Toitoi</v>
      </c>
      <c r="J514" t="str">
        <f t="shared" ref="J514:J577" si="61">VLOOKUP($F514, $W$1:$AC$10, 5, FALSE)</f>
        <v>Native</v>
      </c>
      <c r="K514" t="str">
        <f t="shared" ref="K514:K577" si="62">VLOOKUP($F514, $W$1:$AB$10, 6, FALSE)</f>
        <v>No</v>
      </c>
      <c r="O514">
        <v>324</v>
      </c>
      <c r="S514">
        <v>1.5</v>
      </c>
      <c r="T514">
        <f t="shared" si="57"/>
        <v>354.88200000000001</v>
      </c>
    </row>
    <row r="515" spans="1:20" x14ac:dyDescent="0.55000000000000004">
      <c r="A515">
        <v>4</v>
      </c>
      <c r="B515" s="15" t="str">
        <f t="shared" si="56"/>
        <v>4_1</v>
      </c>
      <c r="C515" s="20">
        <v>45776.645833333336</v>
      </c>
      <c r="D515" t="s">
        <v>175</v>
      </c>
      <c r="E515">
        <v>2</v>
      </c>
      <c r="F515" t="s">
        <v>135</v>
      </c>
      <c r="G515" t="str">
        <f t="shared" si="58"/>
        <v>Gobiomorphus cotidianus</v>
      </c>
      <c r="H515" t="str">
        <f t="shared" si="59"/>
        <v>Common_bully</v>
      </c>
      <c r="I515" t="str">
        <f t="shared" si="60"/>
        <v>Toitoi</v>
      </c>
      <c r="J515" t="str">
        <f t="shared" si="61"/>
        <v>Native</v>
      </c>
      <c r="K515" t="str">
        <f t="shared" si="62"/>
        <v>No</v>
      </c>
      <c r="O515">
        <v>240</v>
      </c>
      <c r="S515">
        <v>0.6</v>
      </c>
      <c r="T515">
        <f t="shared" si="57"/>
        <v>141.9528</v>
      </c>
    </row>
    <row r="516" spans="1:20" x14ac:dyDescent="0.55000000000000004">
      <c r="A516">
        <v>5</v>
      </c>
      <c r="B516" s="15" t="str">
        <f t="shared" si="56"/>
        <v>5_1</v>
      </c>
      <c r="C516" s="20">
        <v>45776.55</v>
      </c>
      <c r="D516" t="s">
        <v>174</v>
      </c>
      <c r="E516">
        <v>2</v>
      </c>
      <c r="F516" t="s">
        <v>135</v>
      </c>
      <c r="G516" t="str">
        <f t="shared" si="58"/>
        <v>Gobiomorphus cotidianus</v>
      </c>
      <c r="H516" t="str">
        <f t="shared" si="59"/>
        <v>Common_bully</v>
      </c>
      <c r="I516" t="str">
        <f t="shared" si="60"/>
        <v>Toitoi</v>
      </c>
      <c r="J516" t="str">
        <f t="shared" si="61"/>
        <v>Native</v>
      </c>
      <c r="K516" t="str">
        <f t="shared" si="62"/>
        <v>No</v>
      </c>
      <c r="L516">
        <v>4</v>
      </c>
      <c r="T516" t="str">
        <f t="shared" si="57"/>
        <v/>
      </c>
    </row>
    <row r="517" spans="1:20" x14ac:dyDescent="0.55000000000000004">
      <c r="A517">
        <v>5</v>
      </c>
      <c r="B517" s="15" t="str">
        <f t="shared" si="56"/>
        <v>5_1</v>
      </c>
      <c r="C517" s="20">
        <v>45776.55</v>
      </c>
      <c r="D517" t="s">
        <v>175</v>
      </c>
      <c r="E517">
        <v>2</v>
      </c>
      <c r="F517" t="s">
        <v>127</v>
      </c>
      <c r="G517" t="str">
        <f t="shared" si="58"/>
        <v>Galaxias brevipinnis</v>
      </c>
      <c r="H517" t="str">
        <f t="shared" si="59"/>
        <v>Climbing_galaxias</v>
      </c>
      <c r="I517" t="str">
        <f t="shared" si="60"/>
        <v>Kōaro</v>
      </c>
      <c r="J517" t="str">
        <f t="shared" si="61"/>
        <v>Native</v>
      </c>
      <c r="K517" t="str">
        <f t="shared" si="62"/>
        <v>Yes</v>
      </c>
      <c r="L517">
        <v>1</v>
      </c>
      <c r="N517">
        <v>70</v>
      </c>
      <c r="O517">
        <v>7</v>
      </c>
      <c r="T517" t="str">
        <f t="shared" si="57"/>
        <v/>
      </c>
    </row>
    <row r="518" spans="1:20" x14ac:dyDescent="0.55000000000000004">
      <c r="A518">
        <v>5</v>
      </c>
      <c r="B518" s="15" t="str">
        <f t="shared" si="56"/>
        <v>5_1</v>
      </c>
      <c r="C518" s="20">
        <v>45776.55</v>
      </c>
      <c r="D518" t="s">
        <v>175</v>
      </c>
      <c r="E518">
        <v>2</v>
      </c>
      <c r="F518" t="s">
        <v>135</v>
      </c>
      <c r="G518" t="str">
        <f t="shared" si="58"/>
        <v>Gobiomorphus cotidianus</v>
      </c>
      <c r="H518" t="str">
        <f t="shared" si="59"/>
        <v>Common_bully</v>
      </c>
      <c r="I518" t="str">
        <f t="shared" si="60"/>
        <v>Toitoi</v>
      </c>
      <c r="J518" t="str">
        <f t="shared" si="61"/>
        <v>Native</v>
      </c>
      <c r="K518" t="str">
        <f t="shared" si="62"/>
        <v>No</v>
      </c>
      <c r="O518">
        <v>319</v>
      </c>
      <c r="S518">
        <v>1.6</v>
      </c>
      <c r="T518">
        <f t="shared" si="57"/>
        <v>378.54079999999999</v>
      </c>
    </row>
    <row r="519" spans="1:20" x14ac:dyDescent="0.55000000000000004">
      <c r="A519">
        <v>5</v>
      </c>
      <c r="B519" s="15" t="str">
        <f t="shared" ref="B519:B582" si="63">A519 &amp; "_1"</f>
        <v>5_1</v>
      </c>
      <c r="C519" s="20">
        <v>45776.55</v>
      </c>
      <c r="D519" t="s">
        <v>175</v>
      </c>
      <c r="E519">
        <v>2</v>
      </c>
      <c r="F519" t="s">
        <v>135</v>
      </c>
      <c r="G519" t="str">
        <f t="shared" si="58"/>
        <v>Gobiomorphus cotidianus</v>
      </c>
      <c r="H519" t="str">
        <f t="shared" si="59"/>
        <v>Common_bully</v>
      </c>
      <c r="I519" t="str">
        <f t="shared" si="60"/>
        <v>Toitoi</v>
      </c>
      <c r="J519" t="str">
        <f t="shared" si="61"/>
        <v>Native</v>
      </c>
      <c r="K519" t="str">
        <f t="shared" si="62"/>
        <v>No</v>
      </c>
      <c r="O519">
        <v>157</v>
      </c>
      <c r="S519">
        <v>0.6</v>
      </c>
      <c r="T519">
        <f t="shared" si="57"/>
        <v>141.9528</v>
      </c>
    </row>
    <row r="520" spans="1:20" x14ac:dyDescent="0.55000000000000004">
      <c r="A520">
        <v>5</v>
      </c>
      <c r="B520" s="15" t="str">
        <f t="shared" si="63"/>
        <v>5_1</v>
      </c>
      <c r="C520" s="20">
        <v>45776.55</v>
      </c>
      <c r="D520" t="s">
        <v>175</v>
      </c>
      <c r="E520">
        <v>2</v>
      </c>
      <c r="F520" t="s">
        <v>135</v>
      </c>
      <c r="G520" t="str">
        <f t="shared" si="58"/>
        <v>Gobiomorphus cotidianus</v>
      </c>
      <c r="H520" t="str">
        <f t="shared" si="59"/>
        <v>Common_bully</v>
      </c>
      <c r="I520" t="str">
        <f t="shared" si="60"/>
        <v>Toitoi</v>
      </c>
      <c r="J520" t="str">
        <f t="shared" si="61"/>
        <v>Native</v>
      </c>
      <c r="K520" t="str">
        <f t="shared" si="62"/>
        <v>No</v>
      </c>
      <c r="O520">
        <v>307</v>
      </c>
      <c r="S520">
        <v>1.5</v>
      </c>
      <c r="T520">
        <f t="shared" si="57"/>
        <v>354.88200000000001</v>
      </c>
    </row>
    <row r="521" spans="1:20" x14ac:dyDescent="0.55000000000000004">
      <c r="A521">
        <v>5</v>
      </c>
      <c r="B521" s="15" t="str">
        <f t="shared" si="63"/>
        <v>5_1</v>
      </c>
      <c r="C521" s="20">
        <v>45776.55</v>
      </c>
      <c r="D521" t="s">
        <v>175</v>
      </c>
      <c r="E521">
        <v>2</v>
      </c>
      <c r="F521" t="s">
        <v>127</v>
      </c>
      <c r="G521" t="str">
        <f t="shared" si="58"/>
        <v>Galaxias brevipinnis</v>
      </c>
      <c r="H521" t="str">
        <f t="shared" si="59"/>
        <v>Climbing_galaxias</v>
      </c>
      <c r="I521" t="str">
        <f t="shared" si="60"/>
        <v>Kōaro</v>
      </c>
      <c r="J521" t="str">
        <f t="shared" si="61"/>
        <v>Native</v>
      </c>
      <c r="K521" t="str">
        <f t="shared" si="62"/>
        <v>Yes</v>
      </c>
      <c r="L521">
        <v>1</v>
      </c>
      <c r="N521">
        <v>80</v>
      </c>
      <c r="O521">
        <v>3</v>
      </c>
      <c r="T521" t="str">
        <f t="shared" si="57"/>
        <v/>
      </c>
    </row>
    <row r="522" spans="1:20" x14ac:dyDescent="0.55000000000000004">
      <c r="A522">
        <v>5</v>
      </c>
      <c r="B522" s="15" t="str">
        <f t="shared" si="63"/>
        <v>5_1</v>
      </c>
      <c r="C522" s="20">
        <v>45776.55</v>
      </c>
      <c r="D522" t="s">
        <v>175</v>
      </c>
      <c r="E522">
        <v>2</v>
      </c>
      <c r="F522" t="s">
        <v>127</v>
      </c>
      <c r="G522" t="str">
        <f t="shared" si="58"/>
        <v>Galaxias brevipinnis</v>
      </c>
      <c r="H522" t="str">
        <f t="shared" si="59"/>
        <v>Climbing_galaxias</v>
      </c>
      <c r="I522" t="str">
        <f t="shared" si="60"/>
        <v>Kōaro</v>
      </c>
      <c r="J522" t="str">
        <f t="shared" si="61"/>
        <v>Native</v>
      </c>
      <c r="K522" t="str">
        <f t="shared" si="62"/>
        <v>Yes</v>
      </c>
      <c r="L522">
        <v>1</v>
      </c>
      <c r="N522">
        <v>75</v>
      </c>
      <c r="O522">
        <v>6</v>
      </c>
      <c r="T522" t="str">
        <f t="shared" si="57"/>
        <v/>
      </c>
    </row>
    <row r="523" spans="1:20" x14ac:dyDescent="0.55000000000000004">
      <c r="A523">
        <v>5</v>
      </c>
      <c r="B523" s="15" t="str">
        <f t="shared" si="63"/>
        <v>5_1</v>
      </c>
      <c r="C523" s="20">
        <v>45776.55</v>
      </c>
      <c r="D523" t="s">
        <v>175</v>
      </c>
      <c r="E523">
        <v>2</v>
      </c>
      <c r="F523" t="s">
        <v>127</v>
      </c>
      <c r="G523" t="str">
        <f t="shared" si="58"/>
        <v>Galaxias brevipinnis</v>
      </c>
      <c r="H523" t="str">
        <f t="shared" si="59"/>
        <v>Climbing_galaxias</v>
      </c>
      <c r="I523" t="str">
        <f t="shared" si="60"/>
        <v>Kōaro</v>
      </c>
      <c r="J523" t="str">
        <f t="shared" si="61"/>
        <v>Native</v>
      </c>
      <c r="K523" t="str">
        <f t="shared" si="62"/>
        <v>Yes</v>
      </c>
      <c r="L523">
        <v>1</v>
      </c>
      <c r="N523">
        <v>43</v>
      </c>
      <c r="O523">
        <v>1</v>
      </c>
      <c r="T523" t="str">
        <f t="shared" si="57"/>
        <v/>
      </c>
    </row>
    <row r="524" spans="1:20" x14ac:dyDescent="0.55000000000000004">
      <c r="A524">
        <v>5</v>
      </c>
      <c r="B524" s="15" t="str">
        <f t="shared" si="63"/>
        <v>5_1</v>
      </c>
      <c r="C524" s="20">
        <v>45776.55</v>
      </c>
      <c r="D524" t="s">
        <v>175</v>
      </c>
      <c r="E524">
        <v>2</v>
      </c>
      <c r="F524" t="s">
        <v>127</v>
      </c>
      <c r="G524" t="str">
        <f t="shared" si="58"/>
        <v>Galaxias brevipinnis</v>
      </c>
      <c r="H524" t="str">
        <f t="shared" si="59"/>
        <v>Climbing_galaxias</v>
      </c>
      <c r="I524" t="str">
        <f t="shared" si="60"/>
        <v>Kōaro</v>
      </c>
      <c r="J524" t="str">
        <f t="shared" si="61"/>
        <v>Native</v>
      </c>
      <c r="K524" t="str">
        <f t="shared" si="62"/>
        <v>Yes</v>
      </c>
      <c r="L524">
        <v>1</v>
      </c>
      <c r="N524">
        <v>45</v>
      </c>
      <c r="O524">
        <v>1</v>
      </c>
      <c r="T524" t="str">
        <f t="shared" si="57"/>
        <v/>
      </c>
    </row>
    <row r="525" spans="1:20" x14ac:dyDescent="0.55000000000000004">
      <c r="A525">
        <v>5</v>
      </c>
      <c r="B525" s="15" t="str">
        <f t="shared" si="63"/>
        <v>5_1</v>
      </c>
      <c r="C525" s="20">
        <v>45776.55</v>
      </c>
      <c r="D525" t="s">
        <v>175</v>
      </c>
      <c r="E525">
        <v>2</v>
      </c>
      <c r="F525" t="s">
        <v>135</v>
      </c>
      <c r="G525" t="str">
        <f t="shared" si="58"/>
        <v>Gobiomorphus cotidianus</v>
      </c>
      <c r="H525" t="str">
        <f t="shared" si="59"/>
        <v>Common_bully</v>
      </c>
      <c r="I525" t="str">
        <f t="shared" si="60"/>
        <v>Toitoi</v>
      </c>
      <c r="J525" t="str">
        <f t="shared" si="61"/>
        <v>Native</v>
      </c>
      <c r="K525" t="str">
        <f t="shared" si="62"/>
        <v>No</v>
      </c>
      <c r="O525">
        <v>499</v>
      </c>
      <c r="S525">
        <v>2.5</v>
      </c>
      <c r="T525">
        <f t="shared" si="57"/>
        <v>591.47</v>
      </c>
    </row>
    <row r="526" spans="1:20" x14ac:dyDescent="0.55000000000000004">
      <c r="A526">
        <v>5</v>
      </c>
      <c r="B526" s="15" t="str">
        <f t="shared" si="63"/>
        <v>5_1</v>
      </c>
      <c r="C526" s="20">
        <v>45776.55</v>
      </c>
      <c r="D526" t="s">
        <v>175</v>
      </c>
      <c r="E526">
        <v>2</v>
      </c>
      <c r="F526" t="s">
        <v>135</v>
      </c>
      <c r="G526" t="str">
        <f t="shared" si="58"/>
        <v>Gobiomorphus cotidianus</v>
      </c>
      <c r="H526" t="str">
        <f t="shared" si="59"/>
        <v>Common_bully</v>
      </c>
      <c r="I526" t="str">
        <f t="shared" si="60"/>
        <v>Toitoi</v>
      </c>
      <c r="J526" t="str">
        <f t="shared" si="61"/>
        <v>Native</v>
      </c>
      <c r="K526" t="str">
        <f t="shared" si="62"/>
        <v>No</v>
      </c>
      <c r="O526">
        <v>50</v>
      </c>
      <c r="T526" t="str">
        <f t="shared" si="57"/>
        <v/>
      </c>
    </row>
    <row r="527" spans="1:20" x14ac:dyDescent="0.55000000000000004">
      <c r="A527">
        <v>6</v>
      </c>
      <c r="B527" s="15" t="str">
        <f t="shared" si="63"/>
        <v>6_1</v>
      </c>
      <c r="C527" s="20">
        <v>45776.520833333336</v>
      </c>
      <c r="D527" t="s">
        <v>174</v>
      </c>
      <c r="E527">
        <v>2</v>
      </c>
      <c r="F527" t="s">
        <v>135</v>
      </c>
      <c r="G527" t="str">
        <f t="shared" si="58"/>
        <v>Gobiomorphus cotidianus</v>
      </c>
      <c r="H527" t="str">
        <f t="shared" si="59"/>
        <v>Common_bully</v>
      </c>
      <c r="I527" t="str">
        <f t="shared" si="60"/>
        <v>Toitoi</v>
      </c>
      <c r="J527" t="str">
        <f t="shared" si="61"/>
        <v>Native</v>
      </c>
      <c r="K527" t="str">
        <f t="shared" si="62"/>
        <v>No</v>
      </c>
      <c r="L527">
        <v>10</v>
      </c>
      <c r="O527">
        <v>14</v>
      </c>
      <c r="T527" t="str">
        <f t="shared" si="57"/>
        <v/>
      </c>
    </row>
    <row r="528" spans="1:20" x14ac:dyDescent="0.55000000000000004">
      <c r="A528">
        <v>6</v>
      </c>
      <c r="B528" s="15" t="str">
        <f t="shared" si="63"/>
        <v>6_1</v>
      </c>
      <c r="C528" s="20">
        <v>45776.520833333336</v>
      </c>
      <c r="D528" t="s">
        <v>175</v>
      </c>
      <c r="E528">
        <v>2</v>
      </c>
      <c r="F528" t="s">
        <v>115</v>
      </c>
      <c r="G528" t="str">
        <f t="shared" si="58"/>
        <v>Paranephrops planifrons</v>
      </c>
      <c r="H528" t="str">
        <f t="shared" si="59"/>
        <v>Freshwater_crayfish</v>
      </c>
      <c r="I528" t="str">
        <f t="shared" si="60"/>
        <v>Kōura</v>
      </c>
      <c r="J528" t="str">
        <f t="shared" si="61"/>
        <v>Native</v>
      </c>
      <c r="K528" t="str">
        <f t="shared" si="62"/>
        <v>Yes</v>
      </c>
      <c r="L528">
        <v>1</v>
      </c>
      <c r="M528" t="s">
        <v>177</v>
      </c>
      <c r="N528">
        <v>35</v>
      </c>
      <c r="O528">
        <v>34</v>
      </c>
      <c r="T528" t="str">
        <f t="shared" si="57"/>
        <v/>
      </c>
    </row>
    <row r="529" spans="1:20" x14ac:dyDescent="0.55000000000000004">
      <c r="A529">
        <v>6</v>
      </c>
      <c r="B529" s="15" t="str">
        <f t="shared" si="63"/>
        <v>6_1</v>
      </c>
      <c r="C529" s="20">
        <v>45776.520833333336</v>
      </c>
      <c r="D529" t="s">
        <v>175</v>
      </c>
      <c r="E529">
        <v>2</v>
      </c>
      <c r="F529" t="s">
        <v>127</v>
      </c>
      <c r="G529" t="str">
        <f t="shared" si="58"/>
        <v>Galaxias brevipinnis</v>
      </c>
      <c r="H529" t="str">
        <f t="shared" si="59"/>
        <v>Climbing_galaxias</v>
      </c>
      <c r="I529" t="str">
        <f t="shared" si="60"/>
        <v>Kōaro</v>
      </c>
      <c r="J529" t="str">
        <f t="shared" si="61"/>
        <v>Native</v>
      </c>
      <c r="K529" t="str">
        <f t="shared" si="62"/>
        <v>Yes</v>
      </c>
      <c r="L529">
        <v>1</v>
      </c>
      <c r="N529">
        <v>85</v>
      </c>
      <c r="O529">
        <v>4</v>
      </c>
      <c r="T529" t="str">
        <f t="shared" si="57"/>
        <v/>
      </c>
    </row>
    <row r="530" spans="1:20" x14ac:dyDescent="0.55000000000000004">
      <c r="A530">
        <v>6</v>
      </c>
      <c r="B530" s="15" t="str">
        <f t="shared" si="63"/>
        <v>6_1</v>
      </c>
      <c r="C530" s="20">
        <v>45776.520833333336</v>
      </c>
      <c r="D530" t="s">
        <v>175</v>
      </c>
      <c r="E530">
        <v>2</v>
      </c>
      <c r="F530" t="s">
        <v>127</v>
      </c>
      <c r="G530" t="str">
        <f t="shared" si="58"/>
        <v>Galaxias brevipinnis</v>
      </c>
      <c r="H530" t="str">
        <f t="shared" si="59"/>
        <v>Climbing_galaxias</v>
      </c>
      <c r="I530" t="str">
        <f t="shared" si="60"/>
        <v>Kōaro</v>
      </c>
      <c r="J530" t="str">
        <f t="shared" si="61"/>
        <v>Native</v>
      </c>
      <c r="K530" t="str">
        <f t="shared" si="62"/>
        <v>Yes</v>
      </c>
      <c r="L530">
        <v>1</v>
      </c>
      <c r="N530">
        <v>50</v>
      </c>
      <c r="O530">
        <v>2</v>
      </c>
      <c r="T530" t="str">
        <f t="shared" si="57"/>
        <v/>
      </c>
    </row>
    <row r="531" spans="1:20" x14ac:dyDescent="0.55000000000000004">
      <c r="A531">
        <v>6</v>
      </c>
      <c r="B531" s="15" t="str">
        <f t="shared" si="63"/>
        <v>6_1</v>
      </c>
      <c r="C531" s="20">
        <v>45776.520833333336</v>
      </c>
      <c r="D531" t="s">
        <v>175</v>
      </c>
      <c r="E531">
        <v>2</v>
      </c>
      <c r="F531" t="s">
        <v>127</v>
      </c>
      <c r="G531" t="str">
        <f t="shared" si="58"/>
        <v>Galaxias brevipinnis</v>
      </c>
      <c r="H531" t="str">
        <f t="shared" si="59"/>
        <v>Climbing_galaxias</v>
      </c>
      <c r="I531" t="str">
        <f t="shared" si="60"/>
        <v>Kōaro</v>
      </c>
      <c r="J531" t="str">
        <f t="shared" si="61"/>
        <v>Native</v>
      </c>
      <c r="K531" t="str">
        <f t="shared" si="62"/>
        <v>Yes</v>
      </c>
      <c r="L531">
        <v>1</v>
      </c>
      <c r="N531">
        <v>88</v>
      </c>
      <c r="O531">
        <v>6</v>
      </c>
      <c r="T531" t="str">
        <f t="shared" si="57"/>
        <v/>
      </c>
    </row>
    <row r="532" spans="1:20" x14ac:dyDescent="0.55000000000000004">
      <c r="A532">
        <v>6</v>
      </c>
      <c r="B532" s="15" t="str">
        <f t="shared" si="63"/>
        <v>6_1</v>
      </c>
      <c r="C532" s="20">
        <v>45776.520833333336</v>
      </c>
      <c r="D532" t="s">
        <v>175</v>
      </c>
      <c r="E532">
        <v>2</v>
      </c>
      <c r="F532" t="s">
        <v>127</v>
      </c>
      <c r="G532" t="str">
        <f t="shared" si="58"/>
        <v>Galaxias brevipinnis</v>
      </c>
      <c r="H532" t="str">
        <f t="shared" si="59"/>
        <v>Climbing_galaxias</v>
      </c>
      <c r="I532" t="str">
        <f t="shared" si="60"/>
        <v>Kōaro</v>
      </c>
      <c r="J532" t="str">
        <f t="shared" si="61"/>
        <v>Native</v>
      </c>
      <c r="K532" t="str">
        <f t="shared" si="62"/>
        <v>Yes</v>
      </c>
      <c r="L532">
        <v>1</v>
      </c>
      <c r="N532">
        <v>75</v>
      </c>
      <c r="O532">
        <v>2</v>
      </c>
      <c r="T532" t="str">
        <f t="shared" si="57"/>
        <v/>
      </c>
    </row>
    <row r="533" spans="1:20" x14ac:dyDescent="0.55000000000000004">
      <c r="A533">
        <v>6</v>
      </c>
      <c r="B533" s="15" t="str">
        <f t="shared" si="63"/>
        <v>6_1</v>
      </c>
      <c r="C533" s="20">
        <v>45776.520833333336</v>
      </c>
      <c r="D533" t="s">
        <v>175</v>
      </c>
      <c r="E533">
        <v>2</v>
      </c>
      <c r="F533" t="s">
        <v>127</v>
      </c>
      <c r="G533" t="str">
        <f t="shared" si="58"/>
        <v>Galaxias brevipinnis</v>
      </c>
      <c r="H533" t="str">
        <f t="shared" si="59"/>
        <v>Climbing_galaxias</v>
      </c>
      <c r="I533" t="str">
        <f t="shared" si="60"/>
        <v>Kōaro</v>
      </c>
      <c r="J533" t="str">
        <f t="shared" si="61"/>
        <v>Native</v>
      </c>
      <c r="K533" t="str">
        <f t="shared" si="62"/>
        <v>Yes</v>
      </c>
      <c r="L533">
        <v>1</v>
      </c>
      <c r="N533">
        <v>80</v>
      </c>
      <c r="O533">
        <v>6</v>
      </c>
      <c r="T533" t="str">
        <f t="shared" si="57"/>
        <v/>
      </c>
    </row>
    <row r="534" spans="1:20" x14ac:dyDescent="0.55000000000000004">
      <c r="A534">
        <v>6</v>
      </c>
      <c r="B534" s="15" t="str">
        <f t="shared" si="63"/>
        <v>6_1</v>
      </c>
      <c r="C534" s="20">
        <v>45776.520833333336</v>
      </c>
      <c r="D534" t="s">
        <v>175</v>
      </c>
      <c r="E534">
        <v>2</v>
      </c>
      <c r="F534" t="s">
        <v>127</v>
      </c>
      <c r="G534" t="str">
        <f t="shared" si="58"/>
        <v>Galaxias brevipinnis</v>
      </c>
      <c r="H534" t="str">
        <f t="shared" si="59"/>
        <v>Climbing_galaxias</v>
      </c>
      <c r="I534" t="str">
        <f t="shared" si="60"/>
        <v>Kōaro</v>
      </c>
      <c r="J534" t="str">
        <f t="shared" si="61"/>
        <v>Native</v>
      </c>
      <c r="K534" t="str">
        <f t="shared" si="62"/>
        <v>Yes</v>
      </c>
      <c r="L534">
        <v>1</v>
      </c>
      <c r="N534">
        <v>70</v>
      </c>
      <c r="O534">
        <v>2</v>
      </c>
      <c r="T534" t="str">
        <f t="shared" si="57"/>
        <v/>
      </c>
    </row>
    <row r="535" spans="1:20" x14ac:dyDescent="0.55000000000000004">
      <c r="A535">
        <v>6</v>
      </c>
      <c r="B535" s="15" t="str">
        <f t="shared" si="63"/>
        <v>6_1</v>
      </c>
      <c r="C535" s="20">
        <v>45776.520833333336</v>
      </c>
      <c r="D535" t="s">
        <v>175</v>
      </c>
      <c r="E535">
        <v>2</v>
      </c>
      <c r="F535" t="s">
        <v>127</v>
      </c>
      <c r="G535" t="str">
        <f t="shared" si="58"/>
        <v>Galaxias brevipinnis</v>
      </c>
      <c r="H535" t="str">
        <f t="shared" si="59"/>
        <v>Climbing_galaxias</v>
      </c>
      <c r="I535" t="str">
        <f t="shared" si="60"/>
        <v>Kōaro</v>
      </c>
      <c r="J535" t="str">
        <f t="shared" si="61"/>
        <v>Native</v>
      </c>
      <c r="K535" t="str">
        <f t="shared" si="62"/>
        <v>Yes</v>
      </c>
      <c r="L535">
        <v>1</v>
      </c>
      <c r="N535">
        <v>50</v>
      </c>
      <c r="O535">
        <v>3</v>
      </c>
      <c r="T535" t="str">
        <f t="shared" si="57"/>
        <v/>
      </c>
    </row>
    <row r="536" spans="1:20" x14ac:dyDescent="0.55000000000000004">
      <c r="A536">
        <v>6</v>
      </c>
      <c r="B536" s="15" t="str">
        <f t="shared" si="63"/>
        <v>6_1</v>
      </c>
      <c r="C536" s="20">
        <v>45776.520833333336</v>
      </c>
      <c r="D536" t="s">
        <v>175</v>
      </c>
      <c r="E536">
        <v>2</v>
      </c>
      <c r="F536" t="s">
        <v>135</v>
      </c>
      <c r="G536" t="str">
        <f t="shared" si="58"/>
        <v>Gobiomorphus cotidianus</v>
      </c>
      <c r="H536" t="str">
        <f t="shared" si="59"/>
        <v>Common_bully</v>
      </c>
      <c r="I536" t="str">
        <f t="shared" si="60"/>
        <v>Toitoi</v>
      </c>
      <c r="J536" t="str">
        <f t="shared" si="61"/>
        <v>Native</v>
      </c>
      <c r="K536" t="str">
        <f t="shared" si="62"/>
        <v>No</v>
      </c>
      <c r="O536">
        <v>538</v>
      </c>
      <c r="S536">
        <v>2.5</v>
      </c>
      <c r="T536">
        <f t="shared" si="57"/>
        <v>591.47</v>
      </c>
    </row>
    <row r="537" spans="1:20" x14ac:dyDescent="0.55000000000000004">
      <c r="A537">
        <v>6</v>
      </c>
      <c r="B537" s="15" t="str">
        <f t="shared" si="63"/>
        <v>6_1</v>
      </c>
      <c r="C537" s="20">
        <v>45776.520833333336</v>
      </c>
      <c r="D537" t="s">
        <v>175</v>
      </c>
      <c r="E537">
        <v>2</v>
      </c>
      <c r="F537" t="s">
        <v>133</v>
      </c>
      <c r="G537" t="str">
        <f t="shared" si="58"/>
        <v>Retropinna retropinna</v>
      </c>
      <c r="H537" t="str">
        <f t="shared" si="59"/>
        <v>Common_smelt</v>
      </c>
      <c r="I537" t="str">
        <f t="shared" si="60"/>
        <v>Common_smelt</v>
      </c>
      <c r="J537" t="str">
        <f t="shared" si="61"/>
        <v>Native</v>
      </c>
      <c r="K537" t="str">
        <f t="shared" si="62"/>
        <v>No</v>
      </c>
      <c r="L537">
        <v>3</v>
      </c>
      <c r="T537" t="str">
        <f t="shared" si="57"/>
        <v/>
      </c>
    </row>
    <row r="538" spans="1:20" x14ac:dyDescent="0.55000000000000004">
      <c r="A538">
        <v>6</v>
      </c>
      <c r="B538" s="15" t="str">
        <f t="shared" si="63"/>
        <v>6_1</v>
      </c>
      <c r="C538" s="20">
        <v>45776.520833333336</v>
      </c>
      <c r="D538" t="s">
        <v>175</v>
      </c>
      <c r="E538">
        <v>2</v>
      </c>
      <c r="F538" t="s">
        <v>127</v>
      </c>
      <c r="G538" t="str">
        <f t="shared" si="58"/>
        <v>Galaxias brevipinnis</v>
      </c>
      <c r="H538" t="str">
        <f t="shared" si="59"/>
        <v>Climbing_galaxias</v>
      </c>
      <c r="I538" t="str">
        <f t="shared" si="60"/>
        <v>Kōaro</v>
      </c>
      <c r="J538" t="str">
        <f t="shared" si="61"/>
        <v>Native</v>
      </c>
      <c r="K538" t="str">
        <f t="shared" si="62"/>
        <v>Yes</v>
      </c>
      <c r="L538">
        <v>1</v>
      </c>
      <c r="N538">
        <v>42</v>
      </c>
      <c r="O538">
        <v>1</v>
      </c>
      <c r="T538" t="str">
        <f t="shared" si="57"/>
        <v/>
      </c>
    </row>
    <row r="539" spans="1:20" x14ac:dyDescent="0.55000000000000004">
      <c r="A539">
        <v>6</v>
      </c>
      <c r="B539" s="15" t="str">
        <f t="shared" si="63"/>
        <v>6_1</v>
      </c>
      <c r="C539" s="20">
        <v>45776.520833333336</v>
      </c>
      <c r="D539" t="s">
        <v>175</v>
      </c>
      <c r="E539">
        <v>2</v>
      </c>
      <c r="F539" t="s">
        <v>127</v>
      </c>
      <c r="G539" t="str">
        <f t="shared" si="58"/>
        <v>Galaxias brevipinnis</v>
      </c>
      <c r="H539" t="str">
        <f t="shared" si="59"/>
        <v>Climbing_galaxias</v>
      </c>
      <c r="I539" t="str">
        <f t="shared" si="60"/>
        <v>Kōaro</v>
      </c>
      <c r="J539" t="str">
        <f t="shared" si="61"/>
        <v>Native</v>
      </c>
      <c r="K539" t="str">
        <f t="shared" si="62"/>
        <v>Yes</v>
      </c>
      <c r="L539">
        <v>1</v>
      </c>
      <c r="N539">
        <v>115</v>
      </c>
      <c r="O539">
        <v>13</v>
      </c>
      <c r="T539" t="str">
        <f t="shared" si="57"/>
        <v/>
      </c>
    </row>
    <row r="540" spans="1:20" x14ac:dyDescent="0.55000000000000004">
      <c r="A540">
        <v>6</v>
      </c>
      <c r="B540" s="15" t="str">
        <f t="shared" si="63"/>
        <v>6_1</v>
      </c>
      <c r="C540" s="20">
        <v>45776.520833333336</v>
      </c>
      <c r="D540" t="s">
        <v>175</v>
      </c>
      <c r="E540">
        <v>2</v>
      </c>
      <c r="F540" t="s">
        <v>127</v>
      </c>
      <c r="G540" t="str">
        <f t="shared" si="58"/>
        <v>Galaxias brevipinnis</v>
      </c>
      <c r="H540" t="str">
        <f t="shared" si="59"/>
        <v>Climbing_galaxias</v>
      </c>
      <c r="I540" t="str">
        <f t="shared" si="60"/>
        <v>Kōaro</v>
      </c>
      <c r="J540" t="str">
        <f t="shared" si="61"/>
        <v>Native</v>
      </c>
      <c r="K540" t="str">
        <f t="shared" si="62"/>
        <v>Yes</v>
      </c>
      <c r="L540">
        <v>1</v>
      </c>
      <c r="N540">
        <v>150</v>
      </c>
      <c r="O540">
        <v>48</v>
      </c>
      <c r="T540" t="str">
        <f t="shared" si="57"/>
        <v/>
      </c>
    </row>
    <row r="541" spans="1:20" x14ac:dyDescent="0.55000000000000004">
      <c r="A541">
        <v>6</v>
      </c>
      <c r="B541" s="15" t="str">
        <f t="shared" si="63"/>
        <v>6_1</v>
      </c>
      <c r="C541" s="20">
        <v>45776.520833333336</v>
      </c>
      <c r="D541" t="s">
        <v>175</v>
      </c>
      <c r="E541">
        <v>2</v>
      </c>
      <c r="F541" t="s">
        <v>127</v>
      </c>
      <c r="G541" t="str">
        <f t="shared" si="58"/>
        <v>Galaxias brevipinnis</v>
      </c>
      <c r="H541" t="str">
        <f t="shared" si="59"/>
        <v>Climbing_galaxias</v>
      </c>
      <c r="I541" t="str">
        <f t="shared" si="60"/>
        <v>Kōaro</v>
      </c>
      <c r="J541" t="str">
        <f t="shared" si="61"/>
        <v>Native</v>
      </c>
      <c r="K541" t="str">
        <f t="shared" si="62"/>
        <v>Yes</v>
      </c>
      <c r="L541">
        <v>1</v>
      </c>
      <c r="N541">
        <v>80</v>
      </c>
      <c r="O541">
        <v>5</v>
      </c>
      <c r="T541" t="str">
        <f t="shared" si="57"/>
        <v/>
      </c>
    </row>
    <row r="542" spans="1:20" x14ac:dyDescent="0.55000000000000004">
      <c r="A542">
        <v>6</v>
      </c>
      <c r="B542" s="15" t="str">
        <f t="shared" si="63"/>
        <v>6_1</v>
      </c>
      <c r="C542" s="20">
        <v>45776.520833333336</v>
      </c>
      <c r="D542" t="s">
        <v>175</v>
      </c>
      <c r="E542">
        <v>2</v>
      </c>
      <c r="F542" t="s">
        <v>127</v>
      </c>
      <c r="G542" t="str">
        <f t="shared" si="58"/>
        <v>Galaxias brevipinnis</v>
      </c>
      <c r="H542" t="str">
        <f t="shared" si="59"/>
        <v>Climbing_galaxias</v>
      </c>
      <c r="I542" t="str">
        <f t="shared" si="60"/>
        <v>Kōaro</v>
      </c>
      <c r="J542" t="str">
        <f t="shared" si="61"/>
        <v>Native</v>
      </c>
      <c r="K542" t="str">
        <f t="shared" si="62"/>
        <v>Yes</v>
      </c>
      <c r="L542">
        <v>1</v>
      </c>
      <c r="N542">
        <v>80</v>
      </c>
      <c r="O542">
        <v>6</v>
      </c>
      <c r="T542" t="str">
        <f t="shared" si="57"/>
        <v/>
      </c>
    </row>
    <row r="543" spans="1:20" x14ac:dyDescent="0.55000000000000004">
      <c r="A543">
        <v>6</v>
      </c>
      <c r="B543" s="15" t="str">
        <f t="shared" si="63"/>
        <v>6_1</v>
      </c>
      <c r="C543" s="20">
        <v>45776.520833333336</v>
      </c>
      <c r="D543" t="s">
        <v>175</v>
      </c>
      <c r="E543">
        <v>2</v>
      </c>
      <c r="F543" t="s">
        <v>127</v>
      </c>
      <c r="G543" t="str">
        <f t="shared" si="58"/>
        <v>Galaxias brevipinnis</v>
      </c>
      <c r="H543" t="str">
        <f t="shared" si="59"/>
        <v>Climbing_galaxias</v>
      </c>
      <c r="I543" t="str">
        <f t="shared" si="60"/>
        <v>Kōaro</v>
      </c>
      <c r="J543" t="str">
        <f t="shared" si="61"/>
        <v>Native</v>
      </c>
      <c r="K543" t="str">
        <f t="shared" si="62"/>
        <v>Yes</v>
      </c>
      <c r="L543">
        <v>1</v>
      </c>
      <c r="N543">
        <v>80</v>
      </c>
      <c r="O543">
        <v>6</v>
      </c>
      <c r="T543" t="str">
        <f t="shared" si="57"/>
        <v/>
      </c>
    </row>
    <row r="544" spans="1:20" x14ac:dyDescent="0.55000000000000004">
      <c r="A544">
        <v>6</v>
      </c>
      <c r="B544" s="15" t="str">
        <f t="shared" si="63"/>
        <v>6_1</v>
      </c>
      <c r="C544" s="20">
        <v>45776.520833333336</v>
      </c>
      <c r="D544" t="s">
        <v>175</v>
      </c>
      <c r="E544">
        <v>2</v>
      </c>
      <c r="F544" t="s">
        <v>127</v>
      </c>
      <c r="G544" t="str">
        <f t="shared" si="58"/>
        <v>Galaxias brevipinnis</v>
      </c>
      <c r="H544" t="str">
        <f t="shared" si="59"/>
        <v>Climbing_galaxias</v>
      </c>
      <c r="I544" t="str">
        <f t="shared" si="60"/>
        <v>Kōaro</v>
      </c>
      <c r="J544" t="str">
        <f t="shared" si="61"/>
        <v>Native</v>
      </c>
      <c r="K544" t="str">
        <f t="shared" si="62"/>
        <v>Yes</v>
      </c>
      <c r="L544">
        <v>1</v>
      </c>
      <c r="N544">
        <v>70</v>
      </c>
      <c r="O544">
        <v>4</v>
      </c>
      <c r="T544" t="str">
        <f t="shared" si="57"/>
        <v/>
      </c>
    </row>
    <row r="545" spans="1:20" x14ac:dyDescent="0.55000000000000004">
      <c r="A545">
        <v>6</v>
      </c>
      <c r="B545" s="15" t="str">
        <f t="shared" si="63"/>
        <v>6_1</v>
      </c>
      <c r="C545" s="20">
        <v>45776.520833333336</v>
      </c>
      <c r="D545" t="s">
        <v>175</v>
      </c>
      <c r="E545">
        <v>2</v>
      </c>
      <c r="F545" t="s">
        <v>127</v>
      </c>
      <c r="G545" t="str">
        <f t="shared" si="58"/>
        <v>Galaxias brevipinnis</v>
      </c>
      <c r="H545" t="str">
        <f t="shared" si="59"/>
        <v>Climbing_galaxias</v>
      </c>
      <c r="I545" t="str">
        <f t="shared" si="60"/>
        <v>Kōaro</v>
      </c>
      <c r="J545" t="str">
        <f t="shared" si="61"/>
        <v>Native</v>
      </c>
      <c r="K545" t="str">
        <f t="shared" si="62"/>
        <v>Yes</v>
      </c>
      <c r="L545">
        <v>1</v>
      </c>
      <c r="N545">
        <v>80</v>
      </c>
      <c r="O545">
        <v>5</v>
      </c>
      <c r="T545" t="str">
        <f t="shared" si="57"/>
        <v/>
      </c>
    </row>
    <row r="546" spans="1:20" x14ac:dyDescent="0.55000000000000004">
      <c r="A546">
        <v>6</v>
      </c>
      <c r="B546" s="15" t="str">
        <f t="shared" si="63"/>
        <v>6_1</v>
      </c>
      <c r="C546" s="20">
        <v>45776.520833333336</v>
      </c>
      <c r="D546" t="s">
        <v>175</v>
      </c>
      <c r="E546">
        <v>2</v>
      </c>
      <c r="F546" t="s">
        <v>127</v>
      </c>
      <c r="G546" t="str">
        <f t="shared" si="58"/>
        <v>Galaxias brevipinnis</v>
      </c>
      <c r="H546" t="str">
        <f t="shared" si="59"/>
        <v>Climbing_galaxias</v>
      </c>
      <c r="I546" t="str">
        <f t="shared" si="60"/>
        <v>Kōaro</v>
      </c>
      <c r="J546" t="str">
        <f t="shared" si="61"/>
        <v>Native</v>
      </c>
      <c r="K546" t="str">
        <f t="shared" si="62"/>
        <v>Yes</v>
      </c>
      <c r="L546">
        <v>1</v>
      </c>
      <c r="N546">
        <v>80</v>
      </c>
      <c r="O546">
        <v>5</v>
      </c>
      <c r="T546" t="str">
        <f t="shared" si="57"/>
        <v/>
      </c>
    </row>
    <row r="547" spans="1:20" x14ac:dyDescent="0.55000000000000004">
      <c r="A547">
        <v>6</v>
      </c>
      <c r="B547" s="15" t="str">
        <f t="shared" si="63"/>
        <v>6_1</v>
      </c>
      <c r="C547" s="20">
        <v>45776.520833333336</v>
      </c>
      <c r="D547" t="s">
        <v>175</v>
      </c>
      <c r="E547">
        <v>2</v>
      </c>
      <c r="F547" t="s">
        <v>127</v>
      </c>
      <c r="G547" t="str">
        <f t="shared" si="58"/>
        <v>Galaxias brevipinnis</v>
      </c>
      <c r="H547" t="str">
        <f t="shared" si="59"/>
        <v>Climbing_galaxias</v>
      </c>
      <c r="I547" t="str">
        <f t="shared" si="60"/>
        <v>Kōaro</v>
      </c>
      <c r="J547" t="str">
        <f t="shared" si="61"/>
        <v>Native</v>
      </c>
      <c r="K547" t="str">
        <f t="shared" si="62"/>
        <v>Yes</v>
      </c>
      <c r="L547">
        <v>1</v>
      </c>
      <c r="N547">
        <v>50</v>
      </c>
      <c r="O547">
        <v>1</v>
      </c>
      <c r="T547" t="str">
        <f t="shared" si="57"/>
        <v/>
      </c>
    </row>
    <row r="548" spans="1:20" x14ac:dyDescent="0.55000000000000004">
      <c r="A548">
        <v>6</v>
      </c>
      <c r="B548" s="15" t="str">
        <f t="shared" si="63"/>
        <v>6_1</v>
      </c>
      <c r="C548" s="20">
        <v>45776.520833333336</v>
      </c>
      <c r="D548" t="s">
        <v>175</v>
      </c>
      <c r="E548">
        <v>2</v>
      </c>
      <c r="F548" t="s">
        <v>127</v>
      </c>
      <c r="G548" t="str">
        <f t="shared" si="58"/>
        <v>Galaxias brevipinnis</v>
      </c>
      <c r="H548" t="str">
        <f t="shared" si="59"/>
        <v>Climbing_galaxias</v>
      </c>
      <c r="I548" t="str">
        <f t="shared" si="60"/>
        <v>Kōaro</v>
      </c>
      <c r="J548" t="str">
        <f t="shared" si="61"/>
        <v>Native</v>
      </c>
      <c r="K548" t="str">
        <f t="shared" si="62"/>
        <v>Yes</v>
      </c>
      <c r="L548">
        <v>1</v>
      </c>
      <c r="N548">
        <v>75</v>
      </c>
      <c r="O548">
        <v>4</v>
      </c>
      <c r="T548" t="str">
        <f t="shared" si="57"/>
        <v/>
      </c>
    </row>
    <row r="549" spans="1:20" x14ac:dyDescent="0.55000000000000004">
      <c r="A549">
        <v>6</v>
      </c>
      <c r="B549" s="15" t="str">
        <f t="shared" si="63"/>
        <v>6_1</v>
      </c>
      <c r="C549" s="20">
        <v>45776.520833333336</v>
      </c>
      <c r="D549" t="s">
        <v>175</v>
      </c>
      <c r="E549">
        <v>2</v>
      </c>
      <c r="F549" t="s">
        <v>127</v>
      </c>
      <c r="G549" t="str">
        <f t="shared" si="58"/>
        <v>Galaxias brevipinnis</v>
      </c>
      <c r="H549" t="str">
        <f t="shared" si="59"/>
        <v>Climbing_galaxias</v>
      </c>
      <c r="I549" t="str">
        <f t="shared" si="60"/>
        <v>Kōaro</v>
      </c>
      <c r="J549" t="str">
        <f t="shared" si="61"/>
        <v>Native</v>
      </c>
      <c r="K549" t="str">
        <f t="shared" si="62"/>
        <v>Yes</v>
      </c>
      <c r="L549">
        <v>1</v>
      </c>
      <c r="N549">
        <v>50</v>
      </c>
      <c r="O549">
        <v>1</v>
      </c>
      <c r="T549" t="str">
        <f t="shared" si="57"/>
        <v/>
      </c>
    </row>
    <row r="550" spans="1:20" x14ac:dyDescent="0.55000000000000004">
      <c r="A550">
        <v>6</v>
      </c>
      <c r="B550" s="15" t="str">
        <f t="shared" si="63"/>
        <v>6_1</v>
      </c>
      <c r="C550" s="20">
        <v>45776.520833333336</v>
      </c>
      <c r="D550" t="s">
        <v>175</v>
      </c>
      <c r="E550">
        <v>2</v>
      </c>
      <c r="F550" t="s">
        <v>127</v>
      </c>
      <c r="G550" t="str">
        <f t="shared" si="58"/>
        <v>Galaxias brevipinnis</v>
      </c>
      <c r="H550" t="str">
        <f t="shared" si="59"/>
        <v>Climbing_galaxias</v>
      </c>
      <c r="I550" t="str">
        <f t="shared" si="60"/>
        <v>Kōaro</v>
      </c>
      <c r="J550" t="str">
        <f t="shared" si="61"/>
        <v>Native</v>
      </c>
      <c r="K550" t="str">
        <f t="shared" si="62"/>
        <v>Yes</v>
      </c>
      <c r="L550">
        <v>1</v>
      </c>
      <c r="N550">
        <v>50</v>
      </c>
      <c r="O550">
        <v>1</v>
      </c>
      <c r="T550" t="str">
        <f t="shared" si="57"/>
        <v/>
      </c>
    </row>
    <row r="551" spans="1:20" x14ac:dyDescent="0.55000000000000004">
      <c r="A551">
        <v>6</v>
      </c>
      <c r="B551" s="15" t="str">
        <f t="shared" si="63"/>
        <v>6_1</v>
      </c>
      <c r="C551" s="20">
        <v>45776.520833333336</v>
      </c>
      <c r="D551" t="s">
        <v>175</v>
      </c>
      <c r="E551">
        <v>2</v>
      </c>
      <c r="F551" t="s">
        <v>127</v>
      </c>
      <c r="G551" t="str">
        <f t="shared" si="58"/>
        <v>Galaxias brevipinnis</v>
      </c>
      <c r="H551" t="str">
        <f t="shared" si="59"/>
        <v>Climbing_galaxias</v>
      </c>
      <c r="I551" t="str">
        <f t="shared" si="60"/>
        <v>Kōaro</v>
      </c>
      <c r="J551" t="str">
        <f t="shared" si="61"/>
        <v>Native</v>
      </c>
      <c r="K551" t="str">
        <f t="shared" si="62"/>
        <v>Yes</v>
      </c>
      <c r="L551">
        <v>1</v>
      </c>
      <c r="N551">
        <v>50</v>
      </c>
      <c r="O551">
        <v>1</v>
      </c>
      <c r="T551" t="str">
        <f t="shared" si="57"/>
        <v/>
      </c>
    </row>
    <row r="552" spans="1:20" x14ac:dyDescent="0.55000000000000004">
      <c r="A552">
        <v>6</v>
      </c>
      <c r="B552" s="15" t="str">
        <f t="shared" si="63"/>
        <v>6_1</v>
      </c>
      <c r="C552" s="20">
        <v>45776.520833333336</v>
      </c>
      <c r="D552" t="s">
        <v>175</v>
      </c>
      <c r="E552">
        <v>2</v>
      </c>
      <c r="F552" t="s">
        <v>127</v>
      </c>
      <c r="G552" t="str">
        <f t="shared" si="58"/>
        <v>Galaxias brevipinnis</v>
      </c>
      <c r="H552" t="str">
        <f t="shared" si="59"/>
        <v>Climbing_galaxias</v>
      </c>
      <c r="I552" t="str">
        <f t="shared" si="60"/>
        <v>Kōaro</v>
      </c>
      <c r="J552" t="str">
        <f t="shared" si="61"/>
        <v>Native</v>
      </c>
      <c r="K552" t="str">
        <f t="shared" si="62"/>
        <v>Yes</v>
      </c>
      <c r="L552">
        <v>1</v>
      </c>
      <c r="N552">
        <v>50</v>
      </c>
      <c r="O552">
        <v>1</v>
      </c>
      <c r="T552" t="str">
        <f t="shared" si="57"/>
        <v/>
      </c>
    </row>
    <row r="553" spans="1:20" x14ac:dyDescent="0.55000000000000004">
      <c r="A553">
        <v>6</v>
      </c>
      <c r="B553" s="15" t="str">
        <f t="shared" si="63"/>
        <v>6_1</v>
      </c>
      <c r="C553" s="20">
        <v>45776.520833333336</v>
      </c>
      <c r="D553" t="s">
        <v>175</v>
      </c>
      <c r="E553">
        <v>2</v>
      </c>
      <c r="F553" t="s">
        <v>127</v>
      </c>
      <c r="G553" t="str">
        <f t="shared" si="58"/>
        <v>Galaxias brevipinnis</v>
      </c>
      <c r="H553" t="str">
        <f t="shared" si="59"/>
        <v>Climbing_galaxias</v>
      </c>
      <c r="I553" t="str">
        <f t="shared" si="60"/>
        <v>Kōaro</v>
      </c>
      <c r="J553" t="str">
        <f t="shared" si="61"/>
        <v>Native</v>
      </c>
      <c r="K553" t="str">
        <f t="shared" si="62"/>
        <v>Yes</v>
      </c>
      <c r="L553">
        <v>1</v>
      </c>
      <c r="N553">
        <v>50</v>
      </c>
      <c r="O553">
        <v>1</v>
      </c>
      <c r="T553" t="str">
        <f t="shared" si="57"/>
        <v/>
      </c>
    </row>
    <row r="554" spans="1:20" x14ac:dyDescent="0.55000000000000004">
      <c r="A554">
        <v>6</v>
      </c>
      <c r="B554" s="15" t="str">
        <f t="shared" si="63"/>
        <v>6_1</v>
      </c>
      <c r="C554" s="20">
        <v>45776.520833333336</v>
      </c>
      <c r="D554" t="s">
        <v>175</v>
      </c>
      <c r="E554">
        <v>2</v>
      </c>
      <c r="F554" t="s">
        <v>127</v>
      </c>
      <c r="G554" t="str">
        <f t="shared" si="58"/>
        <v>Galaxias brevipinnis</v>
      </c>
      <c r="H554" t="str">
        <f t="shared" si="59"/>
        <v>Climbing_galaxias</v>
      </c>
      <c r="I554" t="str">
        <f t="shared" si="60"/>
        <v>Kōaro</v>
      </c>
      <c r="J554" t="str">
        <f t="shared" si="61"/>
        <v>Native</v>
      </c>
      <c r="K554" t="str">
        <f t="shared" si="62"/>
        <v>Yes</v>
      </c>
      <c r="L554">
        <v>1</v>
      </c>
      <c r="N554">
        <v>80</v>
      </c>
      <c r="O554">
        <v>5</v>
      </c>
      <c r="T554" t="str">
        <f t="shared" si="57"/>
        <v/>
      </c>
    </row>
    <row r="555" spans="1:20" x14ac:dyDescent="0.55000000000000004">
      <c r="A555">
        <v>6</v>
      </c>
      <c r="B555" s="15" t="str">
        <f t="shared" si="63"/>
        <v>6_1</v>
      </c>
      <c r="C555" s="20">
        <v>45776.520833333336</v>
      </c>
      <c r="D555" t="s">
        <v>175</v>
      </c>
      <c r="E555">
        <v>2</v>
      </c>
      <c r="F555" t="s">
        <v>133</v>
      </c>
      <c r="G555" t="str">
        <f t="shared" si="58"/>
        <v>Retropinna retropinna</v>
      </c>
      <c r="H555" t="str">
        <f t="shared" si="59"/>
        <v>Common_smelt</v>
      </c>
      <c r="I555" t="str">
        <f t="shared" si="60"/>
        <v>Common_smelt</v>
      </c>
      <c r="J555" t="str">
        <f t="shared" si="61"/>
        <v>Native</v>
      </c>
      <c r="K555" t="str">
        <f t="shared" si="62"/>
        <v>No</v>
      </c>
      <c r="L555">
        <v>6</v>
      </c>
      <c r="O555">
        <v>8</v>
      </c>
      <c r="T555" t="str">
        <f t="shared" si="57"/>
        <v/>
      </c>
    </row>
    <row r="556" spans="1:20" x14ac:dyDescent="0.55000000000000004">
      <c r="A556">
        <v>6</v>
      </c>
      <c r="B556" s="15" t="str">
        <f t="shared" si="63"/>
        <v>6_1</v>
      </c>
      <c r="C556" s="20">
        <v>45776.520833333336</v>
      </c>
      <c r="D556" t="s">
        <v>175</v>
      </c>
      <c r="E556">
        <v>2</v>
      </c>
      <c r="F556" t="s">
        <v>135</v>
      </c>
      <c r="G556" t="str">
        <f t="shared" si="58"/>
        <v>Gobiomorphus cotidianus</v>
      </c>
      <c r="H556" t="str">
        <f t="shared" si="59"/>
        <v>Common_bully</v>
      </c>
      <c r="I556" t="str">
        <f t="shared" si="60"/>
        <v>Toitoi</v>
      </c>
      <c r="J556" t="str">
        <f t="shared" si="61"/>
        <v>Native</v>
      </c>
      <c r="K556" t="str">
        <f t="shared" si="62"/>
        <v>No</v>
      </c>
      <c r="O556">
        <v>400</v>
      </c>
      <c r="S556">
        <v>2</v>
      </c>
      <c r="T556">
        <f t="shared" si="57"/>
        <v>473.17599999999999</v>
      </c>
    </row>
    <row r="557" spans="1:20" x14ac:dyDescent="0.55000000000000004">
      <c r="A557">
        <v>6</v>
      </c>
      <c r="B557" s="15" t="str">
        <f t="shared" si="63"/>
        <v>6_1</v>
      </c>
      <c r="C557" s="20">
        <v>45776.520833333336</v>
      </c>
      <c r="D557" t="s">
        <v>175</v>
      </c>
      <c r="E557">
        <v>2</v>
      </c>
      <c r="F557" t="s">
        <v>135</v>
      </c>
      <c r="G557" t="str">
        <f t="shared" si="58"/>
        <v>Gobiomorphus cotidianus</v>
      </c>
      <c r="H557" t="str">
        <f t="shared" si="59"/>
        <v>Common_bully</v>
      </c>
      <c r="I557" t="str">
        <f t="shared" si="60"/>
        <v>Toitoi</v>
      </c>
      <c r="J557" t="str">
        <f t="shared" si="61"/>
        <v>Native</v>
      </c>
      <c r="K557" t="str">
        <f t="shared" si="62"/>
        <v>No</v>
      </c>
      <c r="O557">
        <v>399</v>
      </c>
      <c r="S557">
        <v>2</v>
      </c>
      <c r="T557">
        <f t="shared" si="57"/>
        <v>473.17599999999999</v>
      </c>
    </row>
    <row r="558" spans="1:20" x14ac:dyDescent="0.55000000000000004">
      <c r="A558">
        <v>7</v>
      </c>
      <c r="B558" s="15" t="str">
        <f t="shared" si="63"/>
        <v>7_1</v>
      </c>
      <c r="C558" s="20">
        <v>45776.409722222219</v>
      </c>
      <c r="D558" t="s">
        <v>174</v>
      </c>
      <c r="E558">
        <v>2</v>
      </c>
      <c r="F558" t="s">
        <v>135</v>
      </c>
      <c r="G558" t="str">
        <f t="shared" si="58"/>
        <v>Gobiomorphus cotidianus</v>
      </c>
      <c r="H558" t="str">
        <f t="shared" si="59"/>
        <v>Common_bully</v>
      </c>
      <c r="I558" t="str">
        <f t="shared" si="60"/>
        <v>Toitoi</v>
      </c>
      <c r="J558" t="str">
        <f t="shared" si="61"/>
        <v>Native</v>
      </c>
      <c r="K558" t="str">
        <f t="shared" si="62"/>
        <v>No</v>
      </c>
      <c r="L558">
        <v>11</v>
      </c>
      <c r="O558">
        <v>24</v>
      </c>
      <c r="T558" t="str">
        <f t="shared" si="57"/>
        <v/>
      </c>
    </row>
    <row r="559" spans="1:20" x14ac:dyDescent="0.55000000000000004">
      <c r="A559">
        <v>7</v>
      </c>
      <c r="B559" s="15" t="str">
        <f t="shared" si="63"/>
        <v>7_1</v>
      </c>
      <c r="C559" s="20">
        <v>45776.409722222219</v>
      </c>
      <c r="D559" t="s">
        <v>175</v>
      </c>
      <c r="E559">
        <v>2</v>
      </c>
      <c r="F559" t="s">
        <v>115</v>
      </c>
      <c r="G559" t="str">
        <f t="shared" si="58"/>
        <v>Paranephrops planifrons</v>
      </c>
      <c r="H559" t="str">
        <f t="shared" si="59"/>
        <v>Freshwater_crayfish</v>
      </c>
      <c r="I559" t="str">
        <f t="shared" si="60"/>
        <v>Kōura</v>
      </c>
      <c r="J559" t="str">
        <f t="shared" si="61"/>
        <v>Native</v>
      </c>
      <c r="K559" t="str">
        <f t="shared" si="62"/>
        <v>Yes</v>
      </c>
      <c r="L559">
        <v>1</v>
      </c>
      <c r="M559" t="s">
        <v>177</v>
      </c>
      <c r="N559">
        <v>44.67</v>
      </c>
      <c r="O559">
        <v>49</v>
      </c>
      <c r="T559" t="str">
        <f t="shared" si="57"/>
        <v/>
      </c>
    </row>
    <row r="560" spans="1:20" x14ac:dyDescent="0.55000000000000004">
      <c r="A560">
        <v>7</v>
      </c>
      <c r="B560" s="15" t="str">
        <f t="shared" si="63"/>
        <v>7_1</v>
      </c>
      <c r="C560" s="20">
        <v>45776.409722164353</v>
      </c>
      <c r="D560" t="s">
        <v>175</v>
      </c>
      <c r="E560">
        <v>2</v>
      </c>
      <c r="F560" t="s">
        <v>124</v>
      </c>
      <c r="G560" t="str">
        <f t="shared" si="58"/>
        <v>Carassius auratus</v>
      </c>
      <c r="H560" t="str">
        <f t="shared" si="59"/>
        <v>Goldfish</v>
      </c>
      <c r="I560" t="str">
        <f t="shared" si="60"/>
        <v>Morihana</v>
      </c>
      <c r="J560" t="str">
        <f t="shared" si="61"/>
        <v>Nonnative</v>
      </c>
      <c r="K560" t="str">
        <f t="shared" si="62"/>
        <v>No</v>
      </c>
      <c r="L560">
        <v>1</v>
      </c>
      <c r="N560">
        <v>158</v>
      </c>
      <c r="O560">
        <v>137</v>
      </c>
      <c r="T560" t="str">
        <f t="shared" si="57"/>
        <v/>
      </c>
    </row>
    <row r="561" spans="1:20" x14ac:dyDescent="0.55000000000000004">
      <c r="A561">
        <v>7</v>
      </c>
      <c r="B561" s="15" t="str">
        <f t="shared" si="63"/>
        <v>7_1</v>
      </c>
      <c r="C561" s="20">
        <v>45776.409722164353</v>
      </c>
      <c r="D561" t="s">
        <v>175</v>
      </c>
      <c r="E561">
        <v>2</v>
      </c>
      <c r="F561" t="s">
        <v>124</v>
      </c>
      <c r="G561" t="str">
        <f t="shared" si="58"/>
        <v>Carassius auratus</v>
      </c>
      <c r="H561" t="str">
        <f t="shared" si="59"/>
        <v>Goldfish</v>
      </c>
      <c r="I561" t="str">
        <f t="shared" si="60"/>
        <v>Morihana</v>
      </c>
      <c r="J561" t="str">
        <f t="shared" si="61"/>
        <v>Nonnative</v>
      </c>
      <c r="K561" t="str">
        <f t="shared" si="62"/>
        <v>No</v>
      </c>
      <c r="L561">
        <v>1</v>
      </c>
      <c r="N561">
        <v>150</v>
      </c>
      <c r="O561">
        <v>64</v>
      </c>
      <c r="T561" t="str">
        <f t="shared" si="57"/>
        <v/>
      </c>
    </row>
    <row r="562" spans="1:20" x14ac:dyDescent="0.55000000000000004">
      <c r="A562">
        <v>7</v>
      </c>
      <c r="B562" s="15" t="str">
        <f t="shared" si="63"/>
        <v>7_1</v>
      </c>
      <c r="C562" s="20">
        <v>45776.409722164353</v>
      </c>
      <c r="D562" t="s">
        <v>175</v>
      </c>
      <c r="E562">
        <v>2</v>
      </c>
      <c r="F562" t="s">
        <v>124</v>
      </c>
      <c r="G562" t="str">
        <f t="shared" si="58"/>
        <v>Carassius auratus</v>
      </c>
      <c r="H562" t="str">
        <f t="shared" si="59"/>
        <v>Goldfish</v>
      </c>
      <c r="I562" t="str">
        <f t="shared" si="60"/>
        <v>Morihana</v>
      </c>
      <c r="J562" t="str">
        <f t="shared" si="61"/>
        <v>Nonnative</v>
      </c>
      <c r="K562" t="str">
        <f t="shared" si="62"/>
        <v>No</v>
      </c>
      <c r="L562">
        <v>1</v>
      </c>
      <c r="N562">
        <v>145</v>
      </c>
      <c r="O562">
        <v>66</v>
      </c>
      <c r="T562" t="str">
        <f t="shared" si="57"/>
        <v/>
      </c>
    </row>
    <row r="563" spans="1:20" x14ac:dyDescent="0.55000000000000004">
      <c r="A563">
        <v>7</v>
      </c>
      <c r="B563" s="15" t="str">
        <f t="shared" si="63"/>
        <v>7_1</v>
      </c>
      <c r="C563" s="20">
        <v>45776.409722164353</v>
      </c>
      <c r="D563" t="s">
        <v>175</v>
      </c>
      <c r="E563">
        <v>2</v>
      </c>
      <c r="F563" t="s">
        <v>124</v>
      </c>
      <c r="G563" t="str">
        <f t="shared" si="58"/>
        <v>Carassius auratus</v>
      </c>
      <c r="H563" t="str">
        <f t="shared" si="59"/>
        <v>Goldfish</v>
      </c>
      <c r="I563" t="str">
        <f t="shared" si="60"/>
        <v>Morihana</v>
      </c>
      <c r="J563" t="str">
        <f t="shared" si="61"/>
        <v>Nonnative</v>
      </c>
      <c r="K563" t="str">
        <f t="shared" si="62"/>
        <v>No</v>
      </c>
      <c r="L563">
        <v>1</v>
      </c>
      <c r="N563">
        <v>100</v>
      </c>
      <c r="O563">
        <v>26</v>
      </c>
      <c r="T563" t="str">
        <f t="shared" si="57"/>
        <v/>
      </c>
    </row>
    <row r="564" spans="1:20" x14ac:dyDescent="0.55000000000000004">
      <c r="A564">
        <v>7</v>
      </c>
      <c r="B564" s="15" t="str">
        <f t="shared" si="63"/>
        <v>7_1</v>
      </c>
      <c r="C564" s="20">
        <v>45776.409722164353</v>
      </c>
      <c r="D564" t="s">
        <v>175</v>
      </c>
      <c r="E564">
        <v>2</v>
      </c>
      <c r="F564" t="s">
        <v>124</v>
      </c>
      <c r="G564" t="str">
        <f t="shared" si="58"/>
        <v>Carassius auratus</v>
      </c>
      <c r="H564" t="str">
        <f t="shared" si="59"/>
        <v>Goldfish</v>
      </c>
      <c r="I564" t="str">
        <f t="shared" si="60"/>
        <v>Morihana</v>
      </c>
      <c r="J564" t="str">
        <f t="shared" si="61"/>
        <v>Nonnative</v>
      </c>
      <c r="K564" t="str">
        <f t="shared" si="62"/>
        <v>No</v>
      </c>
      <c r="L564">
        <v>1</v>
      </c>
      <c r="N564">
        <v>105</v>
      </c>
      <c r="O564">
        <v>26</v>
      </c>
      <c r="T564" t="str">
        <f t="shared" si="57"/>
        <v/>
      </c>
    </row>
    <row r="565" spans="1:20" x14ac:dyDescent="0.55000000000000004">
      <c r="A565">
        <v>7</v>
      </c>
      <c r="B565" s="15" t="str">
        <f t="shared" si="63"/>
        <v>7_1</v>
      </c>
      <c r="C565" s="20">
        <v>45776.409722164353</v>
      </c>
      <c r="D565" t="s">
        <v>175</v>
      </c>
      <c r="E565">
        <v>2</v>
      </c>
      <c r="F565" t="s">
        <v>124</v>
      </c>
      <c r="G565" t="str">
        <f t="shared" si="58"/>
        <v>Carassius auratus</v>
      </c>
      <c r="H565" t="str">
        <f t="shared" si="59"/>
        <v>Goldfish</v>
      </c>
      <c r="I565" t="str">
        <f t="shared" si="60"/>
        <v>Morihana</v>
      </c>
      <c r="J565" t="str">
        <f t="shared" si="61"/>
        <v>Nonnative</v>
      </c>
      <c r="K565" t="str">
        <f t="shared" si="62"/>
        <v>No</v>
      </c>
      <c r="L565">
        <v>1</v>
      </c>
      <c r="N565">
        <v>126</v>
      </c>
      <c r="O565">
        <v>48</v>
      </c>
      <c r="T565" t="str">
        <f t="shared" ref="T565:T628" si="64">IF(S565&lt;&gt;"", S565*236.588, "")</f>
        <v/>
      </c>
    </row>
    <row r="566" spans="1:20" x14ac:dyDescent="0.55000000000000004">
      <c r="A566">
        <v>7</v>
      </c>
      <c r="B566" s="15" t="str">
        <f t="shared" si="63"/>
        <v>7_1</v>
      </c>
      <c r="C566" s="20">
        <v>45776.409722164353</v>
      </c>
      <c r="D566" t="s">
        <v>175</v>
      </c>
      <c r="E566">
        <v>2</v>
      </c>
      <c r="F566" t="s">
        <v>124</v>
      </c>
      <c r="G566" t="str">
        <f t="shared" si="58"/>
        <v>Carassius auratus</v>
      </c>
      <c r="H566" t="str">
        <f t="shared" si="59"/>
        <v>Goldfish</v>
      </c>
      <c r="I566" t="str">
        <f t="shared" si="60"/>
        <v>Morihana</v>
      </c>
      <c r="J566" t="str">
        <f t="shared" si="61"/>
        <v>Nonnative</v>
      </c>
      <c r="K566" t="str">
        <f t="shared" si="62"/>
        <v>No</v>
      </c>
      <c r="L566">
        <v>1</v>
      </c>
      <c r="N566">
        <v>80</v>
      </c>
      <c r="O566">
        <v>12</v>
      </c>
      <c r="T566" t="str">
        <f t="shared" si="64"/>
        <v/>
      </c>
    </row>
    <row r="567" spans="1:20" x14ac:dyDescent="0.55000000000000004">
      <c r="A567">
        <v>7</v>
      </c>
      <c r="B567" s="15" t="str">
        <f t="shared" si="63"/>
        <v>7_1</v>
      </c>
      <c r="C567" s="20">
        <v>45776.409722164353</v>
      </c>
      <c r="D567" t="s">
        <v>175</v>
      </c>
      <c r="E567">
        <v>2</v>
      </c>
      <c r="F567" t="s">
        <v>133</v>
      </c>
      <c r="G567" t="str">
        <f t="shared" si="58"/>
        <v>Retropinna retropinna</v>
      </c>
      <c r="H567" t="str">
        <f t="shared" si="59"/>
        <v>Common_smelt</v>
      </c>
      <c r="I567" t="str">
        <f t="shared" si="60"/>
        <v>Common_smelt</v>
      </c>
      <c r="J567" t="str">
        <f t="shared" si="61"/>
        <v>Native</v>
      </c>
      <c r="K567" t="str">
        <f t="shared" si="62"/>
        <v>No</v>
      </c>
      <c r="L567">
        <v>2</v>
      </c>
      <c r="O567">
        <v>1</v>
      </c>
      <c r="T567" t="str">
        <f t="shared" si="64"/>
        <v/>
      </c>
    </row>
    <row r="568" spans="1:20" x14ac:dyDescent="0.55000000000000004">
      <c r="A568">
        <v>7</v>
      </c>
      <c r="B568" s="15" t="str">
        <f t="shared" si="63"/>
        <v>7_1</v>
      </c>
      <c r="C568" s="20">
        <v>45776.409722164353</v>
      </c>
      <c r="D568" t="s">
        <v>175</v>
      </c>
      <c r="E568">
        <v>2</v>
      </c>
      <c r="F568" t="s">
        <v>135</v>
      </c>
      <c r="G568" t="str">
        <f t="shared" si="58"/>
        <v>Gobiomorphus cotidianus</v>
      </c>
      <c r="H568" t="str">
        <f t="shared" si="59"/>
        <v>Common_bully</v>
      </c>
      <c r="I568" t="str">
        <f t="shared" si="60"/>
        <v>Toitoi</v>
      </c>
      <c r="J568" t="str">
        <f t="shared" si="61"/>
        <v>Native</v>
      </c>
      <c r="K568" t="str">
        <f t="shared" si="62"/>
        <v>No</v>
      </c>
      <c r="O568">
        <v>383</v>
      </c>
      <c r="T568" t="str">
        <f t="shared" si="64"/>
        <v/>
      </c>
    </row>
    <row r="569" spans="1:20" x14ac:dyDescent="0.55000000000000004">
      <c r="A569">
        <v>7</v>
      </c>
      <c r="B569" s="15" t="str">
        <f t="shared" si="63"/>
        <v>7_1</v>
      </c>
      <c r="C569" s="20">
        <v>45776.409722164353</v>
      </c>
      <c r="D569" t="s">
        <v>175</v>
      </c>
      <c r="E569">
        <v>2</v>
      </c>
      <c r="F569" t="s">
        <v>124</v>
      </c>
      <c r="G569" t="str">
        <f t="shared" si="58"/>
        <v>Carassius auratus</v>
      </c>
      <c r="H569" t="str">
        <f t="shared" si="59"/>
        <v>Goldfish</v>
      </c>
      <c r="I569" t="str">
        <f t="shared" si="60"/>
        <v>Morihana</v>
      </c>
      <c r="J569" t="str">
        <f t="shared" si="61"/>
        <v>Nonnative</v>
      </c>
      <c r="K569" t="str">
        <f t="shared" si="62"/>
        <v>No</v>
      </c>
      <c r="L569">
        <v>1</v>
      </c>
      <c r="N569">
        <v>192</v>
      </c>
      <c r="O569">
        <v>93</v>
      </c>
      <c r="T569" t="str">
        <f t="shared" si="64"/>
        <v/>
      </c>
    </row>
    <row r="570" spans="1:20" x14ac:dyDescent="0.55000000000000004">
      <c r="A570">
        <v>7</v>
      </c>
      <c r="B570" s="15" t="str">
        <f t="shared" si="63"/>
        <v>7_1</v>
      </c>
      <c r="C570" s="20">
        <v>45776.409722164353</v>
      </c>
      <c r="D570" t="s">
        <v>175</v>
      </c>
      <c r="E570">
        <v>2</v>
      </c>
      <c r="F570" t="s">
        <v>124</v>
      </c>
      <c r="G570" t="str">
        <f t="shared" si="58"/>
        <v>Carassius auratus</v>
      </c>
      <c r="H570" t="str">
        <f t="shared" si="59"/>
        <v>Goldfish</v>
      </c>
      <c r="I570" t="str">
        <f t="shared" si="60"/>
        <v>Morihana</v>
      </c>
      <c r="J570" t="str">
        <f t="shared" si="61"/>
        <v>Nonnative</v>
      </c>
      <c r="K570" t="str">
        <f t="shared" si="62"/>
        <v>No</v>
      </c>
      <c r="L570">
        <v>1</v>
      </c>
      <c r="N570">
        <v>110</v>
      </c>
      <c r="O570">
        <v>35</v>
      </c>
      <c r="T570" t="str">
        <f t="shared" si="64"/>
        <v/>
      </c>
    </row>
    <row r="571" spans="1:20" x14ac:dyDescent="0.55000000000000004">
      <c r="A571">
        <v>7</v>
      </c>
      <c r="B571" s="15" t="str">
        <f t="shared" si="63"/>
        <v>7_1</v>
      </c>
      <c r="C571" s="20">
        <v>45776.409722164353</v>
      </c>
      <c r="D571" t="s">
        <v>175</v>
      </c>
      <c r="E571">
        <v>2</v>
      </c>
      <c r="F571" t="s">
        <v>124</v>
      </c>
      <c r="G571" t="str">
        <f t="shared" si="58"/>
        <v>Carassius auratus</v>
      </c>
      <c r="H571" t="str">
        <f t="shared" si="59"/>
        <v>Goldfish</v>
      </c>
      <c r="I571" t="str">
        <f t="shared" si="60"/>
        <v>Morihana</v>
      </c>
      <c r="J571" t="str">
        <f t="shared" si="61"/>
        <v>Nonnative</v>
      </c>
      <c r="K571" t="str">
        <f t="shared" si="62"/>
        <v>No</v>
      </c>
      <c r="L571">
        <v>1</v>
      </c>
      <c r="N571">
        <v>136</v>
      </c>
      <c r="O571">
        <v>60</v>
      </c>
      <c r="T571" t="str">
        <f t="shared" si="64"/>
        <v/>
      </c>
    </row>
    <row r="572" spans="1:20" x14ac:dyDescent="0.55000000000000004">
      <c r="A572">
        <v>7</v>
      </c>
      <c r="B572" s="15" t="str">
        <f t="shared" si="63"/>
        <v>7_1</v>
      </c>
      <c r="C572" s="20">
        <v>45776.409722164353</v>
      </c>
      <c r="D572" t="s">
        <v>175</v>
      </c>
      <c r="E572">
        <v>2</v>
      </c>
      <c r="F572" t="s">
        <v>115</v>
      </c>
      <c r="G572" t="str">
        <f t="shared" si="58"/>
        <v>Paranephrops planifrons</v>
      </c>
      <c r="H572" t="str">
        <f t="shared" si="59"/>
        <v>Freshwater_crayfish</v>
      </c>
      <c r="I572" t="str">
        <f t="shared" si="60"/>
        <v>Kōura</v>
      </c>
      <c r="J572" t="str">
        <f t="shared" si="61"/>
        <v>Native</v>
      </c>
      <c r="K572" t="str">
        <f t="shared" si="62"/>
        <v>Yes</v>
      </c>
      <c r="L572">
        <v>1</v>
      </c>
      <c r="M572" t="s">
        <v>177</v>
      </c>
      <c r="N572">
        <v>31.71</v>
      </c>
      <c r="O572">
        <v>21</v>
      </c>
      <c r="T572" t="str">
        <f t="shared" si="64"/>
        <v/>
      </c>
    </row>
    <row r="573" spans="1:20" x14ac:dyDescent="0.55000000000000004">
      <c r="A573">
        <v>7</v>
      </c>
      <c r="B573" s="15" t="str">
        <f t="shared" si="63"/>
        <v>7_1</v>
      </c>
      <c r="C573" s="20">
        <v>45776.409722164353</v>
      </c>
      <c r="D573" t="s">
        <v>175</v>
      </c>
      <c r="E573">
        <v>2</v>
      </c>
      <c r="F573" t="s">
        <v>135</v>
      </c>
      <c r="G573" t="str">
        <f t="shared" si="58"/>
        <v>Gobiomorphus cotidianus</v>
      </c>
      <c r="H573" t="str">
        <f t="shared" si="59"/>
        <v>Common_bully</v>
      </c>
      <c r="I573" t="str">
        <f t="shared" si="60"/>
        <v>Toitoi</v>
      </c>
      <c r="J573" t="str">
        <f t="shared" si="61"/>
        <v>Native</v>
      </c>
      <c r="K573" t="str">
        <f t="shared" si="62"/>
        <v>No</v>
      </c>
      <c r="O573">
        <v>582</v>
      </c>
      <c r="S573">
        <v>2.5</v>
      </c>
      <c r="T573">
        <f t="shared" si="64"/>
        <v>591.47</v>
      </c>
    </row>
    <row r="574" spans="1:20" x14ac:dyDescent="0.55000000000000004">
      <c r="A574">
        <v>7</v>
      </c>
      <c r="B574" s="15" t="str">
        <f t="shared" si="63"/>
        <v>7_1</v>
      </c>
      <c r="C574" s="20">
        <v>45776.409722164353</v>
      </c>
      <c r="D574" t="s">
        <v>175</v>
      </c>
      <c r="E574">
        <v>2</v>
      </c>
      <c r="F574" t="s">
        <v>135</v>
      </c>
      <c r="G574" t="str">
        <f t="shared" si="58"/>
        <v>Gobiomorphus cotidianus</v>
      </c>
      <c r="H574" t="str">
        <f t="shared" si="59"/>
        <v>Common_bully</v>
      </c>
      <c r="I574" t="str">
        <f t="shared" si="60"/>
        <v>Toitoi</v>
      </c>
      <c r="J574" t="str">
        <f t="shared" si="61"/>
        <v>Native</v>
      </c>
      <c r="K574" t="str">
        <f t="shared" si="62"/>
        <v>No</v>
      </c>
      <c r="O574">
        <f>591-117</f>
        <v>474</v>
      </c>
      <c r="S574">
        <v>2.2999999999999998</v>
      </c>
      <c r="T574">
        <f t="shared" si="64"/>
        <v>544.15239999999994</v>
      </c>
    </row>
    <row r="575" spans="1:20" x14ac:dyDescent="0.55000000000000004">
      <c r="A575">
        <v>8</v>
      </c>
      <c r="B575" s="15" t="str">
        <f t="shared" si="63"/>
        <v>8_1</v>
      </c>
      <c r="C575" s="20">
        <v>45776.375</v>
      </c>
      <c r="D575" t="s">
        <v>174</v>
      </c>
      <c r="E575">
        <v>2</v>
      </c>
      <c r="F575" t="s">
        <v>135</v>
      </c>
      <c r="G575" t="str">
        <f t="shared" si="58"/>
        <v>Gobiomorphus cotidianus</v>
      </c>
      <c r="H575" t="str">
        <f t="shared" si="59"/>
        <v>Common_bully</v>
      </c>
      <c r="I575" t="str">
        <f t="shared" si="60"/>
        <v>Toitoi</v>
      </c>
      <c r="J575" t="str">
        <f t="shared" si="61"/>
        <v>Native</v>
      </c>
      <c r="K575" t="str">
        <f t="shared" si="62"/>
        <v>No</v>
      </c>
      <c r="L575">
        <v>64</v>
      </c>
      <c r="O575">
        <v>73</v>
      </c>
      <c r="S575">
        <v>0.4</v>
      </c>
      <c r="T575">
        <f t="shared" si="64"/>
        <v>94.635199999999998</v>
      </c>
    </row>
    <row r="576" spans="1:20" x14ac:dyDescent="0.55000000000000004">
      <c r="A576">
        <v>8</v>
      </c>
      <c r="B576" s="15" t="str">
        <f t="shared" si="63"/>
        <v>8_1</v>
      </c>
      <c r="C576" s="20">
        <v>45776.375</v>
      </c>
      <c r="D576" t="s">
        <v>175</v>
      </c>
      <c r="E576">
        <v>2</v>
      </c>
      <c r="F576" t="s">
        <v>124</v>
      </c>
      <c r="G576" t="str">
        <f t="shared" si="58"/>
        <v>Carassius auratus</v>
      </c>
      <c r="H576" t="str">
        <f t="shared" si="59"/>
        <v>Goldfish</v>
      </c>
      <c r="I576" t="str">
        <f t="shared" si="60"/>
        <v>Morihana</v>
      </c>
      <c r="J576" t="str">
        <f t="shared" si="61"/>
        <v>Nonnative</v>
      </c>
      <c r="K576" t="str">
        <f t="shared" si="62"/>
        <v>No</v>
      </c>
      <c r="L576">
        <v>6</v>
      </c>
      <c r="O576">
        <v>8</v>
      </c>
      <c r="T576" t="str">
        <f t="shared" si="64"/>
        <v/>
      </c>
    </row>
    <row r="577" spans="1:20" x14ac:dyDescent="0.55000000000000004">
      <c r="A577">
        <v>8</v>
      </c>
      <c r="B577" s="15" t="str">
        <f t="shared" si="63"/>
        <v>8_1</v>
      </c>
      <c r="C577" s="20">
        <v>45776.375</v>
      </c>
      <c r="D577" t="s">
        <v>175</v>
      </c>
      <c r="E577">
        <v>2</v>
      </c>
      <c r="F577" t="s">
        <v>203</v>
      </c>
      <c r="G577" t="str">
        <f t="shared" si="58"/>
        <v>Gambusia affinis</v>
      </c>
      <c r="H577" t="str">
        <f t="shared" si="59"/>
        <v>Gambusia</v>
      </c>
      <c r="I577" t="str">
        <f t="shared" si="60"/>
        <v>Mosquitofish</v>
      </c>
      <c r="J577" t="str">
        <f t="shared" si="61"/>
        <v>Nonnative</v>
      </c>
      <c r="K577" t="str">
        <f t="shared" si="62"/>
        <v>No</v>
      </c>
      <c r="L577">
        <v>10</v>
      </c>
      <c r="O577">
        <v>6</v>
      </c>
      <c r="T577" t="str">
        <f t="shared" si="64"/>
        <v/>
      </c>
    </row>
    <row r="578" spans="1:20" x14ac:dyDescent="0.55000000000000004">
      <c r="A578">
        <v>8</v>
      </c>
      <c r="B578" s="15" t="str">
        <f t="shared" si="63"/>
        <v>8_1</v>
      </c>
      <c r="C578" s="20">
        <v>45776.375</v>
      </c>
      <c r="D578" t="s">
        <v>175</v>
      </c>
      <c r="E578">
        <v>2</v>
      </c>
      <c r="F578" t="s">
        <v>135</v>
      </c>
      <c r="G578" t="str">
        <f t="shared" ref="G578:G641" si="65">VLOOKUP($F578, $W$1:$AB$10, 2, FALSE)</f>
        <v>Gobiomorphus cotidianus</v>
      </c>
      <c r="H578" t="str">
        <f t="shared" ref="H578:H641" si="66">VLOOKUP($F578, $W$1:$AB$10, 3, FALSE)</f>
        <v>Common_bully</v>
      </c>
      <c r="I578" t="str">
        <f t="shared" ref="I578:I641" si="67">VLOOKUP($F578, $W$1:$AB$10, 4, FALSE)</f>
        <v>Toitoi</v>
      </c>
      <c r="J578" t="str">
        <f t="shared" ref="J578:J641" si="68">VLOOKUP($F578, $W$1:$AC$10, 5, FALSE)</f>
        <v>Native</v>
      </c>
      <c r="K578" t="str">
        <f t="shared" ref="K578:K641" si="69">VLOOKUP($F578, $W$1:$AB$10, 6, FALSE)</f>
        <v>No</v>
      </c>
      <c r="L578">
        <v>1</v>
      </c>
      <c r="O578">
        <v>201</v>
      </c>
      <c r="S578">
        <v>1</v>
      </c>
      <c r="T578">
        <f t="shared" si="64"/>
        <v>236.58799999999999</v>
      </c>
    </row>
    <row r="579" spans="1:20" x14ac:dyDescent="0.55000000000000004">
      <c r="A579">
        <v>8</v>
      </c>
      <c r="B579" s="15" t="str">
        <f t="shared" si="63"/>
        <v>8_1</v>
      </c>
      <c r="C579" s="20">
        <v>45776.375</v>
      </c>
      <c r="D579" t="s">
        <v>175</v>
      </c>
      <c r="E579">
        <v>2</v>
      </c>
      <c r="F579" t="s">
        <v>120</v>
      </c>
      <c r="G579" t="str">
        <f t="shared" si="65"/>
        <v>Ameiurus nebulosus</v>
      </c>
      <c r="H579" t="str">
        <f t="shared" si="66"/>
        <v>Catfish</v>
      </c>
      <c r="I579" t="str">
        <f t="shared" si="67"/>
        <v>Catfish</v>
      </c>
      <c r="J579" t="str">
        <f t="shared" si="68"/>
        <v>Nonnative</v>
      </c>
      <c r="K579" t="str">
        <f t="shared" si="69"/>
        <v>No</v>
      </c>
      <c r="L579">
        <v>1</v>
      </c>
      <c r="N579">
        <v>245</v>
      </c>
      <c r="O579">
        <v>179</v>
      </c>
      <c r="T579" t="str">
        <f t="shared" si="64"/>
        <v/>
      </c>
    </row>
    <row r="580" spans="1:20" x14ac:dyDescent="0.55000000000000004">
      <c r="A580">
        <v>8</v>
      </c>
      <c r="B580" s="15" t="str">
        <f t="shared" si="63"/>
        <v>8_1</v>
      </c>
      <c r="C580" s="20">
        <v>45776.375</v>
      </c>
      <c r="D580" t="s">
        <v>175</v>
      </c>
      <c r="E580">
        <v>2</v>
      </c>
      <c r="F580" t="s">
        <v>120</v>
      </c>
      <c r="G580" t="str">
        <f t="shared" si="65"/>
        <v>Ameiurus nebulosus</v>
      </c>
      <c r="H580" t="str">
        <f t="shared" si="66"/>
        <v>Catfish</v>
      </c>
      <c r="I580" t="str">
        <f t="shared" si="67"/>
        <v>Catfish</v>
      </c>
      <c r="J580" t="str">
        <f t="shared" si="68"/>
        <v>Nonnative</v>
      </c>
      <c r="K580" t="str">
        <f t="shared" si="69"/>
        <v>No</v>
      </c>
      <c r="L580">
        <v>1</v>
      </c>
      <c r="N580">
        <v>100</v>
      </c>
      <c r="O580">
        <v>4</v>
      </c>
      <c r="T580" t="str">
        <f t="shared" si="64"/>
        <v/>
      </c>
    </row>
    <row r="581" spans="1:20" x14ac:dyDescent="0.55000000000000004">
      <c r="A581">
        <v>8</v>
      </c>
      <c r="B581" s="15" t="str">
        <f t="shared" si="63"/>
        <v>8_1</v>
      </c>
      <c r="C581" s="20">
        <v>45776.375</v>
      </c>
      <c r="D581" t="s">
        <v>175</v>
      </c>
      <c r="E581">
        <v>2</v>
      </c>
      <c r="F581" t="s">
        <v>120</v>
      </c>
      <c r="G581" t="str">
        <f t="shared" si="65"/>
        <v>Ameiurus nebulosus</v>
      </c>
      <c r="H581" t="str">
        <f t="shared" si="66"/>
        <v>Catfish</v>
      </c>
      <c r="I581" t="str">
        <f t="shared" si="67"/>
        <v>Catfish</v>
      </c>
      <c r="J581" t="str">
        <f t="shared" si="68"/>
        <v>Nonnative</v>
      </c>
      <c r="K581" t="str">
        <f t="shared" si="69"/>
        <v>No</v>
      </c>
      <c r="L581">
        <v>1</v>
      </c>
      <c r="N581">
        <v>95</v>
      </c>
      <c r="O581">
        <v>10</v>
      </c>
      <c r="T581" t="str">
        <f t="shared" si="64"/>
        <v/>
      </c>
    </row>
    <row r="582" spans="1:20" x14ac:dyDescent="0.55000000000000004">
      <c r="A582">
        <v>8</v>
      </c>
      <c r="B582" s="15" t="str">
        <f t="shared" si="63"/>
        <v>8_1</v>
      </c>
      <c r="C582" s="20">
        <v>45776.375</v>
      </c>
      <c r="D582" t="s">
        <v>175</v>
      </c>
      <c r="E582">
        <v>2</v>
      </c>
      <c r="F582" t="s">
        <v>120</v>
      </c>
      <c r="G582" t="str">
        <f t="shared" si="65"/>
        <v>Ameiurus nebulosus</v>
      </c>
      <c r="H582" t="str">
        <f t="shared" si="66"/>
        <v>Catfish</v>
      </c>
      <c r="I582" t="str">
        <f t="shared" si="67"/>
        <v>Catfish</v>
      </c>
      <c r="J582" t="str">
        <f t="shared" si="68"/>
        <v>Nonnative</v>
      </c>
      <c r="K582" t="str">
        <f t="shared" si="69"/>
        <v>No</v>
      </c>
      <c r="L582">
        <v>1</v>
      </c>
      <c r="N582">
        <v>95</v>
      </c>
      <c r="O582">
        <v>6</v>
      </c>
      <c r="T582" t="str">
        <f t="shared" si="64"/>
        <v/>
      </c>
    </row>
    <row r="583" spans="1:20" x14ac:dyDescent="0.55000000000000004">
      <c r="A583">
        <v>8</v>
      </c>
      <c r="B583" s="15" t="str">
        <f t="shared" ref="B583:B646" si="70">A583 &amp; "_1"</f>
        <v>8_1</v>
      </c>
      <c r="C583" s="20">
        <v>45776.375</v>
      </c>
      <c r="D583" t="s">
        <v>175</v>
      </c>
      <c r="E583">
        <v>2</v>
      </c>
      <c r="F583" t="s">
        <v>115</v>
      </c>
      <c r="G583" t="str">
        <f t="shared" si="65"/>
        <v>Paranephrops planifrons</v>
      </c>
      <c r="H583" t="str">
        <f t="shared" si="66"/>
        <v>Freshwater_crayfish</v>
      </c>
      <c r="I583" t="str">
        <f t="shared" si="67"/>
        <v>Kōura</v>
      </c>
      <c r="J583" t="str">
        <f t="shared" si="68"/>
        <v>Native</v>
      </c>
      <c r="K583" t="str">
        <f t="shared" si="69"/>
        <v>Yes</v>
      </c>
      <c r="L583">
        <v>1</v>
      </c>
      <c r="M583" t="s">
        <v>176</v>
      </c>
      <c r="N583">
        <v>38.35</v>
      </c>
      <c r="O583">
        <v>39</v>
      </c>
      <c r="T583" t="str">
        <f t="shared" si="64"/>
        <v/>
      </c>
    </row>
    <row r="584" spans="1:20" x14ac:dyDescent="0.55000000000000004">
      <c r="A584">
        <v>8</v>
      </c>
      <c r="B584" s="15" t="str">
        <f t="shared" si="70"/>
        <v>8_1</v>
      </c>
      <c r="C584" s="20">
        <v>45776.375</v>
      </c>
      <c r="D584" t="s">
        <v>175</v>
      </c>
      <c r="E584">
        <v>2</v>
      </c>
      <c r="F584" t="s">
        <v>115</v>
      </c>
      <c r="G584" t="str">
        <f t="shared" si="65"/>
        <v>Paranephrops planifrons</v>
      </c>
      <c r="H584" t="str">
        <f t="shared" si="66"/>
        <v>Freshwater_crayfish</v>
      </c>
      <c r="I584" t="str">
        <f t="shared" si="67"/>
        <v>Kōura</v>
      </c>
      <c r="J584" t="str">
        <f t="shared" si="68"/>
        <v>Native</v>
      </c>
      <c r="K584" t="str">
        <f t="shared" si="69"/>
        <v>Yes</v>
      </c>
      <c r="L584">
        <v>1</v>
      </c>
      <c r="M584" t="s">
        <v>177</v>
      </c>
      <c r="N584">
        <v>29.82</v>
      </c>
      <c r="O584">
        <v>29</v>
      </c>
      <c r="T584" t="str">
        <f t="shared" si="64"/>
        <v/>
      </c>
    </row>
    <row r="585" spans="1:20" x14ac:dyDescent="0.55000000000000004">
      <c r="A585">
        <v>8</v>
      </c>
      <c r="B585" s="15" t="str">
        <f t="shared" si="70"/>
        <v>8_1</v>
      </c>
      <c r="C585" s="20">
        <v>45776.375</v>
      </c>
      <c r="D585" t="s">
        <v>175</v>
      </c>
      <c r="E585">
        <v>2</v>
      </c>
      <c r="F585" t="s">
        <v>115</v>
      </c>
      <c r="G585" t="str">
        <f t="shared" si="65"/>
        <v>Paranephrops planifrons</v>
      </c>
      <c r="H585" t="str">
        <f t="shared" si="66"/>
        <v>Freshwater_crayfish</v>
      </c>
      <c r="I585" t="str">
        <f t="shared" si="67"/>
        <v>Kōura</v>
      </c>
      <c r="J585" t="str">
        <f t="shared" si="68"/>
        <v>Native</v>
      </c>
      <c r="K585" t="str">
        <f t="shared" si="69"/>
        <v>Yes</v>
      </c>
      <c r="L585">
        <v>1</v>
      </c>
      <c r="M585" t="s">
        <v>177</v>
      </c>
      <c r="N585">
        <v>21.28</v>
      </c>
      <c r="T585" t="str">
        <f t="shared" si="64"/>
        <v/>
      </c>
    </row>
    <row r="586" spans="1:20" x14ac:dyDescent="0.55000000000000004">
      <c r="A586">
        <v>8</v>
      </c>
      <c r="B586" s="15" t="str">
        <f t="shared" si="70"/>
        <v>8_1</v>
      </c>
      <c r="C586" s="20">
        <v>45776.375</v>
      </c>
      <c r="D586" t="s">
        <v>175</v>
      </c>
      <c r="E586">
        <v>2</v>
      </c>
      <c r="F586" t="s">
        <v>124</v>
      </c>
      <c r="G586" t="str">
        <f t="shared" si="65"/>
        <v>Carassius auratus</v>
      </c>
      <c r="H586" t="str">
        <f t="shared" si="66"/>
        <v>Goldfish</v>
      </c>
      <c r="I586" t="str">
        <f t="shared" si="67"/>
        <v>Morihana</v>
      </c>
      <c r="J586" t="str">
        <f t="shared" si="68"/>
        <v>Nonnative</v>
      </c>
      <c r="K586" t="str">
        <f t="shared" si="69"/>
        <v>No</v>
      </c>
      <c r="L586">
        <v>1</v>
      </c>
      <c r="O586">
        <v>0</v>
      </c>
      <c r="T586" t="str">
        <f t="shared" si="64"/>
        <v/>
      </c>
    </row>
    <row r="587" spans="1:20" x14ac:dyDescent="0.55000000000000004">
      <c r="A587">
        <v>8</v>
      </c>
      <c r="B587" s="15" t="str">
        <f t="shared" si="70"/>
        <v>8_1</v>
      </c>
      <c r="C587" s="20">
        <v>45776.375</v>
      </c>
      <c r="D587" t="s">
        <v>175</v>
      </c>
      <c r="E587">
        <v>2</v>
      </c>
      <c r="F587" t="s">
        <v>135</v>
      </c>
      <c r="G587" t="str">
        <f t="shared" si="65"/>
        <v>Gobiomorphus cotidianus</v>
      </c>
      <c r="H587" t="str">
        <f t="shared" si="66"/>
        <v>Common_bully</v>
      </c>
      <c r="I587" t="str">
        <f t="shared" si="67"/>
        <v>Toitoi</v>
      </c>
      <c r="J587" t="str">
        <f t="shared" si="68"/>
        <v>Native</v>
      </c>
      <c r="K587" t="str">
        <f t="shared" si="69"/>
        <v>No</v>
      </c>
      <c r="O587">
        <v>213</v>
      </c>
      <c r="S587">
        <v>1</v>
      </c>
      <c r="T587">
        <f t="shared" si="64"/>
        <v>236.58799999999999</v>
      </c>
    </row>
    <row r="588" spans="1:20" x14ac:dyDescent="0.55000000000000004">
      <c r="A588">
        <v>9</v>
      </c>
      <c r="B588" s="15" t="str">
        <f t="shared" si="70"/>
        <v>9_1</v>
      </c>
      <c r="C588" s="20">
        <v>45776.583333333336</v>
      </c>
      <c r="D588" t="s">
        <v>174</v>
      </c>
      <c r="E588">
        <v>2</v>
      </c>
      <c r="F588" t="s">
        <v>135</v>
      </c>
      <c r="G588" t="str">
        <f t="shared" si="65"/>
        <v>Gobiomorphus cotidianus</v>
      </c>
      <c r="H588" t="str">
        <f t="shared" si="66"/>
        <v>Common_bully</v>
      </c>
      <c r="I588" t="str">
        <f t="shared" si="67"/>
        <v>Toitoi</v>
      </c>
      <c r="J588" t="str">
        <f t="shared" si="68"/>
        <v>Native</v>
      </c>
      <c r="K588" t="str">
        <f t="shared" si="69"/>
        <v>No</v>
      </c>
      <c r="L588">
        <v>47</v>
      </c>
      <c r="O588">
        <v>54</v>
      </c>
      <c r="T588" t="str">
        <f t="shared" si="64"/>
        <v/>
      </c>
    </row>
    <row r="589" spans="1:20" x14ac:dyDescent="0.55000000000000004">
      <c r="A589">
        <v>9</v>
      </c>
      <c r="B589" s="15" t="str">
        <f t="shared" si="70"/>
        <v>9_1</v>
      </c>
      <c r="C589" s="20">
        <v>45776.583333333336</v>
      </c>
      <c r="D589" t="s">
        <v>175</v>
      </c>
      <c r="E589">
        <v>2</v>
      </c>
      <c r="F589" t="s">
        <v>124</v>
      </c>
      <c r="G589" t="str">
        <f t="shared" si="65"/>
        <v>Carassius auratus</v>
      </c>
      <c r="H589" t="str">
        <f t="shared" si="66"/>
        <v>Goldfish</v>
      </c>
      <c r="I589" t="str">
        <f t="shared" si="67"/>
        <v>Morihana</v>
      </c>
      <c r="J589" t="str">
        <f t="shared" si="68"/>
        <v>Nonnative</v>
      </c>
      <c r="K589" t="str">
        <f t="shared" si="69"/>
        <v>No</v>
      </c>
      <c r="L589">
        <v>1</v>
      </c>
      <c r="N589">
        <v>197</v>
      </c>
      <c r="O589">
        <v>203</v>
      </c>
      <c r="T589" t="str">
        <f t="shared" si="64"/>
        <v/>
      </c>
    </row>
    <row r="590" spans="1:20" x14ac:dyDescent="0.55000000000000004">
      <c r="A590">
        <v>9</v>
      </c>
      <c r="B590" s="15" t="str">
        <f t="shared" si="70"/>
        <v>9_1</v>
      </c>
      <c r="C590" s="20">
        <v>45776.583333333336</v>
      </c>
      <c r="D590" t="s">
        <v>175</v>
      </c>
      <c r="E590">
        <v>2</v>
      </c>
      <c r="F590" t="s">
        <v>127</v>
      </c>
      <c r="G590" t="str">
        <f t="shared" si="65"/>
        <v>Galaxias brevipinnis</v>
      </c>
      <c r="H590" t="str">
        <f t="shared" si="66"/>
        <v>Climbing_galaxias</v>
      </c>
      <c r="I590" t="str">
        <f t="shared" si="67"/>
        <v>Kōaro</v>
      </c>
      <c r="J590" t="str">
        <f t="shared" si="68"/>
        <v>Native</v>
      </c>
      <c r="K590" t="str">
        <f t="shared" si="69"/>
        <v>Yes</v>
      </c>
      <c r="L590">
        <v>1</v>
      </c>
      <c r="N590">
        <v>150</v>
      </c>
      <c r="O590">
        <v>33</v>
      </c>
      <c r="T590" t="str">
        <f t="shared" si="64"/>
        <v/>
      </c>
    </row>
    <row r="591" spans="1:20" x14ac:dyDescent="0.55000000000000004">
      <c r="A591">
        <v>9</v>
      </c>
      <c r="B591" s="15" t="str">
        <f t="shared" si="70"/>
        <v>9_1</v>
      </c>
      <c r="C591" s="20">
        <v>45776.583333333336</v>
      </c>
      <c r="D591" t="s">
        <v>175</v>
      </c>
      <c r="E591">
        <v>2</v>
      </c>
      <c r="F591" t="s">
        <v>127</v>
      </c>
      <c r="G591" t="str">
        <f t="shared" si="65"/>
        <v>Galaxias brevipinnis</v>
      </c>
      <c r="H591" t="str">
        <f t="shared" si="66"/>
        <v>Climbing_galaxias</v>
      </c>
      <c r="I591" t="str">
        <f t="shared" si="67"/>
        <v>Kōaro</v>
      </c>
      <c r="J591" t="str">
        <f t="shared" si="68"/>
        <v>Native</v>
      </c>
      <c r="K591" t="str">
        <f t="shared" si="69"/>
        <v>Yes</v>
      </c>
      <c r="L591">
        <v>1</v>
      </c>
      <c r="N591">
        <v>80</v>
      </c>
      <c r="O591">
        <v>5</v>
      </c>
      <c r="T591" t="str">
        <f t="shared" si="64"/>
        <v/>
      </c>
    </row>
    <row r="592" spans="1:20" x14ac:dyDescent="0.55000000000000004">
      <c r="A592">
        <v>9</v>
      </c>
      <c r="B592" s="15" t="str">
        <f t="shared" si="70"/>
        <v>9_1</v>
      </c>
      <c r="C592" s="20">
        <v>45776.583333333336</v>
      </c>
      <c r="D592" t="s">
        <v>175</v>
      </c>
      <c r="E592">
        <v>2</v>
      </c>
      <c r="F592" t="s">
        <v>127</v>
      </c>
      <c r="G592" t="str">
        <f t="shared" si="65"/>
        <v>Galaxias brevipinnis</v>
      </c>
      <c r="H592" t="str">
        <f t="shared" si="66"/>
        <v>Climbing_galaxias</v>
      </c>
      <c r="I592" t="str">
        <f t="shared" si="67"/>
        <v>Kōaro</v>
      </c>
      <c r="J592" t="str">
        <f t="shared" si="68"/>
        <v>Native</v>
      </c>
      <c r="K592" t="str">
        <f t="shared" si="69"/>
        <v>Yes</v>
      </c>
      <c r="L592">
        <v>1</v>
      </c>
      <c r="N592">
        <v>100</v>
      </c>
      <c r="O592">
        <v>9</v>
      </c>
      <c r="T592" t="str">
        <f t="shared" si="64"/>
        <v/>
      </c>
    </row>
    <row r="593" spans="1:20" x14ac:dyDescent="0.55000000000000004">
      <c r="A593">
        <v>9</v>
      </c>
      <c r="B593" s="15" t="str">
        <f t="shared" si="70"/>
        <v>9_1</v>
      </c>
      <c r="C593" s="20">
        <v>45776.583333333336</v>
      </c>
      <c r="D593" t="s">
        <v>175</v>
      </c>
      <c r="E593">
        <v>2</v>
      </c>
      <c r="F593" t="s">
        <v>127</v>
      </c>
      <c r="G593" t="str">
        <f t="shared" si="65"/>
        <v>Galaxias brevipinnis</v>
      </c>
      <c r="H593" t="str">
        <f t="shared" si="66"/>
        <v>Climbing_galaxias</v>
      </c>
      <c r="I593" t="str">
        <f t="shared" si="67"/>
        <v>Kōaro</v>
      </c>
      <c r="J593" t="str">
        <f t="shared" si="68"/>
        <v>Native</v>
      </c>
      <c r="K593" t="str">
        <f t="shared" si="69"/>
        <v>Yes</v>
      </c>
      <c r="L593">
        <v>1</v>
      </c>
      <c r="N593">
        <v>80</v>
      </c>
      <c r="O593">
        <v>4</v>
      </c>
      <c r="T593" t="str">
        <f t="shared" si="64"/>
        <v/>
      </c>
    </row>
    <row r="594" spans="1:20" x14ac:dyDescent="0.55000000000000004">
      <c r="A594">
        <v>9</v>
      </c>
      <c r="B594" s="15" t="str">
        <f t="shared" si="70"/>
        <v>9_1</v>
      </c>
      <c r="C594" s="20">
        <v>45776.583333333336</v>
      </c>
      <c r="D594" t="s">
        <v>175</v>
      </c>
      <c r="E594">
        <v>2</v>
      </c>
      <c r="F594" t="s">
        <v>127</v>
      </c>
      <c r="G594" t="str">
        <f t="shared" si="65"/>
        <v>Galaxias brevipinnis</v>
      </c>
      <c r="H594" t="str">
        <f t="shared" si="66"/>
        <v>Climbing_galaxias</v>
      </c>
      <c r="I594" t="str">
        <f t="shared" si="67"/>
        <v>Kōaro</v>
      </c>
      <c r="J594" t="str">
        <f t="shared" si="68"/>
        <v>Native</v>
      </c>
      <c r="K594" t="str">
        <f t="shared" si="69"/>
        <v>Yes</v>
      </c>
      <c r="L594">
        <v>1</v>
      </c>
      <c r="N594">
        <v>85</v>
      </c>
      <c r="O594">
        <v>4</v>
      </c>
      <c r="T594" t="str">
        <f t="shared" si="64"/>
        <v/>
      </c>
    </row>
    <row r="595" spans="1:20" x14ac:dyDescent="0.55000000000000004">
      <c r="A595">
        <v>9</v>
      </c>
      <c r="B595" s="15" t="str">
        <f t="shared" si="70"/>
        <v>9_1</v>
      </c>
      <c r="C595" s="20">
        <v>45776.583333333336</v>
      </c>
      <c r="D595" t="s">
        <v>175</v>
      </c>
      <c r="E595">
        <v>2</v>
      </c>
      <c r="F595" t="s">
        <v>127</v>
      </c>
      <c r="G595" t="str">
        <f t="shared" si="65"/>
        <v>Galaxias brevipinnis</v>
      </c>
      <c r="H595" t="str">
        <f t="shared" si="66"/>
        <v>Climbing_galaxias</v>
      </c>
      <c r="I595" t="str">
        <f t="shared" si="67"/>
        <v>Kōaro</v>
      </c>
      <c r="J595" t="str">
        <f t="shared" si="68"/>
        <v>Native</v>
      </c>
      <c r="K595" t="str">
        <f t="shared" si="69"/>
        <v>Yes</v>
      </c>
      <c r="L595">
        <v>1</v>
      </c>
      <c r="N595">
        <v>90</v>
      </c>
      <c r="O595">
        <v>4</v>
      </c>
      <c r="T595" t="str">
        <f t="shared" si="64"/>
        <v/>
      </c>
    </row>
    <row r="596" spans="1:20" x14ac:dyDescent="0.55000000000000004">
      <c r="A596">
        <v>9</v>
      </c>
      <c r="B596" s="15" t="str">
        <f t="shared" si="70"/>
        <v>9_1</v>
      </c>
      <c r="C596" s="20">
        <v>45776.583333333336</v>
      </c>
      <c r="D596" t="s">
        <v>175</v>
      </c>
      <c r="E596">
        <v>2</v>
      </c>
      <c r="F596" t="s">
        <v>127</v>
      </c>
      <c r="G596" t="str">
        <f t="shared" si="65"/>
        <v>Galaxias brevipinnis</v>
      </c>
      <c r="H596" t="str">
        <f t="shared" si="66"/>
        <v>Climbing_galaxias</v>
      </c>
      <c r="I596" t="str">
        <f t="shared" si="67"/>
        <v>Kōaro</v>
      </c>
      <c r="J596" t="str">
        <f t="shared" si="68"/>
        <v>Native</v>
      </c>
      <c r="K596" t="str">
        <f t="shared" si="69"/>
        <v>Yes</v>
      </c>
      <c r="L596">
        <v>1</v>
      </c>
      <c r="N596">
        <v>80</v>
      </c>
      <c r="O596">
        <v>4</v>
      </c>
      <c r="T596" t="str">
        <f t="shared" si="64"/>
        <v/>
      </c>
    </row>
    <row r="597" spans="1:20" x14ac:dyDescent="0.55000000000000004">
      <c r="A597">
        <v>9</v>
      </c>
      <c r="B597" s="15" t="str">
        <f t="shared" si="70"/>
        <v>9_1</v>
      </c>
      <c r="C597" s="20">
        <v>45776.583333333336</v>
      </c>
      <c r="D597" t="s">
        <v>175</v>
      </c>
      <c r="E597">
        <v>2</v>
      </c>
      <c r="F597" t="s">
        <v>133</v>
      </c>
      <c r="G597" t="str">
        <f t="shared" si="65"/>
        <v>Retropinna retropinna</v>
      </c>
      <c r="H597" t="str">
        <f t="shared" si="66"/>
        <v>Common_smelt</v>
      </c>
      <c r="I597" t="str">
        <f t="shared" si="67"/>
        <v>Common_smelt</v>
      </c>
      <c r="J597" t="str">
        <f t="shared" si="68"/>
        <v>Native</v>
      </c>
      <c r="K597" t="str">
        <f t="shared" si="69"/>
        <v>No</v>
      </c>
      <c r="O597">
        <v>250</v>
      </c>
      <c r="S597">
        <v>1.5</v>
      </c>
      <c r="T597">
        <f t="shared" si="64"/>
        <v>354.88200000000001</v>
      </c>
    </row>
    <row r="598" spans="1:20" x14ac:dyDescent="0.55000000000000004">
      <c r="A598">
        <v>9</v>
      </c>
      <c r="B598" s="15" t="str">
        <f t="shared" si="70"/>
        <v>9_1</v>
      </c>
      <c r="C598" s="20">
        <v>45776.583333333336</v>
      </c>
      <c r="D598" t="s">
        <v>175</v>
      </c>
      <c r="E598">
        <v>2</v>
      </c>
      <c r="F598" t="s">
        <v>135</v>
      </c>
      <c r="G598" t="str">
        <f t="shared" si="65"/>
        <v>Gobiomorphus cotidianus</v>
      </c>
      <c r="H598" t="str">
        <f t="shared" si="66"/>
        <v>Common_bully</v>
      </c>
      <c r="I598" t="str">
        <f t="shared" si="67"/>
        <v>Toitoi</v>
      </c>
      <c r="J598" t="str">
        <f t="shared" si="68"/>
        <v>Native</v>
      </c>
      <c r="K598" t="str">
        <f t="shared" si="69"/>
        <v>No</v>
      </c>
      <c r="O598">
        <v>241</v>
      </c>
      <c r="S598">
        <v>1</v>
      </c>
      <c r="T598">
        <f t="shared" si="64"/>
        <v>236.58799999999999</v>
      </c>
    </row>
    <row r="599" spans="1:20" x14ac:dyDescent="0.55000000000000004">
      <c r="A599">
        <v>9</v>
      </c>
      <c r="B599" s="15" t="str">
        <f t="shared" si="70"/>
        <v>9_1</v>
      </c>
      <c r="C599" s="20">
        <v>45776.583333333336</v>
      </c>
      <c r="D599" t="s">
        <v>175</v>
      </c>
      <c r="E599">
        <v>2</v>
      </c>
      <c r="F599" t="s">
        <v>124</v>
      </c>
      <c r="G599" t="str">
        <f t="shared" si="65"/>
        <v>Carassius auratus</v>
      </c>
      <c r="H599" t="str">
        <f t="shared" si="66"/>
        <v>Goldfish</v>
      </c>
      <c r="I599" t="str">
        <f t="shared" si="67"/>
        <v>Morihana</v>
      </c>
      <c r="J599" t="str">
        <f t="shared" si="68"/>
        <v>Nonnative</v>
      </c>
      <c r="K599" t="str">
        <f t="shared" si="69"/>
        <v>No</v>
      </c>
      <c r="L599">
        <v>1</v>
      </c>
      <c r="N599">
        <v>180</v>
      </c>
      <c r="O599">
        <v>108</v>
      </c>
      <c r="T599" t="str">
        <f t="shared" si="64"/>
        <v/>
      </c>
    </row>
    <row r="600" spans="1:20" x14ac:dyDescent="0.55000000000000004">
      <c r="A600">
        <v>9</v>
      </c>
      <c r="B600" s="15" t="str">
        <f t="shared" si="70"/>
        <v>9_1</v>
      </c>
      <c r="C600" s="20">
        <v>45776.583333333336</v>
      </c>
      <c r="D600" t="s">
        <v>175</v>
      </c>
      <c r="E600">
        <v>2</v>
      </c>
      <c r="F600" t="s">
        <v>115</v>
      </c>
      <c r="G600" t="str">
        <f t="shared" si="65"/>
        <v>Paranephrops planifrons</v>
      </c>
      <c r="H600" t="str">
        <f t="shared" si="66"/>
        <v>Freshwater_crayfish</v>
      </c>
      <c r="I600" t="str">
        <f t="shared" si="67"/>
        <v>Kōura</v>
      </c>
      <c r="J600" t="str">
        <f t="shared" si="68"/>
        <v>Native</v>
      </c>
      <c r="K600" t="str">
        <f t="shared" si="69"/>
        <v>Yes</v>
      </c>
      <c r="L600">
        <v>1</v>
      </c>
      <c r="M600" t="s">
        <v>177</v>
      </c>
      <c r="N600">
        <v>37</v>
      </c>
      <c r="O600">
        <v>35</v>
      </c>
      <c r="T600" t="str">
        <f t="shared" si="64"/>
        <v/>
      </c>
    </row>
    <row r="601" spans="1:20" x14ac:dyDescent="0.55000000000000004">
      <c r="A601">
        <v>9</v>
      </c>
      <c r="B601" s="15" t="str">
        <f t="shared" si="70"/>
        <v>9_1</v>
      </c>
      <c r="C601" s="20">
        <v>45776.583333333336</v>
      </c>
      <c r="D601" t="s">
        <v>175</v>
      </c>
      <c r="E601">
        <v>2</v>
      </c>
      <c r="F601" t="s">
        <v>115</v>
      </c>
      <c r="G601" t="str">
        <f t="shared" si="65"/>
        <v>Paranephrops planifrons</v>
      </c>
      <c r="H601" t="str">
        <f t="shared" si="66"/>
        <v>Freshwater_crayfish</v>
      </c>
      <c r="I601" t="str">
        <f t="shared" si="67"/>
        <v>Kōura</v>
      </c>
      <c r="J601" t="str">
        <f t="shared" si="68"/>
        <v>Native</v>
      </c>
      <c r="K601" t="str">
        <f t="shared" si="69"/>
        <v>Yes</v>
      </c>
      <c r="L601">
        <v>1</v>
      </c>
      <c r="M601" t="s">
        <v>176</v>
      </c>
      <c r="N601">
        <v>40</v>
      </c>
      <c r="O601">
        <v>39</v>
      </c>
      <c r="T601" t="str">
        <f t="shared" si="64"/>
        <v/>
      </c>
    </row>
    <row r="602" spans="1:20" x14ac:dyDescent="0.55000000000000004">
      <c r="A602">
        <v>9</v>
      </c>
      <c r="B602" s="15" t="str">
        <f t="shared" si="70"/>
        <v>9_1</v>
      </c>
      <c r="C602" s="20">
        <v>45776.583333333336</v>
      </c>
      <c r="D602" t="s">
        <v>175</v>
      </c>
      <c r="E602">
        <v>2</v>
      </c>
      <c r="F602" t="s">
        <v>127</v>
      </c>
      <c r="G602" t="str">
        <f t="shared" si="65"/>
        <v>Galaxias brevipinnis</v>
      </c>
      <c r="H602" t="str">
        <f t="shared" si="66"/>
        <v>Climbing_galaxias</v>
      </c>
      <c r="I602" t="str">
        <f t="shared" si="67"/>
        <v>Kōaro</v>
      </c>
      <c r="J602" t="str">
        <f t="shared" si="68"/>
        <v>Native</v>
      </c>
      <c r="K602" t="str">
        <f t="shared" si="69"/>
        <v>Yes</v>
      </c>
      <c r="L602">
        <v>1</v>
      </c>
      <c r="N602">
        <v>150</v>
      </c>
      <c r="O602">
        <v>40</v>
      </c>
      <c r="T602" t="str">
        <f t="shared" si="64"/>
        <v/>
      </c>
    </row>
    <row r="603" spans="1:20" x14ac:dyDescent="0.55000000000000004">
      <c r="A603">
        <v>9</v>
      </c>
      <c r="B603" s="15" t="str">
        <f t="shared" si="70"/>
        <v>9_1</v>
      </c>
      <c r="C603" s="20">
        <v>45776.583333333336</v>
      </c>
      <c r="D603" t="s">
        <v>175</v>
      </c>
      <c r="E603">
        <v>2</v>
      </c>
      <c r="F603" t="s">
        <v>127</v>
      </c>
      <c r="G603" t="str">
        <f t="shared" si="65"/>
        <v>Galaxias brevipinnis</v>
      </c>
      <c r="H603" t="str">
        <f t="shared" si="66"/>
        <v>Climbing_galaxias</v>
      </c>
      <c r="I603" t="str">
        <f t="shared" si="67"/>
        <v>Kōaro</v>
      </c>
      <c r="J603" t="str">
        <f t="shared" si="68"/>
        <v>Native</v>
      </c>
      <c r="K603" t="str">
        <f t="shared" si="69"/>
        <v>Yes</v>
      </c>
      <c r="L603">
        <v>1</v>
      </c>
      <c r="N603">
        <v>140</v>
      </c>
      <c r="O603">
        <v>24</v>
      </c>
      <c r="T603" t="str">
        <f t="shared" si="64"/>
        <v/>
      </c>
    </row>
    <row r="604" spans="1:20" x14ac:dyDescent="0.55000000000000004">
      <c r="A604">
        <v>9</v>
      </c>
      <c r="B604" s="15" t="str">
        <f t="shared" si="70"/>
        <v>9_1</v>
      </c>
      <c r="C604" s="20">
        <v>45776.583333333336</v>
      </c>
      <c r="D604" t="s">
        <v>175</v>
      </c>
      <c r="E604">
        <v>2</v>
      </c>
      <c r="F604" t="s">
        <v>127</v>
      </c>
      <c r="G604" t="str">
        <f t="shared" si="65"/>
        <v>Galaxias brevipinnis</v>
      </c>
      <c r="H604" t="str">
        <f t="shared" si="66"/>
        <v>Climbing_galaxias</v>
      </c>
      <c r="I604" t="str">
        <f t="shared" si="67"/>
        <v>Kōaro</v>
      </c>
      <c r="J604" t="str">
        <f t="shared" si="68"/>
        <v>Native</v>
      </c>
      <c r="K604" t="str">
        <f t="shared" si="69"/>
        <v>Yes</v>
      </c>
      <c r="L604">
        <v>1</v>
      </c>
      <c r="N604">
        <v>90</v>
      </c>
      <c r="O604">
        <v>7</v>
      </c>
      <c r="T604" t="str">
        <f t="shared" si="64"/>
        <v/>
      </c>
    </row>
    <row r="605" spans="1:20" x14ac:dyDescent="0.55000000000000004">
      <c r="A605">
        <v>9</v>
      </c>
      <c r="B605" s="15" t="str">
        <f t="shared" si="70"/>
        <v>9_1</v>
      </c>
      <c r="C605" s="20">
        <v>45776.583333333336</v>
      </c>
      <c r="D605" t="s">
        <v>175</v>
      </c>
      <c r="E605">
        <v>2</v>
      </c>
      <c r="F605" t="s">
        <v>127</v>
      </c>
      <c r="G605" t="str">
        <f t="shared" si="65"/>
        <v>Galaxias brevipinnis</v>
      </c>
      <c r="H605" t="str">
        <f t="shared" si="66"/>
        <v>Climbing_galaxias</v>
      </c>
      <c r="I605" t="str">
        <f t="shared" si="67"/>
        <v>Kōaro</v>
      </c>
      <c r="J605" t="str">
        <f t="shared" si="68"/>
        <v>Native</v>
      </c>
      <c r="K605" t="str">
        <f t="shared" si="69"/>
        <v>Yes</v>
      </c>
      <c r="L605">
        <v>1</v>
      </c>
      <c r="N605">
        <v>70</v>
      </c>
      <c r="O605">
        <v>3</v>
      </c>
      <c r="T605" t="str">
        <f t="shared" si="64"/>
        <v/>
      </c>
    </row>
    <row r="606" spans="1:20" x14ac:dyDescent="0.55000000000000004">
      <c r="A606">
        <v>9</v>
      </c>
      <c r="B606" s="15" t="str">
        <f t="shared" si="70"/>
        <v>9_1</v>
      </c>
      <c r="C606" s="20">
        <v>45776.583333333336</v>
      </c>
      <c r="D606" t="s">
        <v>175</v>
      </c>
      <c r="E606">
        <v>2</v>
      </c>
      <c r="F606" t="s">
        <v>127</v>
      </c>
      <c r="G606" t="str">
        <f t="shared" si="65"/>
        <v>Galaxias brevipinnis</v>
      </c>
      <c r="H606" t="str">
        <f t="shared" si="66"/>
        <v>Climbing_galaxias</v>
      </c>
      <c r="I606" t="str">
        <f t="shared" si="67"/>
        <v>Kōaro</v>
      </c>
      <c r="J606" t="str">
        <f t="shared" si="68"/>
        <v>Native</v>
      </c>
      <c r="K606" t="str">
        <f t="shared" si="69"/>
        <v>Yes</v>
      </c>
      <c r="L606">
        <v>1</v>
      </c>
      <c r="N606">
        <v>80</v>
      </c>
      <c r="O606">
        <v>4</v>
      </c>
      <c r="T606" t="str">
        <f t="shared" si="64"/>
        <v/>
      </c>
    </row>
    <row r="607" spans="1:20" x14ac:dyDescent="0.55000000000000004">
      <c r="A607">
        <v>9</v>
      </c>
      <c r="B607" s="15" t="str">
        <f t="shared" si="70"/>
        <v>9_1</v>
      </c>
      <c r="C607" s="20">
        <v>45776.583333333336</v>
      </c>
      <c r="D607" t="s">
        <v>175</v>
      </c>
      <c r="E607">
        <v>2</v>
      </c>
      <c r="F607" t="s">
        <v>127</v>
      </c>
      <c r="G607" t="str">
        <f t="shared" si="65"/>
        <v>Galaxias brevipinnis</v>
      </c>
      <c r="H607" t="str">
        <f t="shared" si="66"/>
        <v>Climbing_galaxias</v>
      </c>
      <c r="I607" t="str">
        <f t="shared" si="67"/>
        <v>Kōaro</v>
      </c>
      <c r="J607" t="str">
        <f t="shared" si="68"/>
        <v>Native</v>
      </c>
      <c r="K607" t="str">
        <f t="shared" si="69"/>
        <v>Yes</v>
      </c>
      <c r="L607">
        <v>1</v>
      </c>
      <c r="N607">
        <v>70</v>
      </c>
      <c r="O607">
        <v>3</v>
      </c>
      <c r="T607" t="str">
        <f t="shared" si="64"/>
        <v/>
      </c>
    </row>
    <row r="608" spans="1:20" x14ac:dyDescent="0.55000000000000004">
      <c r="A608">
        <v>9</v>
      </c>
      <c r="B608" s="15" t="str">
        <f t="shared" si="70"/>
        <v>9_1</v>
      </c>
      <c r="C608" s="20">
        <v>45776.583333333336</v>
      </c>
      <c r="D608" t="s">
        <v>175</v>
      </c>
      <c r="E608">
        <v>2</v>
      </c>
      <c r="F608" t="s">
        <v>127</v>
      </c>
      <c r="G608" t="str">
        <f t="shared" si="65"/>
        <v>Galaxias brevipinnis</v>
      </c>
      <c r="H608" t="str">
        <f t="shared" si="66"/>
        <v>Climbing_galaxias</v>
      </c>
      <c r="I608" t="str">
        <f t="shared" si="67"/>
        <v>Kōaro</v>
      </c>
      <c r="J608" t="str">
        <f t="shared" si="68"/>
        <v>Native</v>
      </c>
      <c r="K608" t="str">
        <f t="shared" si="69"/>
        <v>Yes</v>
      </c>
      <c r="L608">
        <v>1</v>
      </c>
      <c r="N608">
        <v>80</v>
      </c>
      <c r="O608">
        <v>4</v>
      </c>
      <c r="T608" t="str">
        <f t="shared" si="64"/>
        <v/>
      </c>
    </row>
    <row r="609" spans="1:20" x14ac:dyDescent="0.55000000000000004">
      <c r="A609">
        <v>9</v>
      </c>
      <c r="B609" s="15" t="str">
        <f t="shared" si="70"/>
        <v>9_1</v>
      </c>
      <c r="C609" s="20">
        <v>45776.583333333336</v>
      </c>
      <c r="D609" t="s">
        <v>175</v>
      </c>
      <c r="E609">
        <v>2</v>
      </c>
      <c r="F609" t="s">
        <v>127</v>
      </c>
      <c r="G609" t="str">
        <f t="shared" si="65"/>
        <v>Galaxias brevipinnis</v>
      </c>
      <c r="H609" t="str">
        <f t="shared" si="66"/>
        <v>Climbing_galaxias</v>
      </c>
      <c r="I609" t="str">
        <f t="shared" si="67"/>
        <v>Kōaro</v>
      </c>
      <c r="J609" t="str">
        <f t="shared" si="68"/>
        <v>Native</v>
      </c>
      <c r="K609" t="str">
        <f t="shared" si="69"/>
        <v>Yes</v>
      </c>
      <c r="L609">
        <v>1</v>
      </c>
      <c r="N609">
        <v>70</v>
      </c>
      <c r="O609">
        <v>3</v>
      </c>
      <c r="T609" t="str">
        <f t="shared" si="64"/>
        <v/>
      </c>
    </row>
    <row r="610" spans="1:20" x14ac:dyDescent="0.55000000000000004">
      <c r="A610">
        <v>9</v>
      </c>
      <c r="B610" s="15" t="str">
        <f t="shared" si="70"/>
        <v>9_1</v>
      </c>
      <c r="C610" s="20">
        <v>45776.583333333336</v>
      </c>
      <c r="D610" t="s">
        <v>175</v>
      </c>
      <c r="E610">
        <v>2</v>
      </c>
      <c r="F610" t="s">
        <v>127</v>
      </c>
      <c r="G610" t="str">
        <f t="shared" si="65"/>
        <v>Galaxias brevipinnis</v>
      </c>
      <c r="H610" t="str">
        <f t="shared" si="66"/>
        <v>Climbing_galaxias</v>
      </c>
      <c r="I610" t="str">
        <f t="shared" si="67"/>
        <v>Kōaro</v>
      </c>
      <c r="J610" t="str">
        <f t="shared" si="68"/>
        <v>Native</v>
      </c>
      <c r="K610" t="str">
        <f t="shared" si="69"/>
        <v>Yes</v>
      </c>
      <c r="L610">
        <v>1</v>
      </c>
      <c r="N610">
        <v>90</v>
      </c>
      <c r="O610">
        <v>7</v>
      </c>
      <c r="T610" t="str">
        <f t="shared" si="64"/>
        <v/>
      </c>
    </row>
    <row r="611" spans="1:20" x14ac:dyDescent="0.55000000000000004">
      <c r="A611">
        <v>9</v>
      </c>
      <c r="B611" s="15" t="str">
        <f t="shared" si="70"/>
        <v>9_1</v>
      </c>
      <c r="C611" s="20">
        <v>45776.583333333336</v>
      </c>
      <c r="D611" t="s">
        <v>175</v>
      </c>
      <c r="E611">
        <v>2</v>
      </c>
      <c r="F611" t="s">
        <v>127</v>
      </c>
      <c r="G611" t="str">
        <f t="shared" si="65"/>
        <v>Galaxias brevipinnis</v>
      </c>
      <c r="H611" t="str">
        <f t="shared" si="66"/>
        <v>Climbing_galaxias</v>
      </c>
      <c r="I611" t="str">
        <f t="shared" si="67"/>
        <v>Kōaro</v>
      </c>
      <c r="J611" t="str">
        <f t="shared" si="68"/>
        <v>Native</v>
      </c>
      <c r="K611" t="str">
        <f t="shared" si="69"/>
        <v>Yes</v>
      </c>
      <c r="L611">
        <v>1</v>
      </c>
      <c r="N611">
        <v>100</v>
      </c>
      <c r="O611">
        <v>7</v>
      </c>
      <c r="T611" t="str">
        <f t="shared" si="64"/>
        <v/>
      </c>
    </row>
    <row r="612" spans="1:20" x14ac:dyDescent="0.55000000000000004">
      <c r="A612">
        <v>9</v>
      </c>
      <c r="B612" s="15" t="str">
        <f t="shared" si="70"/>
        <v>9_1</v>
      </c>
      <c r="C612" s="20">
        <v>45776.583333333336</v>
      </c>
      <c r="D612" t="s">
        <v>175</v>
      </c>
      <c r="E612">
        <v>2</v>
      </c>
      <c r="F612" t="s">
        <v>127</v>
      </c>
      <c r="G612" t="str">
        <f t="shared" si="65"/>
        <v>Galaxias brevipinnis</v>
      </c>
      <c r="H612" t="str">
        <f t="shared" si="66"/>
        <v>Climbing_galaxias</v>
      </c>
      <c r="I612" t="str">
        <f t="shared" si="67"/>
        <v>Kōaro</v>
      </c>
      <c r="J612" t="str">
        <f t="shared" si="68"/>
        <v>Native</v>
      </c>
      <c r="K612" t="str">
        <f t="shared" si="69"/>
        <v>Yes</v>
      </c>
      <c r="L612">
        <v>1</v>
      </c>
      <c r="N612">
        <v>90</v>
      </c>
      <c r="O612">
        <v>4</v>
      </c>
      <c r="T612" t="str">
        <f t="shared" si="64"/>
        <v/>
      </c>
    </row>
    <row r="613" spans="1:20" x14ac:dyDescent="0.55000000000000004">
      <c r="A613">
        <v>9</v>
      </c>
      <c r="B613" s="15" t="str">
        <f t="shared" si="70"/>
        <v>9_1</v>
      </c>
      <c r="C613" s="20">
        <v>45776.583333333336</v>
      </c>
      <c r="D613" t="s">
        <v>175</v>
      </c>
      <c r="E613">
        <v>2</v>
      </c>
      <c r="F613" t="s">
        <v>127</v>
      </c>
      <c r="G613" t="str">
        <f t="shared" si="65"/>
        <v>Galaxias brevipinnis</v>
      </c>
      <c r="H613" t="str">
        <f t="shared" si="66"/>
        <v>Climbing_galaxias</v>
      </c>
      <c r="I613" t="str">
        <f t="shared" si="67"/>
        <v>Kōaro</v>
      </c>
      <c r="J613" t="str">
        <f t="shared" si="68"/>
        <v>Native</v>
      </c>
      <c r="K613" t="str">
        <f t="shared" si="69"/>
        <v>Yes</v>
      </c>
      <c r="L613">
        <v>1</v>
      </c>
      <c r="N613">
        <v>90</v>
      </c>
      <c r="O613">
        <v>6</v>
      </c>
      <c r="T613" t="str">
        <f t="shared" si="64"/>
        <v/>
      </c>
    </row>
    <row r="614" spans="1:20" x14ac:dyDescent="0.55000000000000004">
      <c r="A614">
        <v>9</v>
      </c>
      <c r="B614" s="15" t="str">
        <f t="shared" si="70"/>
        <v>9_1</v>
      </c>
      <c r="C614" s="20">
        <v>45776.583333333336</v>
      </c>
      <c r="D614" t="s">
        <v>175</v>
      </c>
      <c r="E614">
        <v>2</v>
      </c>
      <c r="F614" t="s">
        <v>127</v>
      </c>
      <c r="G614" t="str">
        <f t="shared" si="65"/>
        <v>Galaxias brevipinnis</v>
      </c>
      <c r="H614" t="str">
        <f t="shared" si="66"/>
        <v>Climbing_galaxias</v>
      </c>
      <c r="I614" t="str">
        <f t="shared" si="67"/>
        <v>Kōaro</v>
      </c>
      <c r="J614" t="str">
        <f t="shared" si="68"/>
        <v>Native</v>
      </c>
      <c r="K614" t="str">
        <f t="shared" si="69"/>
        <v>Yes</v>
      </c>
      <c r="L614">
        <v>1</v>
      </c>
      <c r="N614">
        <v>80</v>
      </c>
      <c r="O614">
        <v>4</v>
      </c>
      <c r="T614" t="str">
        <f t="shared" si="64"/>
        <v/>
      </c>
    </row>
    <row r="615" spans="1:20" x14ac:dyDescent="0.55000000000000004">
      <c r="A615">
        <v>9</v>
      </c>
      <c r="B615" s="15" t="str">
        <f t="shared" si="70"/>
        <v>9_1</v>
      </c>
      <c r="C615" s="20">
        <v>45776.583333333336</v>
      </c>
      <c r="D615" t="s">
        <v>175</v>
      </c>
      <c r="E615">
        <v>2</v>
      </c>
      <c r="F615" t="s">
        <v>127</v>
      </c>
      <c r="G615" t="str">
        <f t="shared" si="65"/>
        <v>Galaxias brevipinnis</v>
      </c>
      <c r="H615" t="str">
        <f t="shared" si="66"/>
        <v>Climbing_galaxias</v>
      </c>
      <c r="I615" t="str">
        <f t="shared" si="67"/>
        <v>Kōaro</v>
      </c>
      <c r="J615" t="str">
        <f t="shared" si="68"/>
        <v>Native</v>
      </c>
      <c r="K615" t="str">
        <f t="shared" si="69"/>
        <v>Yes</v>
      </c>
      <c r="L615">
        <v>1</v>
      </c>
      <c r="N615">
        <v>95</v>
      </c>
      <c r="O615">
        <v>6</v>
      </c>
      <c r="T615" t="str">
        <f t="shared" si="64"/>
        <v/>
      </c>
    </row>
    <row r="616" spans="1:20" x14ac:dyDescent="0.55000000000000004">
      <c r="A616">
        <v>9</v>
      </c>
      <c r="B616" s="15" t="str">
        <f t="shared" si="70"/>
        <v>9_1</v>
      </c>
      <c r="C616" s="20">
        <v>45776.583333333336</v>
      </c>
      <c r="D616" t="s">
        <v>175</v>
      </c>
      <c r="E616">
        <v>2</v>
      </c>
      <c r="F616" t="s">
        <v>127</v>
      </c>
      <c r="G616" t="str">
        <f t="shared" si="65"/>
        <v>Galaxias brevipinnis</v>
      </c>
      <c r="H616" t="str">
        <f t="shared" si="66"/>
        <v>Climbing_galaxias</v>
      </c>
      <c r="I616" t="str">
        <f t="shared" si="67"/>
        <v>Kōaro</v>
      </c>
      <c r="J616" t="str">
        <f t="shared" si="68"/>
        <v>Native</v>
      </c>
      <c r="K616" t="str">
        <f t="shared" si="69"/>
        <v>Yes</v>
      </c>
      <c r="L616">
        <v>1</v>
      </c>
      <c r="N616">
        <v>80</v>
      </c>
      <c r="O616">
        <v>4</v>
      </c>
      <c r="T616" t="str">
        <f t="shared" si="64"/>
        <v/>
      </c>
    </row>
    <row r="617" spans="1:20" x14ac:dyDescent="0.55000000000000004">
      <c r="A617">
        <v>9</v>
      </c>
      <c r="B617" s="15" t="str">
        <f t="shared" si="70"/>
        <v>9_1</v>
      </c>
      <c r="C617" s="20">
        <v>45776.583333333336</v>
      </c>
      <c r="D617" t="s">
        <v>175</v>
      </c>
      <c r="E617">
        <v>2</v>
      </c>
      <c r="F617" t="s">
        <v>127</v>
      </c>
      <c r="G617" t="str">
        <f t="shared" si="65"/>
        <v>Galaxias brevipinnis</v>
      </c>
      <c r="H617" t="str">
        <f t="shared" si="66"/>
        <v>Climbing_galaxias</v>
      </c>
      <c r="I617" t="str">
        <f t="shared" si="67"/>
        <v>Kōaro</v>
      </c>
      <c r="J617" t="str">
        <f t="shared" si="68"/>
        <v>Native</v>
      </c>
      <c r="K617" t="str">
        <f t="shared" si="69"/>
        <v>Yes</v>
      </c>
      <c r="L617">
        <v>1</v>
      </c>
      <c r="N617">
        <v>100</v>
      </c>
      <c r="O617">
        <v>11</v>
      </c>
      <c r="T617" t="str">
        <f t="shared" si="64"/>
        <v/>
      </c>
    </row>
    <row r="618" spans="1:20" x14ac:dyDescent="0.55000000000000004">
      <c r="A618">
        <v>9</v>
      </c>
      <c r="B618" s="15" t="str">
        <f t="shared" si="70"/>
        <v>9_1</v>
      </c>
      <c r="C618" s="20">
        <v>45776.583333333336</v>
      </c>
      <c r="D618" t="s">
        <v>175</v>
      </c>
      <c r="E618">
        <v>2</v>
      </c>
      <c r="F618" t="s">
        <v>127</v>
      </c>
      <c r="G618" t="str">
        <f t="shared" si="65"/>
        <v>Galaxias brevipinnis</v>
      </c>
      <c r="H618" t="str">
        <f t="shared" si="66"/>
        <v>Climbing_galaxias</v>
      </c>
      <c r="I618" t="str">
        <f t="shared" si="67"/>
        <v>Kōaro</v>
      </c>
      <c r="J618" t="str">
        <f t="shared" si="68"/>
        <v>Native</v>
      </c>
      <c r="K618" t="str">
        <f t="shared" si="69"/>
        <v>Yes</v>
      </c>
      <c r="L618">
        <v>1</v>
      </c>
      <c r="N618">
        <v>100</v>
      </c>
      <c r="O618">
        <v>10</v>
      </c>
      <c r="T618" t="str">
        <f t="shared" si="64"/>
        <v/>
      </c>
    </row>
    <row r="619" spans="1:20" x14ac:dyDescent="0.55000000000000004">
      <c r="A619">
        <v>9</v>
      </c>
      <c r="B619" s="15" t="str">
        <f t="shared" si="70"/>
        <v>9_1</v>
      </c>
      <c r="C619" s="20">
        <v>45776.583333333336</v>
      </c>
      <c r="D619" t="s">
        <v>175</v>
      </c>
      <c r="E619">
        <v>2</v>
      </c>
      <c r="F619" t="s">
        <v>127</v>
      </c>
      <c r="G619" t="str">
        <f t="shared" si="65"/>
        <v>Galaxias brevipinnis</v>
      </c>
      <c r="H619" t="str">
        <f t="shared" si="66"/>
        <v>Climbing_galaxias</v>
      </c>
      <c r="I619" t="str">
        <f t="shared" si="67"/>
        <v>Kōaro</v>
      </c>
      <c r="J619" t="str">
        <f t="shared" si="68"/>
        <v>Native</v>
      </c>
      <c r="K619" t="str">
        <f t="shared" si="69"/>
        <v>Yes</v>
      </c>
      <c r="L619">
        <v>1</v>
      </c>
      <c r="N619">
        <v>45</v>
      </c>
      <c r="O619">
        <v>1</v>
      </c>
      <c r="T619" t="str">
        <f t="shared" si="64"/>
        <v/>
      </c>
    </row>
    <row r="620" spans="1:20" x14ac:dyDescent="0.55000000000000004">
      <c r="A620">
        <v>9</v>
      </c>
      <c r="B620" s="15" t="str">
        <f t="shared" si="70"/>
        <v>9_1</v>
      </c>
      <c r="C620" s="20">
        <v>45776.583333333336</v>
      </c>
      <c r="D620" t="s">
        <v>175</v>
      </c>
      <c r="E620">
        <v>2</v>
      </c>
      <c r="F620" t="s">
        <v>127</v>
      </c>
      <c r="G620" t="str">
        <f t="shared" si="65"/>
        <v>Galaxias brevipinnis</v>
      </c>
      <c r="H620" t="str">
        <f t="shared" si="66"/>
        <v>Climbing_galaxias</v>
      </c>
      <c r="I620" t="str">
        <f t="shared" si="67"/>
        <v>Kōaro</v>
      </c>
      <c r="J620" t="str">
        <f t="shared" si="68"/>
        <v>Native</v>
      </c>
      <c r="K620" t="str">
        <f t="shared" si="69"/>
        <v>Yes</v>
      </c>
      <c r="L620">
        <v>1</v>
      </c>
      <c r="N620">
        <v>80</v>
      </c>
      <c r="O620">
        <v>4</v>
      </c>
      <c r="T620" t="str">
        <f t="shared" si="64"/>
        <v/>
      </c>
    </row>
    <row r="621" spans="1:20" x14ac:dyDescent="0.55000000000000004">
      <c r="A621">
        <v>9</v>
      </c>
      <c r="B621" s="15" t="str">
        <f t="shared" si="70"/>
        <v>9_1</v>
      </c>
      <c r="C621" s="20">
        <v>45776.583333333336</v>
      </c>
      <c r="D621" t="s">
        <v>175</v>
      </c>
      <c r="E621">
        <v>2</v>
      </c>
      <c r="F621" t="s">
        <v>127</v>
      </c>
      <c r="G621" t="str">
        <f t="shared" si="65"/>
        <v>Galaxias brevipinnis</v>
      </c>
      <c r="H621" t="str">
        <f t="shared" si="66"/>
        <v>Climbing_galaxias</v>
      </c>
      <c r="I621" t="str">
        <f t="shared" si="67"/>
        <v>Kōaro</v>
      </c>
      <c r="J621" t="str">
        <f t="shared" si="68"/>
        <v>Native</v>
      </c>
      <c r="K621" t="str">
        <f t="shared" si="69"/>
        <v>Yes</v>
      </c>
      <c r="L621">
        <v>1</v>
      </c>
      <c r="N621">
        <v>80</v>
      </c>
      <c r="O621">
        <v>4</v>
      </c>
      <c r="T621" t="str">
        <f t="shared" si="64"/>
        <v/>
      </c>
    </row>
    <row r="622" spans="1:20" x14ac:dyDescent="0.55000000000000004">
      <c r="A622">
        <v>9</v>
      </c>
      <c r="B622" s="15" t="str">
        <f t="shared" si="70"/>
        <v>9_1</v>
      </c>
      <c r="C622" s="20">
        <v>45776.583333333336</v>
      </c>
      <c r="D622" t="s">
        <v>175</v>
      </c>
      <c r="E622">
        <v>2</v>
      </c>
      <c r="F622" t="s">
        <v>127</v>
      </c>
      <c r="G622" t="str">
        <f t="shared" si="65"/>
        <v>Galaxias brevipinnis</v>
      </c>
      <c r="H622" t="str">
        <f t="shared" si="66"/>
        <v>Climbing_galaxias</v>
      </c>
      <c r="I622" t="str">
        <f t="shared" si="67"/>
        <v>Kōaro</v>
      </c>
      <c r="J622" t="str">
        <f t="shared" si="68"/>
        <v>Native</v>
      </c>
      <c r="K622" t="str">
        <f t="shared" si="69"/>
        <v>Yes</v>
      </c>
      <c r="L622">
        <v>1</v>
      </c>
      <c r="N622">
        <v>50</v>
      </c>
      <c r="O622">
        <v>1</v>
      </c>
      <c r="T622" t="str">
        <f t="shared" si="64"/>
        <v/>
      </c>
    </row>
    <row r="623" spans="1:20" x14ac:dyDescent="0.55000000000000004">
      <c r="A623">
        <v>9</v>
      </c>
      <c r="B623" s="15" t="str">
        <f t="shared" si="70"/>
        <v>9_1</v>
      </c>
      <c r="C623" s="20">
        <v>45776.583333333336</v>
      </c>
      <c r="D623" t="s">
        <v>175</v>
      </c>
      <c r="E623">
        <v>2</v>
      </c>
      <c r="F623" t="s">
        <v>127</v>
      </c>
      <c r="G623" t="str">
        <f t="shared" si="65"/>
        <v>Galaxias brevipinnis</v>
      </c>
      <c r="H623" t="str">
        <f t="shared" si="66"/>
        <v>Climbing_galaxias</v>
      </c>
      <c r="I623" t="str">
        <f t="shared" si="67"/>
        <v>Kōaro</v>
      </c>
      <c r="J623" t="str">
        <f t="shared" si="68"/>
        <v>Native</v>
      </c>
      <c r="K623" t="str">
        <f t="shared" si="69"/>
        <v>Yes</v>
      </c>
      <c r="L623">
        <v>1</v>
      </c>
      <c r="N623">
        <v>50</v>
      </c>
      <c r="O623">
        <v>1</v>
      </c>
      <c r="T623" t="str">
        <f t="shared" si="64"/>
        <v/>
      </c>
    </row>
    <row r="624" spans="1:20" x14ac:dyDescent="0.55000000000000004">
      <c r="A624">
        <v>9</v>
      </c>
      <c r="B624" s="15" t="str">
        <f t="shared" si="70"/>
        <v>9_1</v>
      </c>
      <c r="C624" s="20">
        <v>45776.583333333336</v>
      </c>
      <c r="D624" t="s">
        <v>175</v>
      </c>
      <c r="E624">
        <v>2</v>
      </c>
      <c r="F624" t="s">
        <v>127</v>
      </c>
      <c r="G624" t="str">
        <f t="shared" si="65"/>
        <v>Galaxias brevipinnis</v>
      </c>
      <c r="H624" t="str">
        <f t="shared" si="66"/>
        <v>Climbing_galaxias</v>
      </c>
      <c r="I624" t="str">
        <f t="shared" si="67"/>
        <v>Kōaro</v>
      </c>
      <c r="J624" t="str">
        <f t="shared" si="68"/>
        <v>Native</v>
      </c>
      <c r="K624" t="str">
        <f t="shared" si="69"/>
        <v>Yes</v>
      </c>
      <c r="L624">
        <v>1</v>
      </c>
      <c r="N624">
        <v>45</v>
      </c>
      <c r="O624">
        <v>1</v>
      </c>
      <c r="T624" t="str">
        <f t="shared" si="64"/>
        <v/>
      </c>
    </row>
    <row r="625" spans="1:20" x14ac:dyDescent="0.55000000000000004">
      <c r="A625">
        <v>9</v>
      </c>
      <c r="B625" s="15" t="str">
        <f t="shared" si="70"/>
        <v>9_1</v>
      </c>
      <c r="C625" s="20">
        <v>45776.583333333336</v>
      </c>
      <c r="D625" t="s">
        <v>175</v>
      </c>
      <c r="E625">
        <v>2</v>
      </c>
      <c r="F625" t="s">
        <v>127</v>
      </c>
      <c r="G625" t="str">
        <f t="shared" si="65"/>
        <v>Galaxias brevipinnis</v>
      </c>
      <c r="H625" t="str">
        <f t="shared" si="66"/>
        <v>Climbing_galaxias</v>
      </c>
      <c r="I625" t="str">
        <f t="shared" si="67"/>
        <v>Kōaro</v>
      </c>
      <c r="J625" t="str">
        <f t="shared" si="68"/>
        <v>Native</v>
      </c>
      <c r="K625" t="str">
        <f t="shared" si="69"/>
        <v>Yes</v>
      </c>
      <c r="L625">
        <v>1</v>
      </c>
      <c r="N625">
        <v>45</v>
      </c>
      <c r="O625">
        <v>1</v>
      </c>
      <c r="T625" t="str">
        <f t="shared" si="64"/>
        <v/>
      </c>
    </row>
    <row r="626" spans="1:20" x14ac:dyDescent="0.55000000000000004">
      <c r="A626">
        <v>9</v>
      </c>
      <c r="B626" s="15" t="str">
        <f t="shared" si="70"/>
        <v>9_1</v>
      </c>
      <c r="C626" s="20">
        <v>45776.583333333336</v>
      </c>
      <c r="D626" t="s">
        <v>175</v>
      </c>
      <c r="E626">
        <v>2</v>
      </c>
      <c r="F626" t="s">
        <v>127</v>
      </c>
      <c r="G626" t="str">
        <f t="shared" si="65"/>
        <v>Galaxias brevipinnis</v>
      </c>
      <c r="H626" t="str">
        <f t="shared" si="66"/>
        <v>Climbing_galaxias</v>
      </c>
      <c r="I626" t="str">
        <f t="shared" si="67"/>
        <v>Kōaro</v>
      </c>
      <c r="J626" t="str">
        <f t="shared" si="68"/>
        <v>Native</v>
      </c>
      <c r="K626" t="str">
        <f t="shared" si="69"/>
        <v>Yes</v>
      </c>
      <c r="L626">
        <v>1</v>
      </c>
      <c r="N626">
        <v>50</v>
      </c>
      <c r="O626">
        <v>1</v>
      </c>
      <c r="T626" t="str">
        <f t="shared" si="64"/>
        <v/>
      </c>
    </row>
    <row r="627" spans="1:20" x14ac:dyDescent="0.55000000000000004">
      <c r="A627">
        <v>9</v>
      </c>
      <c r="B627" s="15" t="str">
        <f t="shared" si="70"/>
        <v>9_1</v>
      </c>
      <c r="C627" s="20">
        <v>45776.583333333336</v>
      </c>
      <c r="D627" t="s">
        <v>175</v>
      </c>
      <c r="E627">
        <v>2</v>
      </c>
      <c r="F627" t="s">
        <v>127</v>
      </c>
      <c r="G627" t="str">
        <f t="shared" si="65"/>
        <v>Galaxias brevipinnis</v>
      </c>
      <c r="H627" t="str">
        <f t="shared" si="66"/>
        <v>Climbing_galaxias</v>
      </c>
      <c r="I627" t="str">
        <f t="shared" si="67"/>
        <v>Kōaro</v>
      </c>
      <c r="J627" t="str">
        <f t="shared" si="68"/>
        <v>Native</v>
      </c>
      <c r="K627" t="str">
        <f t="shared" si="69"/>
        <v>Yes</v>
      </c>
      <c r="L627">
        <v>1</v>
      </c>
      <c r="N627">
        <v>70</v>
      </c>
      <c r="O627">
        <v>3</v>
      </c>
      <c r="T627" t="str">
        <f t="shared" si="64"/>
        <v/>
      </c>
    </row>
    <row r="628" spans="1:20" x14ac:dyDescent="0.55000000000000004">
      <c r="A628">
        <v>9</v>
      </c>
      <c r="B628" s="15" t="str">
        <f t="shared" si="70"/>
        <v>9_1</v>
      </c>
      <c r="C628" s="20">
        <v>45776.583333333336</v>
      </c>
      <c r="D628" t="s">
        <v>175</v>
      </c>
      <c r="E628">
        <v>2</v>
      </c>
      <c r="F628" t="s">
        <v>127</v>
      </c>
      <c r="G628" t="str">
        <f t="shared" si="65"/>
        <v>Galaxias brevipinnis</v>
      </c>
      <c r="H628" t="str">
        <f t="shared" si="66"/>
        <v>Climbing_galaxias</v>
      </c>
      <c r="I628" t="str">
        <f t="shared" si="67"/>
        <v>Kōaro</v>
      </c>
      <c r="J628" t="str">
        <f t="shared" si="68"/>
        <v>Native</v>
      </c>
      <c r="K628" t="str">
        <f t="shared" si="69"/>
        <v>Yes</v>
      </c>
      <c r="L628">
        <v>1</v>
      </c>
      <c r="N628">
        <v>105</v>
      </c>
      <c r="O628">
        <v>7</v>
      </c>
      <c r="T628" t="str">
        <f t="shared" si="64"/>
        <v/>
      </c>
    </row>
    <row r="629" spans="1:20" x14ac:dyDescent="0.55000000000000004">
      <c r="A629">
        <v>9</v>
      </c>
      <c r="B629" s="15" t="str">
        <f t="shared" si="70"/>
        <v>9_1</v>
      </c>
      <c r="C629" s="20">
        <v>45776.583333333336</v>
      </c>
      <c r="D629" t="s">
        <v>175</v>
      </c>
      <c r="E629">
        <v>2</v>
      </c>
      <c r="F629" t="s">
        <v>127</v>
      </c>
      <c r="G629" t="str">
        <f t="shared" si="65"/>
        <v>Galaxias brevipinnis</v>
      </c>
      <c r="H629" t="str">
        <f t="shared" si="66"/>
        <v>Climbing_galaxias</v>
      </c>
      <c r="I629" t="str">
        <f t="shared" si="67"/>
        <v>Kōaro</v>
      </c>
      <c r="J629" t="str">
        <f t="shared" si="68"/>
        <v>Native</v>
      </c>
      <c r="K629" t="str">
        <f t="shared" si="69"/>
        <v>Yes</v>
      </c>
      <c r="L629">
        <v>1</v>
      </c>
      <c r="N629">
        <v>80</v>
      </c>
      <c r="O629">
        <v>4</v>
      </c>
      <c r="T629" t="str">
        <f t="shared" ref="T629:T692" si="71">IF(S629&lt;&gt;"", S629*236.588, "")</f>
        <v/>
      </c>
    </row>
    <row r="630" spans="1:20" x14ac:dyDescent="0.55000000000000004">
      <c r="A630">
        <v>9</v>
      </c>
      <c r="B630" s="15" t="str">
        <f t="shared" si="70"/>
        <v>9_1</v>
      </c>
      <c r="C630" s="20">
        <v>45776.583333333336</v>
      </c>
      <c r="D630" t="s">
        <v>175</v>
      </c>
      <c r="E630">
        <v>2</v>
      </c>
      <c r="F630" t="s">
        <v>127</v>
      </c>
      <c r="G630" t="str">
        <f t="shared" si="65"/>
        <v>Galaxias brevipinnis</v>
      </c>
      <c r="H630" t="str">
        <f t="shared" si="66"/>
        <v>Climbing_galaxias</v>
      </c>
      <c r="I630" t="str">
        <f t="shared" si="67"/>
        <v>Kōaro</v>
      </c>
      <c r="J630" t="str">
        <f t="shared" si="68"/>
        <v>Native</v>
      </c>
      <c r="K630" t="str">
        <f t="shared" si="69"/>
        <v>Yes</v>
      </c>
      <c r="L630">
        <v>1</v>
      </c>
      <c r="N630">
        <v>80</v>
      </c>
      <c r="O630">
        <v>4</v>
      </c>
      <c r="T630" t="str">
        <f t="shared" si="71"/>
        <v/>
      </c>
    </row>
    <row r="631" spans="1:20" x14ac:dyDescent="0.55000000000000004">
      <c r="A631">
        <v>9</v>
      </c>
      <c r="B631" s="15" t="str">
        <f t="shared" si="70"/>
        <v>9_1</v>
      </c>
      <c r="C631" s="20">
        <v>45776.583333333336</v>
      </c>
      <c r="D631" t="s">
        <v>175</v>
      </c>
      <c r="E631">
        <v>2</v>
      </c>
      <c r="F631" t="s">
        <v>127</v>
      </c>
      <c r="G631" t="str">
        <f t="shared" si="65"/>
        <v>Galaxias brevipinnis</v>
      </c>
      <c r="H631" t="str">
        <f t="shared" si="66"/>
        <v>Climbing_galaxias</v>
      </c>
      <c r="I631" t="str">
        <f t="shared" si="67"/>
        <v>Kōaro</v>
      </c>
      <c r="J631" t="str">
        <f t="shared" si="68"/>
        <v>Native</v>
      </c>
      <c r="K631" t="str">
        <f t="shared" si="69"/>
        <v>Yes</v>
      </c>
      <c r="L631">
        <v>1</v>
      </c>
      <c r="N631">
        <v>90</v>
      </c>
      <c r="O631">
        <v>5</v>
      </c>
      <c r="T631" t="str">
        <f t="shared" si="71"/>
        <v/>
      </c>
    </row>
    <row r="632" spans="1:20" x14ac:dyDescent="0.55000000000000004">
      <c r="A632">
        <v>9</v>
      </c>
      <c r="B632" s="15" t="str">
        <f t="shared" si="70"/>
        <v>9_1</v>
      </c>
      <c r="C632" s="20">
        <v>45776.583333333336</v>
      </c>
      <c r="D632" t="s">
        <v>175</v>
      </c>
      <c r="E632">
        <v>2</v>
      </c>
      <c r="F632" t="s">
        <v>127</v>
      </c>
      <c r="G632" t="str">
        <f t="shared" si="65"/>
        <v>Galaxias brevipinnis</v>
      </c>
      <c r="H632" t="str">
        <f t="shared" si="66"/>
        <v>Climbing_galaxias</v>
      </c>
      <c r="I632" t="str">
        <f t="shared" si="67"/>
        <v>Kōaro</v>
      </c>
      <c r="J632" t="str">
        <f t="shared" si="68"/>
        <v>Native</v>
      </c>
      <c r="K632" t="str">
        <f t="shared" si="69"/>
        <v>Yes</v>
      </c>
      <c r="L632">
        <v>1</v>
      </c>
      <c r="N632">
        <v>85</v>
      </c>
      <c r="O632">
        <v>4</v>
      </c>
      <c r="T632" t="str">
        <f t="shared" si="71"/>
        <v/>
      </c>
    </row>
    <row r="633" spans="1:20" x14ac:dyDescent="0.55000000000000004">
      <c r="A633">
        <v>9</v>
      </c>
      <c r="B633" s="15" t="str">
        <f t="shared" si="70"/>
        <v>9_1</v>
      </c>
      <c r="C633" s="20">
        <v>45776.583333333336</v>
      </c>
      <c r="D633" t="s">
        <v>175</v>
      </c>
      <c r="E633">
        <v>2</v>
      </c>
      <c r="F633" t="s">
        <v>127</v>
      </c>
      <c r="G633" t="str">
        <f t="shared" si="65"/>
        <v>Galaxias brevipinnis</v>
      </c>
      <c r="H633" t="str">
        <f t="shared" si="66"/>
        <v>Climbing_galaxias</v>
      </c>
      <c r="I633" t="str">
        <f t="shared" si="67"/>
        <v>Kōaro</v>
      </c>
      <c r="J633" t="str">
        <f t="shared" si="68"/>
        <v>Native</v>
      </c>
      <c r="K633" t="str">
        <f t="shared" si="69"/>
        <v>Yes</v>
      </c>
      <c r="L633">
        <v>1</v>
      </c>
      <c r="N633">
        <v>80</v>
      </c>
      <c r="O633">
        <v>4</v>
      </c>
      <c r="T633" t="str">
        <f t="shared" si="71"/>
        <v/>
      </c>
    </row>
    <row r="634" spans="1:20" x14ac:dyDescent="0.55000000000000004">
      <c r="A634">
        <v>9</v>
      </c>
      <c r="B634" s="15" t="str">
        <f t="shared" si="70"/>
        <v>9_1</v>
      </c>
      <c r="C634" s="20">
        <v>45776.583333333336</v>
      </c>
      <c r="D634" t="s">
        <v>175</v>
      </c>
      <c r="E634">
        <v>2</v>
      </c>
      <c r="F634" t="s">
        <v>127</v>
      </c>
      <c r="G634" t="str">
        <f t="shared" si="65"/>
        <v>Galaxias brevipinnis</v>
      </c>
      <c r="H634" t="str">
        <f t="shared" si="66"/>
        <v>Climbing_galaxias</v>
      </c>
      <c r="I634" t="str">
        <f t="shared" si="67"/>
        <v>Kōaro</v>
      </c>
      <c r="J634" t="str">
        <f t="shared" si="68"/>
        <v>Native</v>
      </c>
      <c r="K634" t="str">
        <f t="shared" si="69"/>
        <v>Yes</v>
      </c>
      <c r="L634">
        <v>1</v>
      </c>
      <c r="N634">
        <v>50</v>
      </c>
      <c r="O634">
        <v>1</v>
      </c>
      <c r="T634" t="str">
        <f t="shared" si="71"/>
        <v/>
      </c>
    </row>
    <row r="635" spans="1:20" x14ac:dyDescent="0.55000000000000004">
      <c r="A635">
        <v>9</v>
      </c>
      <c r="B635" s="15" t="str">
        <f t="shared" si="70"/>
        <v>9_1</v>
      </c>
      <c r="C635" s="20">
        <v>45776.583333333336</v>
      </c>
      <c r="D635" t="s">
        <v>175</v>
      </c>
      <c r="E635">
        <v>2</v>
      </c>
      <c r="F635" t="s">
        <v>127</v>
      </c>
      <c r="G635" t="str">
        <f t="shared" si="65"/>
        <v>Galaxias brevipinnis</v>
      </c>
      <c r="H635" t="str">
        <f t="shared" si="66"/>
        <v>Climbing_galaxias</v>
      </c>
      <c r="I635" t="str">
        <f t="shared" si="67"/>
        <v>Kōaro</v>
      </c>
      <c r="J635" t="str">
        <f t="shared" si="68"/>
        <v>Native</v>
      </c>
      <c r="K635" t="str">
        <f t="shared" si="69"/>
        <v>Yes</v>
      </c>
      <c r="L635">
        <v>1</v>
      </c>
      <c r="N635">
        <v>105</v>
      </c>
      <c r="O635">
        <v>10</v>
      </c>
      <c r="T635" t="str">
        <f t="shared" si="71"/>
        <v/>
      </c>
    </row>
    <row r="636" spans="1:20" x14ac:dyDescent="0.55000000000000004">
      <c r="A636">
        <v>9</v>
      </c>
      <c r="B636" s="15" t="str">
        <f t="shared" si="70"/>
        <v>9_1</v>
      </c>
      <c r="C636" s="20">
        <v>45776.583333333336</v>
      </c>
      <c r="D636" t="s">
        <v>175</v>
      </c>
      <c r="E636">
        <v>2</v>
      </c>
      <c r="F636" t="s">
        <v>127</v>
      </c>
      <c r="G636" t="str">
        <f t="shared" si="65"/>
        <v>Galaxias brevipinnis</v>
      </c>
      <c r="H636" t="str">
        <f t="shared" si="66"/>
        <v>Climbing_galaxias</v>
      </c>
      <c r="I636" t="str">
        <f t="shared" si="67"/>
        <v>Kōaro</v>
      </c>
      <c r="J636" t="str">
        <f t="shared" si="68"/>
        <v>Native</v>
      </c>
      <c r="K636" t="str">
        <f t="shared" si="69"/>
        <v>Yes</v>
      </c>
      <c r="L636">
        <v>1</v>
      </c>
      <c r="N636">
        <v>50</v>
      </c>
      <c r="O636">
        <v>1</v>
      </c>
      <c r="T636" t="str">
        <f t="shared" si="71"/>
        <v/>
      </c>
    </row>
    <row r="637" spans="1:20" x14ac:dyDescent="0.55000000000000004">
      <c r="A637">
        <v>9</v>
      </c>
      <c r="B637" s="15" t="str">
        <f t="shared" si="70"/>
        <v>9_1</v>
      </c>
      <c r="C637" s="20">
        <v>45776.583333333336</v>
      </c>
      <c r="D637" t="s">
        <v>175</v>
      </c>
      <c r="E637">
        <v>2</v>
      </c>
      <c r="F637" t="s">
        <v>127</v>
      </c>
      <c r="G637" t="str">
        <f t="shared" si="65"/>
        <v>Galaxias brevipinnis</v>
      </c>
      <c r="H637" t="str">
        <f t="shared" si="66"/>
        <v>Climbing_galaxias</v>
      </c>
      <c r="I637" t="str">
        <f t="shared" si="67"/>
        <v>Kōaro</v>
      </c>
      <c r="J637" t="str">
        <f t="shared" si="68"/>
        <v>Native</v>
      </c>
      <c r="K637" t="str">
        <f t="shared" si="69"/>
        <v>Yes</v>
      </c>
      <c r="L637">
        <v>1</v>
      </c>
      <c r="N637">
        <v>50</v>
      </c>
      <c r="O637">
        <v>1</v>
      </c>
      <c r="T637" t="str">
        <f t="shared" si="71"/>
        <v/>
      </c>
    </row>
    <row r="638" spans="1:20" x14ac:dyDescent="0.55000000000000004">
      <c r="A638">
        <v>9</v>
      </c>
      <c r="B638" s="15" t="str">
        <f t="shared" si="70"/>
        <v>9_1</v>
      </c>
      <c r="C638" s="20">
        <v>45776.583333333336</v>
      </c>
      <c r="D638" t="s">
        <v>175</v>
      </c>
      <c r="E638">
        <v>2</v>
      </c>
      <c r="F638" t="s">
        <v>127</v>
      </c>
      <c r="G638" t="str">
        <f t="shared" si="65"/>
        <v>Galaxias brevipinnis</v>
      </c>
      <c r="H638" t="str">
        <f t="shared" si="66"/>
        <v>Climbing_galaxias</v>
      </c>
      <c r="I638" t="str">
        <f t="shared" si="67"/>
        <v>Kōaro</v>
      </c>
      <c r="J638" t="str">
        <f t="shared" si="68"/>
        <v>Native</v>
      </c>
      <c r="K638" t="str">
        <f t="shared" si="69"/>
        <v>Yes</v>
      </c>
      <c r="L638">
        <v>1</v>
      </c>
      <c r="N638">
        <v>70</v>
      </c>
      <c r="O638">
        <v>3</v>
      </c>
      <c r="T638" t="str">
        <f t="shared" si="71"/>
        <v/>
      </c>
    </row>
    <row r="639" spans="1:20" x14ac:dyDescent="0.55000000000000004">
      <c r="A639">
        <v>9</v>
      </c>
      <c r="B639" s="15" t="str">
        <f t="shared" si="70"/>
        <v>9_1</v>
      </c>
      <c r="C639" s="20">
        <v>45776.583333333336</v>
      </c>
      <c r="D639" t="s">
        <v>175</v>
      </c>
      <c r="E639">
        <v>2</v>
      </c>
      <c r="F639" t="s">
        <v>127</v>
      </c>
      <c r="G639" t="str">
        <f t="shared" si="65"/>
        <v>Galaxias brevipinnis</v>
      </c>
      <c r="H639" t="str">
        <f t="shared" si="66"/>
        <v>Climbing_galaxias</v>
      </c>
      <c r="I639" t="str">
        <f t="shared" si="67"/>
        <v>Kōaro</v>
      </c>
      <c r="J639" t="str">
        <f t="shared" si="68"/>
        <v>Native</v>
      </c>
      <c r="K639" t="str">
        <f t="shared" si="69"/>
        <v>Yes</v>
      </c>
      <c r="L639">
        <v>1</v>
      </c>
      <c r="N639">
        <v>70</v>
      </c>
      <c r="O639">
        <v>3</v>
      </c>
      <c r="T639" t="str">
        <f t="shared" si="71"/>
        <v/>
      </c>
    </row>
    <row r="640" spans="1:20" x14ac:dyDescent="0.55000000000000004">
      <c r="A640">
        <v>9</v>
      </c>
      <c r="B640" s="15" t="str">
        <f t="shared" si="70"/>
        <v>9_1</v>
      </c>
      <c r="C640" s="20">
        <v>45776.583333333336</v>
      </c>
      <c r="D640" t="s">
        <v>175</v>
      </c>
      <c r="E640">
        <v>2</v>
      </c>
      <c r="F640" t="s">
        <v>127</v>
      </c>
      <c r="G640" t="str">
        <f t="shared" si="65"/>
        <v>Galaxias brevipinnis</v>
      </c>
      <c r="H640" t="str">
        <f t="shared" si="66"/>
        <v>Climbing_galaxias</v>
      </c>
      <c r="I640" t="str">
        <f t="shared" si="67"/>
        <v>Kōaro</v>
      </c>
      <c r="J640" t="str">
        <f t="shared" si="68"/>
        <v>Native</v>
      </c>
      <c r="K640" t="str">
        <f t="shared" si="69"/>
        <v>Yes</v>
      </c>
      <c r="L640">
        <v>1</v>
      </c>
      <c r="N640">
        <v>50</v>
      </c>
      <c r="O640">
        <v>1</v>
      </c>
      <c r="T640" t="str">
        <f t="shared" si="71"/>
        <v/>
      </c>
    </row>
    <row r="641" spans="1:20" x14ac:dyDescent="0.55000000000000004">
      <c r="A641">
        <v>9</v>
      </c>
      <c r="B641" s="15" t="str">
        <f t="shared" si="70"/>
        <v>9_1</v>
      </c>
      <c r="C641" s="20">
        <v>45776.583333333336</v>
      </c>
      <c r="D641" t="s">
        <v>175</v>
      </c>
      <c r="E641">
        <v>2</v>
      </c>
      <c r="F641" t="s">
        <v>127</v>
      </c>
      <c r="G641" t="str">
        <f t="shared" si="65"/>
        <v>Galaxias brevipinnis</v>
      </c>
      <c r="H641" t="str">
        <f t="shared" si="66"/>
        <v>Climbing_galaxias</v>
      </c>
      <c r="I641" t="str">
        <f t="shared" si="67"/>
        <v>Kōaro</v>
      </c>
      <c r="J641" t="str">
        <f t="shared" si="68"/>
        <v>Native</v>
      </c>
      <c r="K641" t="str">
        <f t="shared" si="69"/>
        <v>Yes</v>
      </c>
      <c r="L641">
        <v>1</v>
      </c>
      <c r="N641">
        <v>50</v>
      </c>
      <c r="O641">
        <v>1</v>
      </c>
      <c r="T641" t="str">
        <f t="shared" si="71"/>
        <v/>
      </c>
    </row>
    <row r="642" spans="1:20" x14ac:dyDescent="0.55000000000000004">
      <c r="A642">
        <v>9</v>
      </c>
      <c r="B642" s="15" t="str">
        <f t="shared" si="70"/>
        <v>9_1</v>
      </c>
      <c r="C642" s="20">
        <v>45776.583333333336</v>
      </c>
      <c r="D642" t="s">
        <v>175</v>
      </c>
      <c r="E642">
        <v>2</v>
      </c>
      <c r="F642" t="s">
        <v>127</v>
      </c>
      <c r="G642" t="str">
        <f t="shared" ref="G642:G705" si="72">VLOOKUP($F642, $W$1:$AB$10, 2, FALSE)</f>
        <v>Galaxias brevipinnis</v>
      </c>
      <c r="H642" t="str">
        <f t="shared" ref="H642:H705" si="73">VLOOKUP($F642, $W$1:$AB$10, 3, FALSE)</f>
        <v>Climbing_galaxias</v>
      </c>
      <c r="I642" t="str">
        <f t="shared" ref="I642:I705" si="74">VLOOKUP($F642, $W$1:$AB$10, 4, FALSE)</f>
        <v>Kōaro</v>
      </c>
      <c r="J642" t="str">
        <f t="shared" ref="J642:J705" si="75">VLOOKUP($F642, $W$1:$AC$10, 5, FALSE)</f>
        <v>Native</v>
      </c>
      <c r="K642" t="str">
        <f t="shared" ref="K642:K705" si="76">VLOOKUP($F642, $W$1:$AB$10, 6, FALSE)</f>
        <v>Yes</v>
      </c>
      <c r="L642">
        <v>1</v>
      </c>
      <c r="N642">
        <v>50</v>
      </c>
      <c r="O642">
        <v>1</v>
      </c>
      <c r="T642" t="str">
        <f t="shared" si="71"/>
        <v/>
      </c>
    </row>
    <row r="643" spans="1:20" x14ac:dyDescent="0.55000000000000004">
      <c r="A643">
        <v>9</v>
      </c>
      <c r="B643" s="15" t="str">
        <f t="shared" si="70"/>
        <v>9_1</v>
      </c>
      <c r="C643" s="20">
        <v>45776.583333333336</v>
      </c>
      <c r="D643" t="s">
        <v>175</v>
      </c>
      <c r="E643">
        <v>2</v>
      </c>
      <c r="F643" t="s">
        <v>127</v>
      </c>
      <c r="G643" t="str">
        <f t="shared" si="72"/>
        <v>Galaxias brevipinnis</v>
      </c>
      <c r="H643" t="str">
        <f t="shared" si="73"/>
        <v>Climbing_galaxias</v>
      </c>
      <c r="I643" t="str">
        <f t="shared" si="74"/>
        <v>Kōaro</v>
      </c>
      <c r="J643" t="str">
        <f t="shared" si="75"/>
        <v>Native</v>
      </c>
      <c r="K643" t="str">
        <f t="shared" si="76"/>
        <v>Yes</v>
      </c>
      <c r="L643">
        <v>1</v>
      </c>
      <c r="N643">
        <v>70</v>
      </c>
      <c r="O643">
        <v>3</v>
      </c>
      <c r="T643" t="str">
        <f t="shared" si="71"/>
        <v/>
      </c>
    </row>
    <row r="644" spans="1:20" x14ac:dyDescent="0.55000000000000004">
      <c r="A644">
        <v>9</v>
      </c>
      <c r="B644" s="15" t="str">
        <f t="shared" si="70"/>
        <v>9_1</v>
      </c>
      <c r="C644" s="20">
        <v>45776.583333333336</v>
      </c>
      <c r="D644" t="s">
        <v>175</v>
      </c>
      <c r="E644">
        <v>2</v>
      </c>
      <c r="F644" t="s">
        <v>127</v>
      </c>
      <c r="G644" t="str">
        <f t="shared" si="72"/>
        <v>Galaxias brevipinnis</v>
      </c>
      <c r="H644" t="str">
        <f t="shared" si="73"/>
        <v>Climbing_galaxias</v>
      </c>
      <c r="I644" t="str">
        <f t="shared" si="74"/>
        <v>Kōaro</v>
      </c>
      <c r="J644" t="str">
        <f t="shared" si="75"/>
        <v>Native</v>
      </c>
      <c r="K644" t="str">
        <f t="shared" si="76"/>
        <v>Yes</v>
      </c>
      <c r="L644">
        <v>1</v>
      </c>
      <c r="N644">
        <v>95</v>
      </c>
      <c r="O644">
        <v>8</v>
      </c>
      <c r="T644" t="str">
        <f t="shared" si="71"/>
        <v/>
      </c>
    </row>
    <row r="645" spans="1:20" x14ac:dyDescent="0.55000000000000004">
      <c r="A645">
        <v>9</v>
      </c>
      <c r="B645" s="15" t="str">
        <f t="shared" si="70"/>
        <v>9_1</v>
      </c>
      <c r="C645" s="20">
        <v>45776.583333333336</v>
      </c>
      <c r="D645" t="s">
        <v>175</v>
      </c>
      <c r="E645">
        <v>2</v>
      </c>
      <c r="F645" t="s">
        <v>127</v>
      </c>
      <c r="G645" t="str">
        <f t="shared" si="72"/>
        <v>Galaxias brevipinnis</v>
      </c>
      <c r="H645" t="str">
        <f t="shared" si="73"/>
        <v>Climbing_galaxias</v>
      </c>
      <c r="I645" t="str">
        <f t="shared" si="74"/>
        <v>Kōaro</v>
      </c>
      <c r="J645" t="str">
        <f t="shared" si="75"/>
        <v>Native</v>
      </c>
      <c r="K645" t="str">
        <f t="shared" si="76"/>
        <v>Yes</v>
      </c>
      <c r="L645">
        <v>1</v>
      </c>
      <c r="N645">
        <v>50</v>
      </c>
      <c r="O645">
        <v>1</v>
      </c>
      <c r="T645" t="str">
        <f t="shared" si="71"/>
        <v/>
      </c>
    </row>
    <row r="646" spans="1:20" x14ac:dyDescent="0.55000000000000004">
      <c r="A646">
        <v>9</v>
      </c>
      <c r="B646" s="15" t="str">
        <f t="shared" si="70"/>
        <v>9_1</v>
      </c>
      <c r="C646" s="20">
        <v>45776.583333333336</v>
      </c>
      <c r="D646" t="s">
        <v>175</v>
      </c>
      <c r="E646">
        <v>2</v>
      </c>
      <c r="F646" t="s">
        <v>127</v>
      </c>
      <c r="G646" t="str">
        <f t="shared" si="72"/>
        <v>Galaxias brevipinnis</v>
      </c>
      <c r="H646" t="str">
        <f t="shared" si="73"/>
        <v>Climbing_galaxias</v>
      </c>
      <c r="I646" t="str">
        <f t="shared" si="74"/>
        <v>Kōaro</v>
      </c>
      <c r="J646" t="str">
        <f t="shared" si="75"/>
        <v>Native</v>
      </c>
      <c r="K646" t="str">
        <f t="shared" si="76"/>
        <v>Yes</v>
      </c>
      <c r="L646">
        <v>1</v>
      </c>
      <c r="N646">
        <v>50</v>
      </c>
      <c r="O646">
        <v>1</v>
      </c>
      <c r="T646" t="str">
        <f t="shared" si="71"/>
        <v/>
      </c>
    </row>
    <row r="647" spans="1:20" x14ac:dyDescent="0.55000000000000004">
      <c r="A647">
        <v>9</v>
      </c>
      <c r="B647" s="15" t="str">
        <f t="shared" ref="B647:B710" si="77">A647 &amp; "_1"</f>
        <v>9_1</v>
      </c>
      <c r="C647" s="20">
        <v>45776.583333333336</v>
      </c>
      <c r="D647" t="s">
        <v>175</v>
      </c>
      <c r="E647">
        <v>2</v>
      </c>
      <c r="F647" t="s">
        <v>127</v>
      </c>
      <c r="G647" t="str">
        <f t="shared" si="72"/>
        <v>Galaxias brevipinnis</v>
      </c>
      <c r="H647" t="str">
        <f t="shared" si="73"/>
        <v>Climbing_galaxias</v>
      </c>
      <c r="I647" t="str">
        <f t="shared" si="74"/>
        <v>Kōaro</v>
      </c>
      <c r="J647" t="str">
        <f t="shared" si="75"/>
        <v>Native</v>
      </c>
      <c r="K647" t="str">
        <f t="shared" si="76"/>
        <v>Yes</v>
      </c>
      <c r="L647">
        <v>1</v>
      </c>
      <c r="N647">
        <v>50</v>
      </c>
      <c r="O647">
        <v>1</v>
      </c>
      <c r="T647" t="str">
        <f t="shared" si="71"/>
        <v/>
      </c>
    </row>
    <row r="648" spans="1:20" x14ac:dyDescent="0.55000000000000004">
      <c r="A648">
        <v>9</v>
      </c>
      <c r="B648" s="15" t="str">
        <f t="shared" si="77"/>
        <v>9_1</v>
      </c>
      <c r="C648" s="20">
        <v>45776.583333333336</v>
      </c>
      <c r="D648" t="s">
        <v>175</v>
      </c>
      <c r="E648">
        <v>2</v>
      </c>
      <c r="F648" t="s">
        <v>127</v>
      </c>
      <c r="G648" t="str">
        <f t="shared" si="72"/>
        <v>Galaxias brevipinnis</v>
      </c>
      <c r="H648" t="str">
        <f t="shared" si="73"/>
        <v>Climbing_galaxias</v>
      </c>
      <c r="I648" t="str">
        <f t="shared" si="74"/>
        <v>Kōaro</v>
      </c>
      <c r="J648" t="str">
        <f t="shared" si="75"/>
        <v>Native</v>
      </c>
      <c r="K648" t="str">
        <f t="shared" si="76"/>
        <v>Yes</v>
      </c>
      <c r="L648">
        <v>1</v>
      </c>
      <c r="N648">
        <v>80</v>
      </c>
      <c r="O648">
        <v>4</v>
      </c>
      <c r="T648" t="str">
        <f t="shared" si="71"/>
        <v/>
      </c>
    </row>
    <row r="649" spans="1:20" x14ac:dyDescent="0.55000000000000004">
      <c r="A649">
        <v>9</v>
      </c>
      <c r="B649" s="15" t="str">
        <f t="shared" si="77"/>
        <v>9_1</v>
      </c>
      <c r="C649" s="20">
        <v>45776.583333333336</v>
      </c>
      <c r="D649" t="s">
        <v>175</v>
      </c>
      <c r="E649">
        <v>2</v>
      </c>
      <c r="F649" t="s">
        <v>127</v>
      </c>
      <c r="G649" t="str">
        <f t="shared" si="72"/>
        <v>Galaxias brevipinnis</v>
      </c>
      <c r="H649" t="str">
        <f t="shared" si="73"/>
        <v>Climbing_galaxias</v>
      </c>
      <c r="I649" t="str">
        <f t="shared" si="74"/>
        <v>Kōaro</v>
      </c>
      <c r="J649" t="str">
        <f t="shared" si="75"/>
        <v>Native</v>
      </c>
      <c r="K649" t="str">
        <f t="shared" si="76"/>
        <v>Yes</v>
      </c>
      <c r="L649">
        <v>1</v>
      </c>
      <c r="N649">
        <v>50</v>
      </c>
      <c r="O649">
        <v>1</v>
      </c>
      <c r="T649" t="str">
        <f t="shared" si="71"/>
        <v/>
      </c>
    </row>
    <row r="650" spans="1:20" x14ac:dyDescent="0.55000000000000004">
      <c r="A650">
        <v>9</v>
      </c>
      <c r="B650" s="15" t="str">
        <f t="shared" si="77"/>
        <v>9_1</v>
      </c>
      <c r="C650" s="20">
        <v>45776.583333333336</v>
      </c>
      <c r="D650" t="s">
        <v>175</v>
      </c>
      <c r="E650">
        <v>2</v>
      </c>
      <c r="F650" t="s">
        <v>127</v>
      </c>
      <c r="G650" t="str">
        <f t="shared" si="72"/>
        <v>Galaxias brevipinnis</v>
      </c>
      <c r="H650" t="str">
        <f t="shared" si="73"/>
        <v>Climbing_galaxias</v>
      </c>
      <c r="I650" t="str">
        <f t="shared" si="74"/>
        <v>Kōaro</v>
      </c>
      <c r="J650" t="str">
        <f t="shared" si="75"/>
        <v>Native</v>
      </c>
      <c r="K650" t="str">
        <f t="shared" si="76"/>
        <v>Yes</v>
      </c>
      <c r="L650">
        <v>1</v>
      </c>
      <c r="N650">
        <v>70</v>
      </c>
      <c r="O650">
        <v>3</v>
      </c>
      <c r="T650" t="str">
        <f t="shared" si="71"/>
        <v/>
      </c>
    </row>
    <row r="651" spans="1:20" x14ac:dyDescent="0.55000000000000004">
      <c r="A651">
        <v>9</v>
      </c>
      <c r="B651" s="15" t="str">
        <f t="shared" si="77"/>
        <v>9_1</v>
      </c>
      <c r="C651" s="20">
        <v>45776.583333333336</v>
      </c>
      <c r="D651" t="s">
        <v>175</v>
      </c>
      <c r="E651">
        <v>2</v>
      </c>
      <c r="F651" t="s">
        <v>127</v>
      </c>
      <c r="G651" t="str">
        <f t="shared" si="72"/>
        <v>Galaxias brevipinnis</v>
      </c>
      <c r="H651" t="str">
        <f t="shared" si="73"/>
        <v>Climbing_galaxias</v>
      </c>
      <c r="I651" t="str">
        <f t="shared" si="74"/>
        <v>Kōaro</v>
      </c>
      <c r="J651" t="str">
        <f t="shared" si="75"/>
        <v>Native</v>
      </c>
      <c r="K651" t="str">
        <f t="shared" si="76"/>
        <v>Yes</v>
      </c>
      <c r="L651">
        <v>1</v>
      </c>
      <c r="N651">
        <v>90</v>
      </c>
      <c r="O651">
        <v>6</v>
      </c>
      <c r="T651" t="str">
        <f t="shared" si="71"/>
        <v/>
      </c>
    </row>
    <row r="652" spans="1:20" x14ac:dyDescent="0.55000000000000004">
      <c r="A652">
        <v>9</v>
      </c>
      <c r="B652" s="15" t="str">
        <f t="shared" si="77"/>
        <v>9_1</v>
      </c>
      <c r="C652" s="20">
        <v>45776.583333333336</v>
      </c>
      <c r="D652" t="s">
        <v>175</v>
      </c>
      <c r="E652">
        <v>2</v>
      </c>
      <c r="F652" t="s">
        <v>127</v>
      </c>
      <c r="G652" t="str">
        <f t="shared" si="72"/>
        <v>Galaxias brevipinnis</v>
      </c>
      <c r="H652" t="str">
        <f t="shared" si="73"/>
        <v>Climbing_galaxias</v>
      </c>
      <c r="I652" t="str">
        <f t="shared" si="74"/>
        <v>Kōaro</v>
      </c>
      <c r="J652" t="str">
        <f t="shared" si="75"/>
        <v>Native</v>
      </c>
      <c r="K652" t="str">
        <f t="shared" si="76"/>
        <v>Yes</v>
      </c>
      <c r="L652">
        <v>1</v>
      </c>
      <c r="N652">
        <v>80</v>
      </c>
      <c r="O652">
        <v>3</v>
      </c>
      <c r="T652" t="str">
        <f t="shared" si="71"/>
        <v/>
      </c>
    </row>
    <row r="653" spans="1:20" x14ac:dyDescent="0.55000000000000004">
      <c r="A653">
        <v>9</v>
      </c>
      <c r="B653" s="15" t="str">
        <f t="shared" si="77"/>
        <v>9_1</v>
      </c>
      <c r="C653" s="20">
        <v>45776.583333333336</v>
      </c>
      <c r="D653" t="s">
        <v>175</v>
      </c>
      <c r="E653">
        <v>2</v>
      </c>
      <c r="F653" t="s">
        <v>127</v>
      </c>
      <c r="G653" t="str">
        <f t="shared" si="72"/>
        <v>Galaxias brevipinnis</v>
      </c>
      <c r="H653" t="str">
        <f t="shared" si="73"/>
        <v>Climbing_galaxias</v>
      </c>
      <c r="I653" t="str">
        <f t="shared" si="74"/>
        <v>Kōaro</v>
      </c>
      <c r="J653" t="str">
        <f t="shared" si="75"/>
        <v>Native</v>
      </c>
      <c r="K653" t="str">
        <f t="shared" si="76"/>
        <v>Yes</v>
      </c>
      <c r="L653">
        <v>1</v>
      </c>
      <c r="N653">
        <v>50</v>
      </c>
      <c r="O653">
        <v>1</v>
      </c>
      <c r="T653" t="str">
        <f t="shared" si="71"/>
        <v/>
      </c>
    </row>
    <row r="654" spans="1:20" x14ac:dyDescent="0.55000000000000004">
      <c r="A654">
        <v>9</v>
      </c>
      <c r="B654" s="15" t="str">
        <f t="shared" si="77"/>
        <v>9_1</v>
      </c>
      <c r="C654" s="20">
        <v>45776.583333333336</v>
      </c>
      <c r="D654" t="s">
        <v>175</v>
      </c>
      <c r="E654">
        <v>2</v>
      </c>
      <c r="F654" t="s">
        <v>127</v>
      </c>
      <c r="G654" t="str">
        <f t="shared" si="72"/>
        <v>Galaxias brevipinnis</v>
      </c>
      <c r="H654" t="str">
        <f t="shared" si="73"/>
        <v>Climbing_galaxias</v>
      </c>
      <c r="I654" t="str">
        <f t="shared" si="74"/>
        <v>Kōaro</v>
      </c>
      <c r="J654" t="str">
        <f t="shared" si="75"/>
        <v>Native</v>
      </c>
      <c r="K654" t="str">
        <f t="shared" si="76"/>
        <v>Yes</v>
      </c>
      <c r="L654">
        <v>1</v>
      </c>
      <c r="N654">
        <v>90</v>
      </c>
      <c r="O654">
        <v>5</v>
      </c>
      <c r="T654" t="str">
        <f t="shared" si="71"/>
        <v/>
      </c>
    </row>
    <row r="655" spans="1:20" x14ac:dyDescent="0.55000000000000004">
      <c r="A655">
        <v>9</v>
      </c>
      <c r="B655" s="15" t="str">
        <f t="shared" si="77"/>
        <v>9_1</v>
      </c>
      <c r="C655" s="20">
        <v>45776.583333333336</v>
      </c>
      <c r="D655" t="s">
        <v>175</v>
      </c>
      <c r="E655">
        <v>2</v>
      </c>
      <c r="F655" t="s">
        <v>127</v>
      </c>
      <c r="G655" t="str">
        <f t="shared" si="72"/>
        <v>Galaxias brevipinnis</v>
      </c>
      <c r="H655" t="str">
        <f t="shared" si="73"/>
        <v>Climbing_galaxias</v>
      </c>
      <c r="I655" t="str">
        <f t="shared" si="74"/>
        <v>Kōaro</v>
      </c>
      <c r="J655" t="str">
        <f t="shared" si="75"/>
        <v>Native</v>
      </c>
      <c r="K655" t="str">
        <f t="shared" si="76"/>
        <v>Yes</v>
      </c>
      <c r="L655">
        <v>1</v>
      </c>
      <c r="N655">
        <v>90</v>
      </c>
      <c r="O655">
        <v>6</v>
      </c>
      <c r="T655" t="str">
        <f t="shared" si="71"/>
        <v/>
      </c>
    </row>
    <row r="656" spans="1:20" x14ac:dyDescent="0.55000000000000004">
      <c r="A656">
        <v>9</v>
      </c>
      <c r="B656" s="15" t="str">
        <f t="shared" si="77"/>
        <v>9_1</v>
      </c>
      <c r="C656" s="20">
        <v>45776.583333333336</v>
      </c>
      <c r="D656" t="s">
        <v>175</v>
      </c>
      <c r="E656">
        <v>2</v>
      </c>
      <c r="F656" t="s">
        <v>127</v>
      </c>
      <c r="G656" t="str">
        <f t="shared" si="72"/>
        <v>Galaxias brevipinnis</v>
      </c>
      <c r="H656" t="str">
        <f t="shared" si="73"/>
        <v>Climbing_galaxias</v>
      </c>
      <c r="I656" t="str">
        <f t="shared" si="74"/>
        <v>Kōaro</v>
      </c>
      <c r="J656" t="str">
        <f t="shared" si="75"/>
        <v>Native</v>
      </c>
      <c r="K656" t="str">
        <f t="shared" si="76"/>
        <v>Yes</v>
      </c>
      <c r="L656">
        <v>1</v>
      </c>
      <c r="N656">
        <v>50</v>
      </c>
      <c r="O656">
        <v>1</v>
      </c>
      <c r="T656" t="str">
        <f t="shared" si="71"/>
        <v/>
      </c>
    </row>
    <row r="657" spans="1:20" x14ac:dyDescent="0.55000000000000004">
      <c r="A657">
        <v>9</v>
      </c>
      <c r="B657" s="15" t="str">
        <f t="shared" si="77"/>
        <v>9_1</v>
      </c>
      <c r="C657" s="20">
        <v>45776.583333333336</v>
      </c>
      <c r="D657" t="s">
        <v>175</v>
      </c>
      <c r="E657">
        <v>2</v>
      </c>
      <c r="F657" t="s">
        <v>127</v>
      </c>
      <c r="G657" t="str">
        <f t="shared" si="72"/>
        <v>Galaxias brevipinnis</v>
      </c>
      <c r="H657" t="str">
        <f t="shared" si="73"/>
        <v>Climbing_galaxias</v>
      </c>
      <c r="I657" t="str">
        <f t="shared" si="74"/>
        <v>Kōaro</v>
      </c>
      <c r="J657" t="str">
        <f t="shared" si="75"/>
        <v>Native</v>
      </c>
      <c r="K657" t="str">
        <f t="shared" si="76"/>
        <v>Yes</v>
      </c>
      <c r="L657">
        <v>1</v>
      </c>
      <c r="N657">
        <v>70</v>
      </c>
      <c r="O657">
        <v>2</v>
      </c>
      <c r="T657" t="str">
        <f t="shared" si="71"/>
        <v/>
      </c>
    </row>
    <row r="658" spans="1:20" x14ac:dyDescent="0.55000000000000004">
      <c r="A658">
        <v>9</v>
      </c>
      <c r="B658" s="15" t="str">
        <f t="shared" si="77"/>
        <v>9_1</v>
      </c>
      <c r="C658" s="20">
        <v>45776.583333333336</v>
      </c>
      <c r="D658" t="s">
        <v>175</v>
      </c>
      <c r="E658">
        <v>2</v>
      </c>
      <c r="F658" t="s">
        <v>127</v>
      </c>
      <c r="G658" t="str">
        <f t="shared" si="72"/>
        <v>Galaxias brevipinnis</v>
      </c>
      <c r="H658" t="str">
        <f t="shared" si="73"/>
        <v>Climbing_galaxias</v>
      </c>
      <c r="I658" t="str">
        <f t="shared" si="74"/>
        <v>Kōaro</v>
      </c>
      <c r="J658" t="str">
        <f t="shared" si="75"/>
        <v>Native</v>
      </c>
      <c r="K658" t="str">
        <f t="shared" si="76"/>
        <v>Yes</v>
      </c>
      <c r="L658">
        <v>1</v>
      </c>
      <c r="N658">
        <v>70</v>
      </c>
      <c r="O658">
        <v>4</v>
      </c>
      <c r="T658" t="str">
        <f t="shared" si="71"/>
        <v/>
      </c>
    </row>
    <row r="659" spans="1:20" x14ac:dyDescent="0.55000000000000004">
      <c r="A659">
        <v>9</v>
      </c>
      <c r="B659" s="15" t="str">
        <f t="shared" si="77"/>
        <v>9_1</v>
      </c>
      <c r="C659" s="20">
        <v>45776.583333333336</v>
      </c>
      <c r="D659" t="s">
        <v>175</v>
      </c>
      <c r="E659">
        <v>2</v>
      </c>
      <c r="F659" t="s">
        <v>127</v>
      </c>
      <c r="G659" t="str">
        <f t="shared" si="72"/>
        <v>Galaxias brevipinnis</v>
      </c>
      <c r="H659" t="str">
        <f t="shared" si="73"/>
        <v>Climbing_galaxias</v>
      </c>
      <c r="I659" t="str">
        <f t="shared" si="74"/>
        <v>Kōaro</v>
      </c>
      <c r="J659" t="str">
        <f t="shared" si="75"/>
        <v>Native</v>
      </c>
      <c r="K659" t="str">
        <f t="shared" si="76"/>
        <v>Yes</v>
      </c>
      <c r="L659">
        <v>1</v>
      </c>
      <c r="N659">
        <v>85</v>
      </c>
      <c r="O659">
        <v>4</v>
      </c>
      <c r="T659" t="str">
        <f t="shared" si="71"/>
        <v/>
      </c>
    </row>
    <row r="660" spans="1:20" x14ac:dyDescent="0.55000000000000004">
      <c r="A660">
        <v>9</v>
      </c>
      <c r="B660" s="15" t="str">
        <f t="shared" si="77"/>
        <v>9_1</v>
      </c>
      <c r="C660" s="20">
        <v>45776.583333333336</v>
      </c>
      <c r="D660" t="s">
        <v>175</v>
      </c>
      <c r="E660">
        <v>2</v>
      </c>
      <c r="F660" t="s">
        <v>127</v>
      </c>
      <c r="G660" t="str">
        <f t="shared" si="72"/>
        <v>Galaxias brevipinnis</v>
      </c>
      <c r="H660" t="str">
        <f t="shared" si="73"/>
        <v>Climbing_galaxias</v>
      </c>
      <c r="I660" t="str">
        <f t="shared" si="74"/>
        <v>Kōaro</v>
      </c>
      <c r="J660" t="str">
        <f t="shared" si="75"/>
        <v>Native</v>
      </c>
      <c r="K660" t="str">
        <f t="shared" si="76"/>
        <v>Yes</v>
      </c>
      <c r="L660">
        <v>1</v>
      </c>
      <c r="N660">
        <v>80</v>
      </c>
      <c r="O660">
        <v>5</v>
      </c>
      <c r="T660" t="str">
        <f t="shared" si="71"/>
        <v/>
      </c>
    </row>
    <row r="661" spans="1:20" x14ac:dyDescent="0.55000000000000004">
      <c r="A661">
        <v>9</v>
      </c>
      <c r="B661" s="15" t="str">
        <f t="shared" si="77"/>
        <v>9_1</v>
      </c>
      <c r="C661" s="20">
        <v>45776.583333333336</v>
      </c>
      <c r="D661" t="s">
        <v>175</v>
      </c>
      <c r="E661">
        <v>2</v>
      </c>
      <c r="F661" t="s">
        <v>127</v>
      </c>
      <c r="G661" t="str">
        <f t="shared" si="72"/>
        <v>Galaxias brevipinnis</v>
      </c>
      <c r="H661" t="str">
        <f t="shared" si="73"/>
        <v>Climbing_galaxias</v>
      </c>
      <c r="I661" t="str">
        <f t="shared" si="74"/>
        <v>Kōaro</v>
      </c>
      <c r="J661" t="str">
        <f t="shared" si="75"/>
        <v>Native</v>
      </c>
      <c r="K661" t="str">
        <f t="shared" si="76"/>
        <v>Yes</v>
      </c>
      <c r="L661">
        <v>1</v>
      </c>
      <c r="N661">
        <v>100</v>
      </c>
      <c r="O661">
        <v>8</v>
      </c>
      <c r="T661" t="str">
        <f t="shared" si="71"/>
        <v/>
      </c>
    </row>
    <row r="662" spans="1:20" x14ac:dyDescent="0.55000000000000004">
      <c r="A662">
        <v>9</v>
      </c>
      <c r="B662" s="15" t="str">
        <f t="shared" si="77"/>
        <v>9_1</v>
      </c>
      <c r="C662" s="20">
        <v>45776.583333333336</v>
      </c>
      <c r="D662" t="s">
        <v>175</v>
      </c>
      <c r="E662">
        <v>2</v>
      </c>
      <c r="F662" t="s">
        <v>127</v>
      </c>
      <c r="G662" t="str">
        <f t="shared" si="72"/>
        <v>Galaxias brevipinnis</v>
      </c>
      <c r="H662" t="str">
        <f t="shared" si="73"/>
        <v>Climbing_galaxias</v>
      </c>
      <c r="I662" t="str">
        <f t="shared" si="74"/>
        <v>Kōaro</v>
      </c>
      <c r="J662" t="str">
        <f t="shared" si="75"/>
        <v>Native</v>
      </c>
      <c r="K662" t="str">
        <f t="shared" si="76"/>
        <v>Yes</v>
      </c>
      <c r="L662">
        <v>1</v>
      </c>
      <c r="N662">
        <v>50</v>
      </c>
      <c r="O662">
        <v>1</v>
      </c>
      <c r="T662" t="str">
        <f t="shared" si="71"/>
        <v/>
      </c>
    </row>
    <row r="663" spans="1:20" x14ac:dyDescent="0.55000000000000004">
      <c r="A663">
        <v>9</v>
      </c>
      <c r="B663" s="15" t="str">
        <f t="shared" si="77"/>
        <v>9_1</v>
      </c>
      <c r="C663" s="20">
        <v>45776.583333333336</v>
      </c>
      <c r="D663" t="s">
        <v>175</v>
      </c>
      <c r="E663">
        <v>2</v>
      </c>
      <c r="F663" t="s">
        <v>127</v>
      </c>
      <c r="G663" t="str">
        <f t="shared" si="72"/>
        <v>Galaxias brevipinnis</v>
      </c>
      <c r="H663" t="str">
        <f t="shared" si="73"/>
        <v>Climbing_galaxias</v>
      </c>
      <c r="I663" t="str">
        <f t="shared" si="74"/>
        <v>Kōaro</v>
      </c>
      <c r="J663" t="str">
        <f t="shared" si="75"/>
        <v>Native</v>
      </c>
      <c r="K663" t="str">
        <f t="shared" si="76"/>
        <v>Yes</v>
      </c>
      <c r="L663">
        <v>1</v>
      </c>
      <c r="N663">
        <v>70</v>
      </c>
      <c r="O663">
        <v>3</v>
      </c>
      <c r="T663" t="str">
        <f t="shared" si="71"/>
        <v/>
      </c>
    </row>
    <row r="664" spans="1:20" x14ac:dyDescent="0.55000000000000004">
      <c r="A664">
        <v>9</v>
      </c>
      <c r="B664" s="15" t="str">
        <f t="shared" si="77"/>
        <v>9_1</v>
      </c>
      <c r="C664" s="20">
        <v>45776.583333333336</v>
      </c>
      <c r="D664" t="s">
        <v>175</v>
      </c>
      <c r="E664">
        <v>2</v>
      </c>
      <c r="F664" t="s">
        <v>127</v>
      </c>
      <c r="G664" t="str">
        <f t="shared" si="72"/>
        <v>Galaxias brevipinnis</v>
      </c>
      <c r="H664" t="str">
        <f t="shared" si="73"/>
        <v>Climbing_galaxias</v>
      </c>
      <c r="I664" t="str">
        <f t="shared" si="74"/>
        <v>Kōaro</v>
      </c>
      <c r="J664" t="str">
        <f t="shared" si="75"/>
        <v>Native</v>
      </c>
      <c r="K664" t="str">
        <f t="shared" si="76"/>
        <v>Yes</v>
      </c>
      <c r="L664">
        <v>1</v>
      </c>
      <c r="N664">
        <v>80</v>
      </c>
      <c r="O664">
        <v>6</v>
      </c>
      <c r="T664" t="str">
        <f t="shared" si="71"/>
        <v/>
      </c>
    </row>
    <row r="665" spans="1:20" x14ac:dyDescent="0.55000000000000004">
      <c r="A665">
        <v>9</v>
      </c>
      <c r="B665" s="15" t="str">
        <f t="shared" si="77"/>
        <v>9_1</v>
      </c>
      <c r="C665" s="20">
        <v>45776.583333333336</v>
      </c>
      <c r="D665" t="s">
        <v>175</v>
      </c>
      <c r="E665">
        <v>2</v>
      </c>
      <c r="F665" t="s">
        <v>127</v>
      </c>
      <c r="G665" t="str">
        <f t="shared" si="72"/>
        <v>Galaxias brevipinnis</v>
      </c>
      <c r="H665" t="str">
        <f t="shared" si="73"/>
        <v>Climbing_galaxias</v>
      </c>
      <c r="I665" t="str">
        <f t="shared" si="74"/>
        <v>Kōaro</v>
      </c>
      <c r="J665" t="str">
        <f t="shared" si="75"/>
        <v>Native</v>
      </c>
      <c r="K665" t="str">
        <f t="shared" si="76"/>
        <v>Yes</v>
      </c>
      <c r="L665">
        <v>1</v>
      </c>
      <c r="N665">
        <v>50</v>
      </c>
      <c r="O665">
        <v>1</v>
      </c>
      <c r="T665" t="str">
        <f t="shared" si="71"/>
        <v/>
      </c>
    </row>
    <row r="666" spans="1:20" x14ac:dyDescent="0.55000000000000004">
      <c r="A666">
        <v>9</v>
      </c>
      <c r="B666" s="15" t="str">
        <f t="shared" si="77"/>
        <v>9_1</v>
      </c>
      <c r="C666" s="20">
        <v>45776.583333333336</v>
      </c>
      <c r="D666" t="s">
        <v>175</v>
      </c>
      <c r="E666">
        <v>2</v>
      </c>
      <c r="F666" t="s">
        <v>127</v>
      </c>
      <c r="G666" t="str">
        <f t="shared" si="72"/>
        <v>Galaxias brevipinnis</v>
      </c>
      <c r="H666" t="str">
        <f t="shared" si="73"/>
        <v>Climbing_galaxias</v>
      </c>
      <c r="I666" t="str">
        <f t="shared" si="74"/>
        <v>Kōaro</v>
      </c>
      <c r="J666" t="str">
        <f t="shared" si="75"/>
        <v>Native</v>
      </c>
      <c r="K666" t="str">
        <f t="shared" si="76"/>
        <v>Yes</v>
      </c>
      <c r="L666">
        <v>1</v>
      </c>
      <c r="N666">
        <v>50</v>
      </c>
      <c r="O666">
        <v>1</v>
      </c>
      <c r="T666" t="str">
        <f t="shared" si="71"/>
        <v/>
      </c>
    </row>
    <row r="667" spans="1:20" x14ac:dyDescent="0.55000000000000004">
      <c r="A667">
        <v>9</v>
      </c>
      <c r="B667" s="15" t="str">
        <f t="shared" si="77"/>
        <v>9_1</v>
      </c>
      <c r="C667" s="20">
        <v>45776.583333333336</v>
      </c>
      <c r="D667" t="s">
        <v>175</v>
      </c>
      <c r="E667">
        <v>2</v>
      </c>
      <c r="F667" t="s">
        <v>127</v>
      </c>
      <c r="G667" t="str">
        <f t="shared" si="72"/>
        <v>Galaxias brevipinnis</v>
      </c>
      <c r="H667" t="str">
        <f t="shared" si="73"/>
        <v>Climbing_galaxias</v>
      </c>
      <c r="I667" t="str">
        <f t="shared" si="74"/>
        <v>Kōaro</v>
      </c>
      <c r="J667" t="str">
        <f t="shared" si="75"/>
        <v>Native</v>
      </c>
      <c r="K667" t="str">
        <f t="shared" si="76"/>
        <v>Yes</v>
      </c>
      <c r="L667">
        <v>1</v>
      </c>
      <c r="N667">
        <v>80</v>
      </c>
      <c r="O667">
        <v>5</v>
      </c>
      <c r="T667" t="str">
        <f t="shared" si="71"/>
        <v/>
      </c>
    </row>
    <row r="668" spans="1:20" x14ac:dyDescent="0.55000000000000004">
      <c r="A668">
        <v>9</v>
      </c>
      <c r="B668" s="15" t="str">
        <f t="shared" si="77"/>
        <v>9_1</v>
      </c>
      <c r="C668" s="20">
        <v>45776.583333333336</v>
      </c>
      <c r="D668" t="s">
        <v>175</v>
      </c>
      <c r="E668">
        <v>2</v>
      </c>
      <c r="F668" t="s">
        <v>127</v>
      </c>
      <c r="G668" t="str">
        <f t="shared" si="72"/>
        <v>Galaxias brevipinnis</v>
      </c>
      <c r="H668" t="str">
        <f t="shared" si="73"/>
        <v>Climbing_galaxias</v>
      </c>
      <c r="I668" t="str">
        <f t="shared" si="74"/>
        <v>Kōaro</v>
      </c>
      <c r="J668" t="str">
        <f t="shared" si="75"/>
        <v>Native</v>
      </c>
      <c r="K668" t="str">
        <f t="shared" si="76"/>
        <v>Yes</v>
      </c>
      <c r="L668">
        <v>1</v>
      </c>
      <c r="N668">
        <v>70</v>
      </c>
      <c r="O668">
        <v>3</v>
      </c>
      <c r="T668" t="str">
        <f t="shared" si="71"/>
        <v/>
      </c>
    </row>
    <row r="669" spans="1:20" x14ac:dyDescent="0.55000000000000004">
      <c r="A669">
        <v>9</v>
      </c>
      <c r="B669" s="15" t="str">
        <f t="shared" si="77"/>
        <v>9_1</v>
      </c>
      <c r="C669" s="20">
        <v>45776.583333333336</v>
      </c>
      <c r="D669" t="s">
        <v>175</v>
      </c>
      <c r="E669">
        <v>2</v>
      </c>
      <c r="F669" t="s">
        <v>127</v>
      </c>
      <c r="G669" t="str">
        <f t="shared" si="72"/>
        <v>Galaxias brevipinnis</v>
      </c>
      <c r="H669" t="str">
        <f t="shared" si="73"/>
        <v>Climbing_galaxias</v>
      </c>
      <c r="I669" t="str">
        <f t="shared" si="74"/>
        <v>Kōaro</v>
      </c>
      <c r="J669" t="str">
        <f t="shared" si="75"/>
        <v>Native</v>
      </c>
      <c r="K669" t="str">
        <f t="shared" si="76"/>
        <v>Yes</v>
      </c>
      <c r="L669">
        <v>1</v>
      </c>
      <c r="N669">
        <v>70</v>
      </c>
      <c r="O669">
        <v>3</v>
      </c>
      <c r="T669" t="str">
        <f t="shared" si="71"/>
        <v/>
      </c>
    </row>
    <row r="670" spans="1:20" x14ac:dyDescent="0.55000000000000004">
      <c r="A670">
        <v>9</v>
      </c>
      <c r="B670" s="15" t="str">
        <f t="shared" si="77"/>
        <v>9_1</v>
      </c>
      <c r="C670" s="20">
        <v>45776.583333333336</v>
      </c>
      <c r="D670" t="s">
        <v>175</v>
      </c>
      <c r="E670">
        <v>2</v>
      </c>
      <c r="F670" t="s">
        <v>127</v>
      </c>
      <c r="G670" t="str">
        <f t="shared" si="72"/>
        <v>Galaxias brevipinnis</v>
      </c>
      <c r="H670" t="str">
        <f t="shared" si="73"/>
        <v>Climbing_galaxias</v>
      </c>
      <c r="I670" t="str">
        <f t="shared" si="74"/>
        <v>Kōaro</v>
      </c>
      <c r="J670" t="str">
        <f t="shared" si="75"/>
        <v>Native</v>
      </c>
      <c r="K670" t="str">
        <f t="shared" si="76"/>
        <v>Yes</v>
      </c>
      <c r="L670">
        <v>1</v>
      </c>
      <c r="N670">
        <v>80</v>
      </c>
      <c r="O670">
        <v>4</v>
      </c>
      <c r="T670" t="str">
        <f t="shared" si="71"/>
        <v/>
      </c>
    </row>
    <row r="671" spans="1:20" x14ac:dyDescent="0.55000000000000004">
      <c r="A671">
        <v>9</v>
      </c>
      <c r="B671" s="15" t="str">
        <f t="shared" si="77"/>
        <v>9_1</v>
      </c>
      <c r="C671" s="20">
        <v>45776.583333333336</v>
      </c>
      <c r="D671" t="s">
        <v>175</v>
      </c>
      <c r="E671">
        <v>2</v>
      </c>
      <c r="F671" t="s">
        <v>127</v>
      </c>
      <c r="G671" t="str">
        <f t="shared" si="72"/>
        <v>Galaxias brevipinnis</v>
      </c>
      <c r="H671" t="str">
        <f t="shared" si="73"/>
        <v>Climbing_galaxias</v>
      </c>
      <c r="I671" t="str">
        <f t="shared" si="74"/>
        <v>Kōaro</v>
      </c>
      <c r="J671" t="str">
        <f t="shared" si="75"/>
        <v>Native</v>
      </c>
      <c r="K671" t="str">
        <f t="shared" si="76"/>
        <v>Yes</v>
      </c>
      <c r="L671">
        <v>1</v>
      </c>
      <c r="N671">
        <v>80</v>
      </c>
      <c r="O671">
        <v>4</v>
      </c>
      <c r="T671" t="str">
        <f t="shared" si="71"/>
        <v/>
      </c>
    </row>
    <row r="672" spans="1:20" x14ac:dyDescent="0.55000000000000004">
      <c r="A672">
        <v>9</v>
      </c>
      <c r="B672" s="15" t="str">
        <f t="shared" si="77"/>
        <v>9_1</v>
      </c>
      <c r="C672" s="20">
        <v>45776.583333333336</v>
      </c>
      <c r="D672" t="s">
        <v>175</v>
      </c>
      <c r="E672">
        <v>2</v>
      </c>
      <c r="F672" t="s">
        <v>127</v>
      </c>
      <c r="G672" t="str">
        <f t="shared" si="72"/>
        <v>Galaxias brevipinnis</v>
      </c>
      <c r="H672" t="str">
        <f t="shared" si="73"/>
        <v>Climbing_galaxias</v>
      </c>
      <c r="I672" t="str">
        <f t="shared" si="74"/>
        <v>Kōaro</v>
      </c>
      <c r="J672" t="str">
        <f t="shared" si="75"/>
        <v>Native</v>
      </c>
      <c r="K672" t="str">
        <f t="shared" si="76"/>
        <v>Yes</v>
      </c>
      <c r="L672">
        <v>1</v>
      </c>
      <c r="N672">
        <v>80</v>
      </c>
      <c r="O672">
        <v>4</v>
      </c>
      <c r="T672" t="str">
        <f t="shared" si="71"/>
        <v/>
      </c>
    </row>
    <row r="673" spans="1:20" x14ac:dyDescent="0.55000000000000004">
      <c r="A673">
        <v>9</v>
      </c>
      <c r="B673" s="15" t="str">
        <f t="shared" si="77"/>
        <v>9_1</v>
      </c>
      <c r="C673" s="20">
        <v>45776.583333333336</v>
      </c>
      <c r="D673" t="s">
        <v>175</v>
      </c>
      <c r="E673">
        <v>2</v>
      </c>
      <c r="F673" t="s">
        <v>127</v>
      </c>
      <c r="G673" t="str">
        <f t="shared" si="72"/>
        <v>Galaxias brevipinnis</v>
      </c>
      <c r="H673" t="str">
        <f t="shared" si="73"/>
        <v>Climbing_galaxias</v>
      </c>
      <c r="I673" t="str">
        <f t="shared" si="74"/>
        <v>Kōaro</v>
      </c>
      <c r="J673" t="str">
        <f t="shared" si="75"/>
        <v>Native</v>
      </c>
      <c r="K673" t="str">
        <f t="shared" si="76"/>
        <v>Yes</v>
      </c>
      <c r="L673">
        <v>1</v>
      </c>
      <c r="N673">
        <v>70</v>
      </c>
      <c r="O673">
        <v>2</v>
      </c>
      <c r="T673" t="str">
        <f t="shared" si="71"/>
        <v/>
      </c>
    </row>
    <row r="674" spans="1:20" x14ac:dyDescent="0.55000000000000004">
      <c r="A674">
        <v>9</v>
      </c>
      <c r="B674" s="15" t="str">
        <f t="shared" si="77"/>
        <v>9_1</v>
      </c>
      <c r="C674" s="20">
        <v>45776.583333333336</v>
      </c>
      <c r="D674" t="s">
        <v>175</v>
      </c>
      <c r="E674">
        <v>2</v>
      </c>
      <c r="F674" t="s">
        <v>127</v>
      </c>
      <c r="G674" t="str">
        <f t="shared" si="72"/>
        <v>Galaxias brevipinnis</v>
      </c>
      <c r="H674" t="str">
        <f t="shared" si="73"/>
        <v>Climbing_galaxias</v>
      </c>
      <c r="I674" t="str">
        <f t="shared" si="74"/>
        <v>Kōaro</v>
      </c>
      <c r="J674" t="str">
        <f t="shared" si="75"/>
        <v>Native</v>
      </c>
      <c r="K674" t="str">
        <f t="shared" si="76"/>
        <v>Yes</v>
      </c>
      <c r="L674">
        <v>1</v>
      </c>
      <c r="N674">
        <v>80</v>
      </c>
      <c r="O674">
        <v>5</v>
      </c>
      <c r="T674" t="str">
        <f t="shared" si="71"/>
        <v/>
      </c>
    </row>
    <row r="675" spans="1:20" x14ac:dyDescent="0.55000000000000004">
      <c r="A675">
        <v>9</v>
      </c>
      <c r="B675" s="15" t="str">
        <f t="shared" si="77"/>
        <v>9_1</v>
      </c>
      <c r="C675" s="20">
        <v>45776.583333333336</v>
      </c>
      <c r="D675" t="s">
        <v>175</v>
      </c>
      <c r="E675">
        <v>2</v>
      </c>
      <c r="F675" t="s">
        <v>135</v>
      </c>
      <c r="G675" t="str">
        <f t="shared" si="72"/>
        <v>Gobiomorphus cotidianus</v>
      </c>
      <c r="H675" t="str">
        <f t="shared" si="73"/>
        <v>Common_bully</v>
      </c>
      <c r="I675" t="str">
        <f t="shared" si="74"/>
        <v>Toitoi</v>
      </c>
      <c r="J675" t="str">
        <f t="shared" si="75"/>
        <v>Native</v>
      </c>
      <c r="K675" t="str">
        <f t="shared" si="76"/>
        <v>No</v>
      </c>
      <c r="O675">
        <v>511</v>
      </c>
      <c r="S675">
        <v>2.5</v>
      </c>
      <c r="T675">
        <f t="shared" si="71"/>
        <v>591.47</v>
      </c>
    </row>
    <row r="676" spans="1:20" x14ac:dyDescent="0.55000000000000004">
      <c r="A676">
        <v>9</v>
      </c>
      <c r="B676" s="15" t="str">
        <f t="shared" si="77"/>
        <v>9_1</v>
      </c>
      <c r="C676" s="20">
        <v>45776.583333333336</v>
      </c>
      <c r="D676" t="s">
        <v>175</v>
      </c>
      <c r="E676">
        <v>2</v>
      </c>
      <c r="F676" t="s">
        <v>135</v>
      </c>
      <c r="G676" t="str">
        <f t="shared" si="72"/>
        <v>Gobiomorphus cotidianus</v>
      </c>
      <c r="H676" t="str">
        <f t="shared" si="73"/>
        <v>Common_bully</v>
      </c>
      <c r="I676" t="str">
        <f t="shared" si="74"/>
        <v>Toitoi</v>
      </c>
      <c r="J676" t="str">
        <f t="shared" si="75"/>
        <v>Native</v>
      </c>
      <c r="K676" t="str">
        <f t="shared" si="76"/>
        <v>No</v>
      </c>
      <c r="O676">
        <v>402</v>
      </c>
      <c r="S676">
        <v>2</v>
      </c>
      <c r="T676">
        <f t="shared" si="71"/>
        <v>473.17599999999999</v>
      </c>
    </row>
    <row r="677" spans="1:20" x14ac:dyDescent="0.55000000000000004">
      <c r="A677">
        <v>9</v>
      </c>
      <c r="B677" s="15" t="str">
        <f t="shared" si="77"/>
        <v>9_1</v>
      </c>
      <c r="C677" s="20">
        <v>45776.583333333336</v>
      </c>
      <c r="D677" t="s">
        <v>175</v>
      </c>
      <c r="E677">
        <v>2</v>
      </c>
      <c r="F677" t="s">
        <v>133</v>
      </c>
      <c r="G677" t="str">
        <f t="shared" si="72"/>
        <v>Retropinna retropinna</v>
      </c>
      <c r="H677" t="str">
        <f t="shared" si="73"/>
        <v>Common_smelt</v>
      </c>
      <c r="I677" t="str">
        <f t="shared" si="74"/>
        <v>Common_smelt</v>
      </c>
      <c r="J677" t="str">
        <f t="shared" si="75"/>
        <v>Native</v>
      </c>
      <c r="K677" t="str">
        <f t="shared" si="76"/>
        <v>No</v>
      </c>
      <c r="L677">
        <v>11</v>
      </c>
      <c r="T677" t="str">
        <f t="shared" si="71"/>
        <v/>
      </c>
    </row>
    <row r="678" spans="1:20" x14ac:dyDescent="0.55000000000000004">
      <c r="A678">
        <v>10</v>
      </c>
      <c r="B678" s="15" t="str">
        <f t="shared" si="77"/>
        <v>10_1</v>
      </c>
      <c r="C678" s="20">
        <v>45776.625</v>
      </c>
      <c r="D678" t="s">
        <v>174</v>
      </c>
      <c r="E678">
        <v>2</v>
      </c>
      <c r="F678" t="s">
        <v>135</v>
      </c>
      <c r="G678" t="str">
        <f t="shared" si="72"/>
        <v>Gobiomorphus cotidianus</v>
      </c>
      <c r="H678" t="str">
        <f t="shared" si="73"/>
        <v>Common_bully</v>
      </c>
      <c r="I678" t="str">
        <f t="shared" si="74"/>
        <v>Toitoi</v>
      </c>
      <c r="J678" t="str">
        <f t="shared" si="75"/>
        <v>Native</v>
      </c>
      <c r="K678" t="str">
        <f t="shared" si="76"/>
        <v>No</v>
      </c>
      <c r="L678">
        <v>5</v>
      </c>
      <c r="O678">
        <v>14</v>
      </c>
      <c r="T678" t="str">
        <f t="shared" si="71"/>
        <v/>
      </c>
    </row>
    <row r="679" spans="1:20" x14ac:dyDescent="0.55000000000000004">
      <c r="A679">
        <v>10</v>
      </c>
      <c r="B679" s="15" t="str">
        <f t="shared" si="77"/>
        <v>10_1</v>
      </c>
      <c r="C679" s="20">
        <v>45776.625</v>
      </c>
      <c r="D679" t="s">
        <v>175</v>
      </c>
      <c r="E679">
        <v>1</v>
      </c>
      <c r="F679" t="s">
        <v>127</v>
      </c>
      <c r="G679" t="str">
        <f t="shared" si="72"/>
        <v>Galaxias brevipinnis</v>
      </c>
      <c r="H679" t="str">
        <f t="shared" si="73"/>
        <v>Climbing_galaxias</v>
      </c>
      <c r="I679" t="str">
        <f t="shared" si="74"/>
        <v>Kōaro</v>
      </c>
      <c r="J679" t="str">
        <f t="shared" si="75"/>
        <v>Native</v>
      </c>
      <c r="K679" t="str">
        <f t="shared" si="76"/>
        <v>Yes</v>
      </c>
      <c r="L679">
        <v>1</v>
      </c>
      <c r="N679">
        <v>80</v>
      </c>
      <c r="O679">
        <v>4</v>
      </c>
      <c r="T679" t="str">
        <f t="shared" si="71"/>
        <v/>
      </c>
    </row>
    <row r="680" spans="1:20" x14ac:dyDescent="0.55000000000000004">
      <c r="A680">
        <v>10</v>
      </c>
      <c r="B680" s="15" t="str">
        <f t="shared" si="77"/>
        <v>10_1</v>
      </c>
      <c r="C680" s="20">
        <v>45776.625</v>
      </c>
      <c r="D680" t="s">
        <v>175</v>
      </c>
      <c r="E680">
        <v>1</v>
      </c>
      <c r="F680" t="s">
        <v>135</v>
      </c>
      <c r="G680" t="str">
        <f t="shared" si="72"/>
        <v>Gobiomorphus cotidianus</v>
      </c>
      <c r="H680" t="str">
        <f t="shared" si="73"/>
        <v>Common_bully</v>
      </c>
      <c r="I680" t="str">
        <f t="shared" si="74"/>
        <v>Toitoi</v>
      </c>
      <c r="J680" t="str">
        <f t="shared" si="75"/>
        <v>Native</v>
      </c>
      <c r="K680" t="str">
        <f t="shared" si="76"/>
        <v>No</v>
      </c>
      <c r="O680">
        <v>30</v>
      </c>
      <c r="T680" t="str">
        <f t="shared" si="71"/>
        <v/>
      </c>
    </row>
    <row r="681" spans="1:20" x14ac:dyDescent="0.55000000000000004">
      <c r="A681">
        <v>10</v>
      </c>
      <c r="B681" s="15" t="str">
        <f t="shared" si="77"/>
        <v>10_1</v>
      </c>
      <c r="C681" s="20">
        <v>45776.625</v>
      </c>
      <c r="D681" t="s">
        <v>175</v>
      </c>
      <c r="E681">
        <v>1</v>
      </c>
      <c r="F681" t="s">
        <v>133</v>
      </c>
      <c r="G681" t="str">
        <f t="shared" si="72"/>
        <v>Retropinna retropinna</v>
      </c>
      <c r="H681" t="str">
        <f t="shared" si="73"/>
        <v>Common_smelt</v>
      </c>
      <c r="I681" t="str">
        <f t="shared" si="74"/>
        <v>Common_smelt</v>
      </c>
      <c r="J681" t="str">
        <f t="shared" si="75"/>
        <v>Native</v>
      </c>
      <c r="K681" t="str">
        <f t="shared" si="76"/>
        <v>No</v>
      </c>
      <c r="O681">
        <v>350</v>
      </c>
      <c r="S681">
        <v>2</v>
      </c>
      <c r="T681">
        <f t="shared" si="71"/>
        <v>473.17599999999999</v>
      </c>
    </row>
    <row r="682" spans="1:20" x14ac:dyDescent="0.55000000000000004">
      <c r="A682">
        <v>10</v>
      </c>
      <c r="B682" s="15" t="str">
        <f t="shared" si="77"/>
        <v>10_1</v>
      </c>
      <c r="C682" s="20">
        <v>45776.625</v>
      </c>
      <c r="D682" t="s">
        <v>175</v>
      </c>
      <c r="E682">
        <v>1</v>
      </c>
      <c r="F682" t="s">
        <v>133</v>
      </c>
      <c r="G682" t="str">
        <f t="shared" si="72"/>
        <v>Retropinna retropinna</v>
      </c>
      <c r="H682" t="str">
        <f t="shared" si="73"/>
        <v>Common_smelt</v>
      </c>
      <c r="I682" t="str">
        <f t="shared" si="74"/>
        <v>Common_smelt</v>
      </c>
      <c r="J682" t="str">
        <f t="shared" si="75"/>
        <v>Native</v>
      </c>
      <c r="K682" t="str">
        <f t="shared" si="76"/>
        <v>No</v>
      </c>
      <c r="O682">
        <v>321</v>
      </c>
      <c r="S682">
        <v>2</v>
      </c>
      <c r="T682">
        <f t="shared" si="71"/>
        <v>473.17599999999999</v>
      </c>
    </row>
    <row r="683" spans="1:20" x14ac:dyDescent="0.55000000000000004">
      <c r="A683">
        <v>10</v>
      </c>
      <c r="B683" s="15" t="str">
        <f t="shared" si="77"/>
        <v>10_1</v>
      </c>
      <c r="C683" s="20">
        <v>45776.625</v>
      </c>
      <c r="D683" t="s">
        <v>175</v>
      </c>
      <c r="E683">
        <v>1</v>
      </c>
      <c r="F683" t="s">
        <v>127</v>
      </c>
      <c r="G683" t="str">
        <f t="shared" si="72"/>
        <v>Galaxias brevipinnis</v>
      </c>
      <c r="H683" t="str">
        <f t="shared" si="73"/>
        <v>Climbing_galaxias</v>
      </c>
      <c r="I683" t="str">
        <f t="shared" si="74"/>
        <v>Kōaro</v>
      </c>
      <c r="J683" t="str">
        <f t="shared" si="75"/>
        <v>Native</v>
      </c>
      <c r="K683" t="str">
        <f t="shared" si="76"/>
        <v>Yes</v>
      </c>
      <c r="L683">
        <v>1</v>
      </c>
      <c r="N683">
        <v>120</v>
      </c>
      <c r="O683">
        <v>15</v>
      </c>
      <c r="T683" t="str">
        <f t="shared" si="71"/>
        <v/>
      </c>
    </row>
    <row r="684" spans="1:20" x14ac:dyDescent="0.55000000000000004">
      <c r="A684">
        <v>10</v>
      </c>
      <c r="B684" s="15" t="str">
        <f t="shared" si="77"/>
        <v>10_1</v>
      </c>
      <c r="C684" s="20">
        <v>45776.625</v>
      </c>
      <c r="D684" t="s">
        <v>175</v>
      </c>
      <c r="E684">
        <v>1</v>
      </c>
      <c r="F684" t="s">
        <v>127</v>
      </c>
      <c r="G684" t="str">
        <f t="shared" si="72"/>
        <v>Galaxias brevipinnis</v>
      </c>
      <c r="H684" t="str">
        <f t="shared" si="73"/>
        <v>Climbing_galaxias</v>
      </c>
      <c r="I684" t="str">
        <f t="shared" si="74"/>
        <v>Kōaro</v>
      </c>
      <c r="J684" t="str">
        <f t="shared" si="75"/>
        <v>Native</v>
      </c>
      <c r="K684" t="str">
        <f t="shared" si="76"/>
        <v>Yes</v>
      </c>
      <c r="L684">
        <v>1</v>
      </c>
      <c r="N684">
        <v>100</v>
      </c>
      <c r="O684">
        <v>8</v>
      </c>
      <c r="T684" t="str">
        <f t="shared" si="71"/>
        <v/>
      </c>
    </row>
    <row r="685" spans="1:20" x14ac:dyDescent="0.55000000000000004">
      <c r="A685">
        <v>10</v>
      </c>
      <c r="B685" s="15" t="str">
        <f t="shared" si="77"/>
        <v>10_1</v>
      </c>
      <c r="C685" s="20">
        <v>45776.625</v>
      </c>
      <c r="D685" t="s">
        <v>175</v>
      </c>
      <c r="E685">
        <v>1</v>
      </c>
      <c r="F685" t="s">
        <v>127</v>
      </c>
      <c r="G685" t="str">
        <f t="shared" si="72"/>
        <v>Galaxias brevipinnis</v>
      </c>
      <c r="H685" t="str">
        <f t="shared" si="73"/>
        <v>Climbing_galaxias</v>
      </c>
      <c r="I685" t="str">
        <f t="shared" si="74"/>
        <v>Kōaro</v>
      </c>
      <c r="J685" t="str">
        <f t="shared" si="75"/>
        <v>Native</v>
      </c>
      <c r="K685" t="str">
        <f t="shared" si="76"/>
        <v>Yes</v>
      </c>
      <c r="L685">
        <v>1</v>
      </c>
      <c r="N685">
        <v>85</v>
      </c>
      <c r="O685">
        <v>3</v>
      </c>
      <c r="T685" t="str">
        <f t="shared" si="71"/>
        <v/>
      </c>
    </row>
    <row r="686" spans="1:20" x14ac:dyDescent="0.55000000000000004">
      <c r="A686">
        <v>10</v>
      </c>
      <c r="B686" s="15" t="str">
        <f t="shared" si="77"/>
        <v>10_1</v>
      </c>
      <c r="C686" s="20">
        <v>45776.625</v>
      </c>
      <c r="D686" t="s">
        <v>175</v>
      </c>
      <c r="E686">
        <v>1</v>
      </c>
      <c r="F686" t="s">
        <v>127</v>
      </c>
      <c r="G686" t="str">
        <f t="shared" si="72"/>
        <v>Galaxias brevipinnis</v>
      </c>
      <c r="H686" t="str">
        <f t="shared" si="73"/>
        <v>Climbing_galaxias</v>
      </c>
      <c r="I686" t="str">
        <f t="shared" si="74"/>
        <v>Kōaro</v>
      </c>
      <c r="J686" t="str">
        <f t="shared" si="75"/>
        <v>Native</v>
      </c>
      <c r="K686" t="str">
        <f t="shared" si="76"/>
        <v>Yes</v>
      </c>
      <c r="L686">
        <v>1</v>
      </c>
      <c r="N686">
        <v>90</v>
      </c>
      <c r="O686">
        <v>4</v>
      </c>
      <c r="T686" t="str">
        <f t="shared" si="71"/>
        <v/>
      </c>
    </row>
    <row r="687" spans="1:20" x14ac:dyDescent="0.55000000000000004">
      <c r="A687">
        <v>10</v>
      </c>
      <c r="B687" s="15" t="str">
        <f t="shared" si="77"/>
        <v>10_1</v>
      </c>
      <c r="C687" s="20">
        <v>45776.625</v>
      </c>
      <c r="D687" t="s">
        <v>175</v>
      </c>
      <c r="E687">
        <v>1</v>
      </c>
      <c r="F687" t="s">
        <v>127</v>
      </c>
      <c r="G687" t="str">
        <f t="shared" si="72"/>
        <v>Galaxias brevipinnis</v>
      </c>
      <c r="H687" t="str">
        <f t="shared" si="73"/>
        <v>Climbing_galaxias</v>
      </c>
      <c r="I687" t="str">
        <f t="shared" si="74"/>
        <v>Kōaro</v>
      </c>
      <c r="J687" t="str">
        <f t="shared" si="75"/>
        <v>Native</v>
      </c>
      <c r="K687" t="str">
        <f t="shared" si="76"/>
        <v>Yes</v>
      </c>
      <c r="L687">
        <v>1</v>
      </c>
      <c r="N687">
        <v>75</v>
      </c>
      <c r="O687">
        <v>3</v>
      </c>
      <c r="T687" t="str">
        <f t="shared" si="71"/>
        <v/>
      </c>
    </row>
    <row r="688" spans="1:20" x14ac:dyDescent="0.55000000000000004">
      <c r="A688">
        <v>10</v>
      </c>
      <c r="B688" s="15" t="str">
        <f t="shared" si="77"/>
        <v>10_1</v>
      </c>
      <c r="C688" s="20">
        <v>45776.625</v>
      </c>
      <c r="D688" t="s">
        <v>175</v>
      </c>
      <c r="E688">
        <v>1</v>
      </c>
      <c r="F688" t="s">
        <v>127</v>
      </c>
      <c r="G688" t="str">
        <f t="shared" si="72"/>
        <v>Galaxias brevipinnis</v>
      </c>
      <c r="H688" t="str">
        <f t="shared" si="73"/>
        <v>Climbing_galaxias</v>
      </c>
      <c r="I688" t="str">
        <f t="shared" si="74"/>
        <v>Kōaro</v>
      </c>
      <c r="J688" t="str">
        <f t="shared" si="75"/>
        <v>Native</v>
      </c>
      <c r="K688" t="str">
        <f t="shared" si="76"/>
        <v>Yes</v>
      </c>
      <c r="L688">
        <v>1</v>
      </c>
      <c r="N688">
        <v>120</v>
      </c>
      <c r="O688">
        <v>14</v>
      </c>
      <c r="T688" t="str">
        <f t="shared" si="71"/>
        <v/>
      </c>
    </row>
    <row r="689" spans="1:20" x14ac:dyDescent="0.55000000000000004">
      <c r="A689">
        <v>10</v>
      </c>
      <c r="B689" s="15" t="str">
        <f t="shared" si="77"/>
        <v>10_1</v>
      </c>
      <c r="C689" s="20">
        <v>45776.625</v>
      </c>
      <c r="D689" t="s">
        <v>175</v>
      </c>
      <c r="E689">
        <v>1</v>
      </c>
      <c r="F689" t="s">
        <v>127</v>
      </c>
      <c r="G689" t="str">
        <f t="shared" si="72"/>
        <v>Galaxias brevipinnis</v>
      </c>
      <c r="H689" t="str">
        <f t="shared" si="73"/>
        <v>Climbing_galaxias</v>
      </c>
      <c r="I689" t="str">
        <f t="shared" si="74"/>
        <v>Kōaro</v>
      </c>
      <c r="J689" t="str">
        <f t="shared" si="75"/>
        <v>Native</v>
      </c>
      <c r="K689" t="str">
        <f t="shared" si="76"/>
        <v>Yes</v>
      </c>
      <c r="L689">
        <v>1</v>
      </c>
      <c r="N689">
        <v>90</v>
      </c>
      <c r="O689">
        <v>6</v>
      </c>
      <c r="T689" t="str">
        <f t="shared" si="71"/>
        <v/>
      </c>
    </row>
    <row r="690" spans="1:20" x14ac:dyDescent="0.55000000000000004">
      <c r="A690">
        <v>10</v>
      </c>
      <c r="B690" s="15" t="str">
        <f t="shared" si="77"/>
        <v>10_1</v>
      </c>
      <c r="C690" s="20">
        <v>45776.625</v>
      </c>
      <c r="D690" t="s">
        <v>175</v>
      </c>
      <c r="E690">
        <v>1</v>
      </c>
      <c r="F690" t="s">
        <v>127</v>
      </c>
      <c r="G690" t="str">
        <f t="shared" si="72"/>
        <v>Galaxias brevipinnis</v>
      </c>
      <c r="H690" t="str">
        <f t="shared" si="73"/>
        <v>Climbing_galaxias</v>
      </c>
      <c r="I690" t="str">
        <f t="shared" si="74"/>
        <v>Kōaro</v>
      </c>
      <c r="J690" t="str">
        <f t="shared" si="75"/>
        <v>Native</v>
      </c>
      <c r="K690" t="str">
        <f t="shared" si="76"/>
        <v>Yes</v>
      </c>
      <c r="L690">
        <v>1</v>
      </c>
      <c r="N690">
        <v>80</v>
      </c>
      <c r="O690">
        <v>4</v>
      </c>
      <c r="T690" t="str">
        <f t="shared" si="71"/>
        <v/>
      </c>
    </row>
    <row r="691" spans="1:20" x14ac:dyDescent="0.55000000000000004">
      <c r="A691">
        <v>10</v>
      </c>
      <c r="B691" s="15" t="str">
        <f t="shared" si="77"/>
        <v>10_1</v>
      </c>
      <c r="C691" s="20">
        <v>45776.625</v>
      </c>
      <c r="D691" t="s">
        <v>175</v>
      </c>
      <c r="E691">
        <v>1</v>
      </c>
      <c r="F691" t="s">
        <v>127</v>
      </c>
      <c r="G691" t="str">
        <f t="shared" si="72"/>
        <v>Galaxias brevipinnis</v>
      </c>
      <c r="H691" t="str">
        <f t="shared" si="73"/>
        <v>Climbing_galaxias</v>
      </c>
      <c r="I691" t="str">
        <f t="shared" si="74"/>
        <v>Kōaro</v>
      </c>
      <c r="J691" t="str">
        <f t="shared" si="75"/>
        <v>Native</v>
      </c>
      <c r="K691" t="str">
        <f t="shared" si="76"/>
        <v>Yes</v>
      </c>
      <c r="L691">
        <v>1</v>
      </c>
      <c r="N691">
        <v>80</v>
      </c>
      <c r="O691">
        <v>3</v>
      </c>
      <c r="T691" t="str">
        <f t="shared" si="71"/>
        <v/>
      </c>
    </row>
    <row r="692" spans="1:20" x14ac:dyDescent="0.55000000000000004">
      <c r="A692">
        <v>10</v>
      </c>
      <c r="B692" s="15" t="str">
        <f t="shared" si="77"/>
        <v>10_1</v>
      </c>
      <c r="C692" s="20">
        <v>45776.625</v>
      </c>
      <c r="D692" t="s">
        <v>175</v>
      </c>
      <c r="E692">
        <v>1</v>
      </c>
      <c r="F692" t="s">
        <v>127</v>
      </c>
      <c r="G692" t="str">
        <f t="shared" si="72"/>
        <v>Galaxias brevipinnis</v>
      </c>
      <c r="H692" t="str">
        <f t="shared" si="73"/>
        <v>Climbing_galaxias</v>
      </c>
      <c r="I692" t="str">
        <f t="shared" si="74"/>
        <v>Kōaro</v>
      </c>
      <c r="J692" t="str">
        <f t="shared" si="75"/>
        <v>Native</v>
      </c>
      <c r="K692" t="str">
        <f t="shared" si="76"/>
        <v>Yes</v>
      </c>
      <c r="L692">
        <v>1</v>
      </c>
      <c r="N692">
        <v>80</v>
      </c>
      <c r="O692">
        <v>4</v>
      </c>
      <c r="T692" t="str">
        <f t="shared" si="71"/>
        <v/>
      </c>
    </row>
    <row r="693" spans="1:20" x14ac:dyDescent="0.55000000000000004">
      <c r="A693">
        <v>10</v>
      </c>
      <c r="B693" s="15" t="str">
        <f t="shared" si="77"/>
        <v>10_1</v>
      </c>
      <c r="C693" s="20">
        <v>45776.625</v>
      </c>
      <c r="D693" t="s">
        <v>175</v>
      </c>
      <c r="E693">
        <v>1</v>
      </c>
      <c r="F693" t="s">
        <v>127</v>
      </c>
      <c r="G693" t="str">
        <f t="shared" si="72"/>
        <v>Galaxias brevipinnis</v>
      </c>
      <c r="H693" t="str">
        <f t="shared" si="73"/>
        <v>Climbing_galaxias</v>
      </c>
      <c r="I693" t="str">
        <f t="shared" si="74"/>
        <v>Kōaro</v>
      </c>
      <c r="J693" t="str">
        <f t="shared" si="75"/>
        <v>Native</v>
      </c>
      <c r="K693" t="str">
        <f t="shared" si="76"/>
        <v>Yes</v>
      </c>
      <c r="L693">
        <v>1</v>
      </c>
      <c r="N693">
        <v>80</v>
      </c>
      <c r="O693">
        <v>5</v>
      </c>
      <c r="T693" t="str">
        <f t="shared" ref="T693:T756" si="78">IF(S693&lt;&gt;"", S693*236.588, "")</f>
        <v/>
      </c>
    </row>
    <row r="694" spans="1:20" x14ac:dyDescent="0.55000000000000004">
      <c r="A694">
        <v>10</v>
      </c>
      <c r="B694" s="15" t="str">
        <f t="shared" si="77"/>
        <v>10_1</v>
      </c>
      <c r="C694" s="20">
        <v>45776.625</v>
      </c>
      <c r="D694" t="s">
        <v>175</v>
      </c>
      <c r="E694">
        <v>1</v>
      </c>
      <c r="F694" t="s">
        <v>127</v>
      </c>
      <c r="G694" t="str">
        <f t="shared" si="72"/>
        <v>Galaxias brevipinnis</v>
      </c>
      <c r="H694" t="str">
        <f t="shared" si="73"/>
        <v>Climbing_galaxias</v>
      </c>
      <c r="I694" t="str">
        <f t="shared" si="74"/>
        <v>Kōaro</v>
      </c>
      <c r="J694" t="str">
        <f t="shared" si="75"/>
        <v>Native</v>
      </c>
      <c r="K694" t="str">
        <f t="shared" si="76"/>
        <v>Yes</v>
      </c>
      <c r="L694">
        <v>1</v>
      </c>
      <c r="N694">
        <v>50</v>
      </c>
      <c r="O694">
        <v>1</v>
      </c>
      <c r="T694" t="str">
        <f t="shared" si="78"/>
        <v/>
      </c>
    </row>
    <row r="695" spans="1:20" x14ac:dyDescent="0.55000000000000004">
      <c r="A695">
        <v>10</v>
      </c>
      <c r="B695" s="15" t="str">
        <f t="shared" si="77"/>
        <v>10_1</v>
      </c>
      <c r="C695" s="20">
        <v>45776.625</v>
      </c>
      <c r="D695" t="s">
        <v>175</v>
      </c>
      <c r="E695">
        <v>1</v>
      </c>
      <c r="F695" t="s">
        <v>127</v>
      </c>
      <c r="G695" t="str">
        <f t="shared" si="72"/>
        <v>Galaxias brevipinnis</v>
      </c>
      <c r="H695" t="str">
        <f t="shared" si="73"/>
        <v>Climbing_galaxias</v>
      </c>
      <c r="I695" t="str">
        <f t="shared" si="74"/>
        <v>Kōaro</v>
      </c>
      <c r="J695" t="str">
        <f t="shared" si="75"/>
        <v>Native</v>
      </c>
      <c r="K695" t="str">
        <f t="shared" si="76"/>
        <v>Yes</v>
      </c>
      <c r="L695">
        <v>1</v>
      </c>
      <c r="N695">
        <v>70</v>
      </c>
      <c r="O695">
        <v>3</v>
      </c>
      <c r="T695" t="str">
        <f t="shared" si="78"/>
        <v/>
      </c>
    </row>
    <row r="696" spans="1:20" x14ac:dyDescent="0.55000000000000004">
      <c r="A696">
        <v>10</v>
      </c>
      <c r="B696" s="15" t="str">
        <f t="shared" si="77"/>
        <v>10_1</v>
      </c>
      <c r="C696" s="20">
        <v>45776.625</v>
      </c>
      <c r="D696" t="s">
        <v>175</v>
      </c>
      <c r="E696">
        <v>1</v>
      </c>
      <c r="F696" t="s">
        <v>135</v>
      </c>
      <c r="G696" t="str">
        <f t="shared" si="72"/>
        <v>Gobiomorphus cotidianus</v>
      </c>
      <c r="H696" t="str">
        <f t="shared" si="73"/>
        <v>Common_bully</v>
      </c>
      <c r="I696" t="str">
        <f t="shared" si="74"/>
        <v>Toitoi</v>
      </c>
      <c r="J696" t="str">
        <f t="shared" si="75"/>
        <v>Native</v>
      </c>
      <c r="K696" t="str">
        <f t="shared" si="76"/>
        <v>No</v>
      </c>
      <c r="O696">
        <v>261</v>
      </c>
      <c r="S696">
        <v>1.5</v>
      </c>
      <c r="T696">
        <f t="shared" si="78"/>
        <v>354.88200000000001</v>
      </c>
    </row>
    <row r="697" spans="1:20" x14ac:dyDescent="0.55000000000000004">
      <c r="A697">
        <v>10</v>
      </c>
      <c r="B697" s="15" t="str">
        <f t="shared" si="77"/>
        <v>10_1</v>
      </c>
      <c r="C697" s="20">
        <v>45776.625</v>
      </c>
      <c r="D697" t="s">
        <v>175</v>
      </c>
      <c r="E697">
        <v>1</v>
      </c>
      <c r="F697" t="s">
        <v>135</v>
      </c>
      <c r="G697" t="str">
        <f t="shared" si="72"/>
        <v>Gobiomorphus cotidianus</v>
      </c>
      <c r="H697" t="str">
        <f t="shared" si="73"/>
        <v>Common_bully</v>
      </c>
      <c r="I697" t="str">
        <f t="shared" si="74"/>
        <v>Toitoi</v>
      </c>
      <c r="J697" t="str">
        <f t="shared" si="75"/>
        <v>Native</v>
      </c>
      <c r="K697" t="str">
        <f t="shared" si="76"/>
        <v>No</v>
      </c>
      <c r="O697">
        <v>399</v>
      </c>
      <c r="S697">
        <v>2.5</v>
      </c>
      <c r="T697">
        <f t="shared" si="78"/>
        <v>591.47</v>
      </c>
    </row>
    <row r="698" spans="1:20" x14ac:dyDescent="0.55000000000000004">
      <c r="A698">
        <v>10</v>
      </c>
      <c r="B698" s="15" t="str">
        <f t="shared" si="77"/>
        <v>10_1</v>
      </c>
      <c r="C698" s="20">
        <v>45776.625</v>
      </c>
      <c r="D698" t="s">
        <v>175</v>
      </c>
      <c r="E698">
        <v>1</v>
      </c>
      <c r="F698" t="s">
        <v>135</v>
      </c>
      <c r="G698" t="str">
        <f t="shared" si="72"/>
        <v>Gobiomorphus cotidianus</v>
      </c>
      <c r="H698" t="str">
        <f t="shared" si="73"/>
        <v>Common_bully</v>
      </c>
      <c r="I698" t="str">
        <f t="shared" si="74"/>
        <v>Toitoi</v>
      </c>
      <c r="J698" t="str">
        <f t="shared" si="75"/>
        <v>Native</v>
      </c>
      <c r="K698" t="str">
        <f t="shared" si="76"/>
        <v>No</v>
      </c>
      <c r="O698">
        <v>305</v>
      </c>
      <c r="S698">
        <v>1.5</v>
      </c>
      <c r="T698">
        <f t="shared" si="78"/>
        <v>354.88200000000001</v>
      </c>
    </row>
    <row r="699" spans="1:20" x14ac:dyDescent="0.55000000000000004">
      <c r="A699">
        <v>10</v>
      </c>
      <c r="B699" s="15" t="str">
        <f t="shared" si="77"/>
        <v>10_1</v>
      </c>
      <c r="C699" s="20">
        <v>45776.625</v>
      </c>
      <c r="D699" t="s">
        <v>175</v>
      </c>
      <c r="E699">
        <v>1</v>
      </c>
      <c r="F699" t="s">
        <v>133</v>
      </c>
      <c r="G699" t="str">
        <f t="shared" si="72"/>
        <v>Retropinna retropinna</v>
      </c>
      <c r="H699" t="str">
        <f t="shared" si="73"/>
        <v>Common_smelt</v>
      </c>
      <c r="I699" t="str">
        <f t="shared" si="74"/>
        <v>Common_smelt</v>
      </c>
      <c r="J699" t="str">
        <f t="shared" si="75"/>
        <v>Native</v>
      </c>
      <c r="K699" t="str">
        <f t="shared" si="76"/>
        <v>No</v>
      </c>
      <c r="L699">
        <v>12</v>
      </c>
      <c r="T699" t="str">
        <f t="shared" si="78"/>
        <v/>
      </c>
    </row>
    <row r="700" spans="1:20" x14ac:dyDescent="0.55000000000000004">
      <c r="A700">
        <v>11</v>
      </c>
      <c r="B700" s="15" t="str">
        <f t="shared" si="77"/>
        <v>11_1</v>
      </c>
      <c r="C700" s="20">
        <v>45776.430555555555</v>
      </c>
      <c r="D700" t="s">
        <v>174</v>
      </c>
      <c r="E700">
        <v>2</v>
      </c>
      <c r="F700" t="s">
        <v>135</v>
      </c>
      <c r="G700" t="str">
        <f t="shared" si="72"/>
        <v>Gobiomorphus cotidianus</v>
      </c>
      <c r="H700" t="str">
        <f t="shared" si="73"/>
        <v>Common_bully</v>
      </c>
      <c r="I700" t="str">
        <f t="shared" si="74"/>
        <v>Toitoi</v>
      </c>
      <c r="J700" t="str">
        <f t="shared" si="75"/>
        <v>Native</v>
      </c>
      <c r="K700" t="str">
        <f t="shared" si="76"/>
        <v>No</v>
      </c>
      <c r="L700">
        <v>22</v>
      </c>
      <c r="O700">
        <v>11</v>
      </c>
      <c r="T700" t="str">
        <f t="shared" si="78"/>
        <v/>
      </c>
    </row>
    <row r="701" spans="1:20" x14ac:dyDescent="0.55000000000000004">
      <c r="A701">
        <v>11</v>
      </c>
      <c r="B701" s="15" t="str">
        <f t="shared" si="77"/>
        <v>11_1</v>
      </c>
      <c r="C701" s="20">
        <v>45776.430555555555</v>
      </c>
      <c r="D701" t="s">
        <v>174</v>
      </c>
      <c r="E701">
        <v>2</v>
      </c>
      <c r="F701" t="s">
        <v>115</v>
      </c>
      <c r="G701" t="str">
        <f t="shared" si="72"/>
        <v>Paranephrops planifrons</v>
      </c>
      <c r="H701" t="str">
        <f t="shared" si="73"/>
        <v>Freshwater_crayfish</v>
      </c>
      <c r="I701" t="str">
        <f t="shared" si="74"/>
        <v>Kōura</v>
      </c>
      <c r="J701" t="str">
        <f t="shared" si="75"/>
        <v>Native</v>
      </c>
      <c r="K701" t="str">
        <f t="shared" si="76"/>
        <v>Yes</v>
      </c>
      <c r="L701">
        <v>1</v>
      </c>
      <c r="M701" t="s">
        <v>176</v>
      </c>
      <c r="N701">
        <v>36.81</v>
      </c>
      <c r="O701">
        <v>32</v>
      </c>
      <c r="T701" t="str">
        <f t="shared" si="78"/>
        <v/>
      </c>
    </row>
    <row r="702" spans="1:20" x14ac:dyDescent="0.55000000000000004">
      <c r="A702">
        <v>11</v>
      </c>
      <c r="B702" s="15" t="str">
        <f t="shared" si="77"/>
        <v>11_1</v>
      </c>
      <c r="C702" s="20">
        <v>45776.430555555555</v>
      </c>
      <c r="D702" t="s">
        <v>175</v>
      </c>
      <c r="E702">
        <v>2</v>
      </c>
      <c r="F702" t="s">
        <v>115</v>
      </c>
      <c r="G702" t="str">
        <f t="shared" si="72"/>
        <v>Paranephrops planifrons</v>
      </c>
      <c r="H702" t="str">
        <f t="shared" si="73"/>
        <v>Freshwater_crayfish</v>
      </c>
      <c r="I702" t="str">
        <f t="shared" si="74"/>
        <v>Kōura</v>
      </c>
      <c r="J702" t="str">
        <f t="shared" si="75"/>
        <v>Native</v>
      </c>
      <c r="K702" t="str">
        <f t="shared" si="76"/>
        <v>Yes</v>
      </c>
      <c r="L702">
        <v>1</v>
      </c>
      <c r="M702" t="s">
        <v>177</v>
      </c>
      <c r="N702">
        <v>26.04</v>
      </c>
      <c r="O702">
        <v>13</v>
      </c>
      <c r="T702" t="str">
        <f t="shared" si="78"/>
        <v/>
      </c>
    </row>
    <row r="703" spans="1:20" x14ac:dyDescent="0.55000000000000004">
      <c r="A703">
        <v>11</v>
      </c>
      <c r="B703" s="15" t="str">
        <f t="shared" si="77"/>
        <v>11_1</v>
      </c>
      <c r="C703" s="20">
        <v>45776.430555555555</v>
      </c>
      <c r="D703" t="s">
        <v>175</v>
      </c>
      <c r="E703">
        <v>2</v>
      </c>
      <c r="F703" t="s">
        <v>115</v>
      </c>
      <c r="G703" t="str">
        <f t="shared" si="72"/>
        <v>Paranephrops planifrons</v>
      </c>
      <c r="H703" t="str">
        <f t="shared" si="73"/>
        <v>Freshwater_crayfish</v>
      </c>
      <c r="I703" t="str">
        <f t="shared" si="74"/>
        <v>Kōura</v>
      </c>
      <c r="J703" t="str">
        <f t="shared" si="75"/>
        <v>Native</v>
      </c>
      <c r="K703" t="str">
        <f t="shared" si="76"/>
        <v>Yes</v>
      </c>
      <c r="L703">
        <v>1</v>
      </c>
      <c r="M703" t="s">
        <v>176</v>
      </c>
      <c r="N703">
        <v>28.45</v>
      </c>
      <c r="O703">
        <v>15</v>
      </c>
      <c r="T703" t="str">
        <f t="shared" si="78"/>
        <v/>
      </c>
    </row>
    <row r="704" spans="1:20" x14ac:dyDescent="0.55000000000000004">
      <c r="A704">
        <v>11</v>
      </c>
      <c r="B704" s="15" t="str">
        <f t="shared" si="77"/>
        <v>11_1</v>
      </c>
      <c r="C704" s="20">
        <v>45776.430555555555</v>
      </c>
      <c r="D704" t="s">
        <v>175</v>
      </c>
      <c r="E704">
        <v>2</v>
      </c>
      <c r="F704" t="s">
        <v>115</v>
      </c>
      <c r="G704" t="str">
        <f t="shared" si="72"/>
        <v>Paranephrops planifrons</v>
      </c>
      <c r="H704" t="str">
        <f t="shared" si="73"/>
        <v>Freshwater_crayfish</v>
      </c>
      <c r="I704" t="str">
        <f t="shared" si="74"/>
        <v>Kōura</v>
      </c>
      <c r="J704" t="str">
        <f t="shared" si="75"/>
        <v>Native</v>
      </c>
      <c r="K704" t="str">
        <f t="shared" si="76"/>
        <v>Yes</v>
      </c>
      <c r="L704">
        <v>1</v>
      </c>
      <c r="M704" t="s">
        <v>177</v>
      </c>
      <c r="N704">
        <v>27.01</v>
      </c>
      <c r="O704">
        <v>14</v>
      </c>
      <c r="T704" t="str">
        <f t="shared" si="78"/>
        <v/>
      </c>
    </row>
    <row r="705" spans="1:20" x14ac:dyDescent="0.55000000000000004">
      <c r="A705">
        <v>11</v>
      </c>
      <c r="B705" s="15" t="str">
        <f t="shared" si="77"/>
        <v>11_1</v>
      </c>
      <c r="C705" s="20">
        <v>45776.430555497682</v>
      </c>
      <c r="D705" t="s">
        <v>175</v>
      </c>
      <c r="E705">
        <v>2</v>
      </c>
      <c r="F705" t="s">
        <v>115</v>
      </c>
      <c r="G705" t="str">
        <f t="shared" si="72"/>
        <v>Paranephrops planifrons</v>
      </c>
      <c r="H705" t="str">
        <f t="shared" si="73"/>
        <v>Freshwater_crayfish</v>
      </c>
      <c r="I705" t="str">
        <f t="shared" si="74"/>
        <v>Kōura</v>
      </c>
      <c r="J705" t="str">
        <f t="shared" si="75"/>
        <v>Native</v>
      </c>
      <c r="K705" t="str">
        <f t="shared" si="76"/>
        <v>Yes</v>
      </c>
      <c r="L705">
        <v>1</v>
      </c>
      <c r="M705" t="s">
        <v>176</v>
      </c>
      <c r="N705">
        <v>21.04</v>
      </c>
      <c r="O705">
        <v>6</v>
      </c>
      <c r="T705" t="str">
        <f t="shared" si="78"/>
        <v/>
      </c>
    </row>
    <row r="706" spans="1:20" x14ac:dyDescent="0.55000000000000004">
      <c r="A706">
        <v>11</v>
      </c>
      <c r="B706" s="15" t="str">
        <f t="shared" si="77"/>
        <v>11_1</v>
      </c>
      <c r="C706" s="20">
        <v>45776.430555497682</v>
      </c>
      <c r="D706" t="s">
        <v>175</v>
      </c>
      <c r="E706">
        <v>2</v>
      </c>
      <c r="F706" t="s">
        <v>115</v>
      </c>
      <c r="G706" t="str">
        <f t="shared" ref="G706:G769" si="79">VLOOKUP($F706, $W$1:$AB$10, 2, FALSE)</f>
        <v>Paranephrops planifrons</v>
      </c>
      <c r="H706" t="str">
        <f t="shared" ref="H706:H769" si="80">VLOOKUP($F706, $W$1:$AB$10, 3, FALSE)</f>
        <v>Freshwater_crayfish</v>
      </c>
      <c r="I706" t="str">
        <f t="shared" ref="I706:I769" si="81">VLOOKUP($F706, $W$1:$AB$10, 4, FALSE)</f>
        <v>Kōura</v>
      </c>
      <c r="J706" t="str">
        <f t="shared" ref="J706:J769" si="82">VLOOKUP($F706, $W$1:$AC$10, 5, FALSE)</f>
        <v>Native</v>
      </c>
      <c r="K706" t="str">
        <f t="shared" ref="K706:K769" si="83">VLOOKUP($F706, $W$1:$AB$10, 6, FALSE)</f>
        <v>Yes</v>
      </c>
      <c r="L706">
        <v>1</v>
      </c>
      <c r="M706" t="s">
        <v>176</v>
      </c>
      <c r="N706">
        <v>24.46</v>
      </c>
      <c r="O706">
        <v>6</v>
      </c>
      <c r="T706" t="str">
        <f t="shared" si="78"/>
        <v/>
      </c>
    </row>
    <row r="707" spans="1:20" x14ac:dyDescent="0.55000000000000004">
      <c r="A707">
        <v>11</v>
      </c>
      <c r="B707" s="15" t="str">
        <f t="shared" si="77"/>
        <v>11_1</v>
      </c>
      <c r="C707" s="20">
        <v>45776.430555497682</v>
      </c>
      <c r="D707" t="s">
        <v>175</v>
      </c>
      <c r="E707">
        <v>2</v>
      </c>
      <c r="F707" t="s">
        <v>127</v>
      </c>
      <c r="G707" t="str">
        <f t="shared" si="79"/>
        <v>Galaxias brevipinnis</v>
      </c>
      <c r="H707" t="str">
        <f t="shared" si="80"/>
        <v>Climbing_galaxias</v>
      </c>
      <c r="I707" t="str">
        <f t="shared" si="81"/>
        <v>Kōaro</v>
      </c>
      <c r="J707" t="str">
        <f t="shared" si="82"/>
        <v>Native</v>
      </c>
      <c r="K707" t="str">
        <f t="shared" si="83"/>
        <v>Yes</v>
      </c>
      <c r="L707">
        <v>1</v>
      </c>
      <c r="N707">
        <v>145</v>
      </c>
      <c r="O707">
        <v>35</v>
      </c>
      <c r="T707" t="str">
        <f t="shared" si="78"/>
        <v/>
      </c>
    </row>
    <row r="708" spans="1:20" x14ac:dyDescent="0.55000000000000004">
      <c r="A708">
        <v>11</v>
      </c>
      <c r="B708" s="15" t="str">
        <f t="shared" si="77"/>
        <v>11_1</v>
      </c>
      <c r="C708" s="20">
        <v>45776.430555497682</v>
      </c>
      <c r="D708" t="s">
        <v>175</v>
      </c>
      <c r="E708">
        <v>2</v>
      </c>
      <c r="F708" t="s">
        <v>127</v>
      </c>
      <c r="G708" t="str">
        <f t="shared" si="79"/>
        <v>Galaxias brevipinnis</v>
      </c>
      <c r="H708" t="str">
        <f t="shared" si="80"/>
        <v>Climbing_galaxias</v>
      </c>
      <c r="I708" t="str">
        <f t="shared" si="81"/>
        <v>Kōaro</v>
      </c>
      <c r="J708" t="str">
        <f t="shared" si="82"/>
        <v>Native</v>
      </c>
      <c r="K708" t="str">
        <f t="shared" si="83"/>
        <v>Yes</v>
      </c>
      <c r="L708">
        <v>1</v>
      </c>
      <c r="N708">
        <v>123</v>
      </c>
      <c r="O708">
        <v>21</v>
      </c>
      <c r="T708" t="str">
        <f t="shared" si="78"/>
        <v/>
      </c>
    </row>
    <row r="709" spans="1:20" x14ac:dyDescent="0.55000000000000004">
      <c r="A709">
        <v>11</v>
      </c>
      <c r="B709" s="15" t="str">
        <f t="shared" si="77"/>
        <v>11_1</v>
      </c>
      <c r="C709" s="20">
        <v>45776.430555497682</v>
      </c>
      <c r="D709" t="s">
        <v>175</v>
      </c>
      <c r="E709">
        <v>2</v>
      </c>
      <c r="F709" t="s">
        <v>127</v>
      </c>
      <c r="G709" t="str">
        <f t="shared" si="79"/>
        <v>Galaxias brevipinnis</v>
      </c>
      <c r="H709" t="str">
        <f t="shared" si="80"/>
        <v>Climbing_galaxias</v>
      </c>
      <c r="I709" t="str">
        <f t="shared" si="81"/>
        <v>Kōaro</v>
      </c>
      <c r="J709" t="str">
        <f t="shared" si="82"/>
        <v>Native</v>
      </c>
      <c r="K709" t="str">
        <f t="shared" si="83"/>
        <v>Yes</v>
      </c>
      <c r="L709">
        <v>1</v>
      </c>
      <c r="N709">
        <v>105</v>
      </c>
      <c r="O709">
        <v>9</v>
      </c>
      <c r="T709" t="str">
        <f t="shared" si="78"/>
        <v/>
      </c>
    </row>
    <row r="710" spans="1:20" x14ac:dyDescent="0.55000000000000004">
      <c r="A710">
        <v>11</v>
      </c>
      <c r="B710" s="15" t="str">
        <f t="shared" si="77"/>
        <v>11_1</v>
      </c>
      <c r="C710" s="20">
        <v>45776.430555439816</v>
      </c>
      <c r="D710" t="s">
        <v>175</v>
      </c>
      <c r="E710">
        <v>2</v>
      </c>
      <c r="F710" t="s">
        <v>127</v>
      </c>
      <c r="G710" t="str">
        <f t="shared" si="79"/>
        <v>Galaxias brevipinnis</v>
      </c>
      <c r="H710" t="str">
        <f t="shared" si="80"/>
        <v>Climbing_galaxias</v>
      </c>
      <c r="I710" t="str">
        <f t="shared" si="81"/>
        <v>Kōaro</v>
      </c>
      <c r="J710" t="str">
        <f t="shared" si="82"/>
        <v>Native</v>
      </c>
      <c r="K710" t="str">
        <f t="shared" si="83"/>
        <v>Yes</v>
      </c>
      <c r="L710">
        <v>1</v>
      </c>
      <c r="N710">
        <v>80</v>
      </c>
      <c r="O710">
        <v>3</v>
      </c>
      <c r="T710" t="str">
        <f t="shared" si="78"/>
        <v/>
      </c>
    </row>
    <row r="711" spans="1:20" x14ac:dyDescent="0.55000000000000004">
      <c r="A711">
        <v>11</v>
      </c>
      <c r="B711" s="15" t="str">
        <f t="shared" ref="B711:B774" si="84">A711 &amp; "_1"</f>
        <v>11_1</v>
      </c>
      <c r="C711" s="20">
        <v>45776.430555439816</v>
      </c>
      <c r="D711" t="s">
        <v>175</v>
      </c>
      <c r="E711">
        <v>2</v>
      </c>
      <c r="F711" t="s">
        <v>127</v>
      </c>
      <c r="G711" t="str">
        <f t="shared" si="79"/>
        <v>Galaxias brevipinnis</v>
      </c>
      <c r="H711" t="str">
        <f t="shared" si="80"/>
        <v>Climbing_galaxias</v>
      </c>
      <c r="I711" t="str">
        <f t="shared" si="81"/>
        <v>Kōaro</v>
      </c>
      <c r="J711" t="str">
        <f t="shared" si="82"/>
        <v>Native</v>
      </c>
      <c r="K711" t="str">
        <f t="shared" si="83"/>
        <v>Yes</v>
      </c>
      <c r="L711">
        <v>1</v>
      </c>
      <c r="N711">
        <v>140</v>
      </c>
      <c r="O711">
        <v>27</v>
      </c>
      <c r="T711" t="str">
        <f t="shared" si="78"/>
        <v/>
      </c>
    </row>
    <row r="712" spans="1:20" x14ac:dyDescent="0.55000000000000004">
      <c r="A712">
        <v>11</v>
      </c>
      <c r="B712" s="15" t="str">
        <f t="shared" si="84"/>
        <v>11_1</v>
      </c>
      <c r="C712" s="20">
        <v>45776.430555439816</v>
      </c>
      <c r="D712" t="s">
        <v>175</v>
      </c>
      <c r="E712">
        <v>2</v>
      </c>
      <c r="F712" t="s">
        <v>127</v>
      </c>
      <c r="G712" t="str">
        <f t="shared" si="79"/>
        <v>Galaxias brevipinnis</v>
      </c>
      <c r="H712" t="str">
        <f t="shared" si="80"/>
        <v>Climbing_galaxias</v>
      </c>
      <c r="I712" t="str">
        <f t="shared" si="81"/>
        <v>Kōaro</v>
      </c>
      <c r="J712" t="str">
        <f t="shared" si="82"/>
        <v>Native</v>
      </c>
      <c r="K712" t="str">
        <f t="shared" si="83"/>
        <v>Yes</v>
      </c>
      <c r="L712">
        <v>1</v>
      </c>
      <c r="N712">
        <v>100</v>
      </c>
      <c r="O712">
        <v>9</v>
      </c>
      <c r="T712" t="str">
        <f t="shared" si="78"/>
        <v/>
      </c>
    </row>
    <row r="713" spans="1:20" x14ac:dyDescent="0.55000000000000004">
      <c r="A713">
        <v>11</v>
      </c>
      <c r="B713" s="15" t="str">
        <f t="shared" si="84"/>
        <v>11_1</v>
      </c>
      <c r="C713" s="20">
        <v>45776.430555439816</v>
      </c>
      <c r="D713" t="s">
        <v>175</v>
      </c>
      <c r="E713">
        <v>2</v>
      </c>
      <c r="F713" t="s">
        <v>127</v>
      </c>
      <c r="G713" t="str">
        <f t="shared" si="79"/>
        <v>Galaxias brevipinnis</v>
      </c>
      <c r="H713" t="str">
        <f t="shared" si="80"/>
        <v>Climbing_galaxias</v>
      </c>
      <c r="I713" t="str">
        <f t="shared" si="81"/>
        <v>Kōaro</v>
      </c>
      <c r="J713" t="str">
        <f t="shared" si="82"/>
        <v>Native</v>
      </c>
      <c r="K713" t="str">
        <f t="shared" si="83"/>
        <v>Yes</v>
      </c>
      <c r="L713">
        <v>1</v>
      </c>
      <c r="N713">
        <v>95</v>
      </c>
      <c r="O713">
        <v>7</v>
      </c>
      <c r="T713" t="str">
        <f t="shared" si="78"/>
        <v/>
      </c>
    </row>
    <row r="714" spans="1:20" x14ac:dyDescent="0.55000000000000004">
      <c r="A714">
        <v>11</v>
      </c>
      <c r="B714" s="15" t="str">
        <f t="shared" si="84"/>
        <v>11_1</v>
      </c>
      <c r="C714" s="20">
        <v>45776.430555439816</v>
      </c>
      <c r="D714" t="s">
        <v>175</v>
      </c>
      <c r="E714">
        <v>2</v>
      </c>
      <c r="F714" t="s">
        <v>127</v>
      </c>
      <c r="G714" t="str">
        <f t="shared" si="79"/>
        <v>Galaxias brevipinnis</v>
      </c>
      <c r="H714" t="str">
        <f t="shared" si="80"/>
        <v>Climbing_galaxias</v>
      </c>
      <c r="I714" t="str">
        <f t="shared" si="81"/>
        <v>Kōaro</v>
      </c>
      <c r="J714" t="str">
        <f t="shared" si="82"/>
        <v>Native</v>
      </c>
      <c r="K714" t="str">
        <f t="shared" si="83"/>
        <v>Yes</v>
      </c>
      <c r="L714">
        <v>1</v>
      </c>
      <c r="N714">
        <v>100</v>
      </c>
      <c r="O714">
        <v>9</v>
      </c>
      <c r="T714" t="str">
        <f t="shared" si="78"/>
        <v/>
      </c>
    </row>
    <row r="715" spans="1:20" x14ac:dyDescent="0.55000000000000004">
      <c r="A715">
        <v>11</v>
      </c>
      <c r="B715" s="15" t="str">
        <f t="shared" si="84"/>
        <v>11_1</v>
      </c>
      <c r="C715" s="20">
        <v>45776.430555439816</v>
      </c>
      <c r="D715" t="s">
        <v>175</v>
      </c>
      <c r="E715">
        <v>2</v>
      </c>
      <c r="F715" t="s">
        <v>127</v>
      </c>
      <c r="G715" t="str">
        <f t="shared" si="79"/>
        <v>Galaxias brevipinnis</v>
      </c>
      <c r="H715" t="str">
        <f t="shared" si="80"/>
        <v>Climbing_galaxias</v>
      </c>
      <c r="I715" t="str">
        <f t="shared" si="81"/>
        <v>Kōaro</v>
      </c>
      <c r="J715" t="str">
        <f t="shared" si="82"/>
        <v>Native</v>
      </c>
      <c r="K715" t="str">
        <f t="shared" si="83"/>
        <v>Yes</v>
      </c>
      <c r="L715">
        <v>1</v>
      </c>
      <c r="N715">
        <v>93</v>
      </c>
      <c r="O715">
        <v>11</v>
      </c>
      <c r="T715" t="str">
        <f t="shared" si="78"/>
        <v/>
      </c>
    </row>
    <row r="716" spans="1:20" x14ac:dyDescent="0.55000000000000004">
      <c r="A716">
        <v>11</v>
      </c>
      <c r="B716" s="15" t="str">
        <f t="shared" si="84"/>
        <v>11_1</v>
      </c>
      <c r="C716" s="20">
        <v>45776.430555439816</v>
      </c>
      <c r="D716" t="s">
        <v>175</v>
      </c>
      <c r="E716">
        <v>2</v>
      </c>
      <c r="F716" t="s">
        <v>127</v>
      </c>
      <c r="G716" t="str">
        <f t="shared" si="79"/>
        <v>Galaxias brevipinnis</v>
      </c>
      <c r="H716" t="str">
        <f t="shared" si="80"/>
        <v>Climbing_galaxias</v>
      </c>
      <c r="I716" t="str">
        <f t="shared" si="81"/>
        <v>Kōaro</v>
      </c>
      <c r="J716" t="str">
        <f t="shared" si="82"/>
        <v>Native</v>
      </c>
      <c r="K716" t="str">
        <f t="shared" si="83"/>
        <v>Yes</v>
      </c>
      <c r="L716">
        <v>1</v>
      </c>
      <c r="N716">
        <v>80</v>
      </c>
      <c r="O716">
        <v>5</v>
      </c>
      <c r="T716" t="str">
        <f t="shared" si="78"/>
        <v/>
      </c>
    </row>
    <row r="717" spans="1:20" x14ac:dyDescent="0.55000000000000004">
      <c r="A717">
        <v>11</v>
      </c>
      <c r="B717" s="15" t="str">
        <f t="shared" si="84"/>
        <v>11_1</v>
      </c>
      <c r="C717" s="20">
        <v>45776.430555439816</v>
      </c>
      <c r="D717" t="s">
        <v>175</v>
      </c>
      <c r="E717">
        <v>2</v>
      </c>
      <c r="F717" t="s">
        <v>127</v>
      </c>
      <c r="G717" t="str">
        <f t="shared" si="79"/>
        <v>Galaxias brevipinnis</v>
      </c>
      <c r="H717" t="str">
        <f t="shared" si="80"/>
        <v>Climbing_galaxias</v>
      </c>
      <c r="I717" t="str">
        <f t="shared" si="81"/>
        <v>Kōaro</v>
      </c>
      <c r="J717" t="str">
        <f t="shared" si="82"/>
        <v>Native</v>
      </c>
      <c r="K717" t="str">
        <f t="shared" si="83"/>
        <v>Yes</v>
      </c>
      <c r="L717">
        <v>1</v>
      </c>
      <c r="N717">
        <v>93</v>
      </c>
      <c r="O717">
        <v>7</v>
      </c>
      <c r="T717" t="str">
        <f t="shared" si="78"/>
        <v/>
      </c>
    </row>
    <row r="718" spans="1:20" x14ac:dyDescent="0.55000000000000004">
      <c r="A718">
        <v>11</v>
      </c>
      <c r="B718" s="15" t="str">
        <f t="shared" si="84"/>
        <v>11_1</v>
      </c>
      <c r="C718" s="20">
        <v>45776.430555439816</v>
      </c>
      <c r="D718" t="s">
        <v>175</v>
      </c>
      <c r="E718">
        <v>2</v>
      </c>
      <c r="F718" t="s">
        <v>127</v>
      </c>
      <c r="G718" t="str">
        <f t="shared" si="79"/>
        <v>Galaxias brevipinnis</v>
      </c>
      <c r="H718" t="str">
        <f t="shared" si="80"/>
        <v>Climbing_galaxias</v>
      </c>
      <c r="I718" t="str">
        <f t="shared" si="81"/>
        <v>Kōaro</v>
      </c>
      <c r="J718" t="str">
        <f t="shared" si="82"/>
        <v>Native</v>
      </c>
      <c r="K718" t="str">
        <f t="shared" si="83"/>
        <v>Yes</v>
      </c>
      <c r="L718">
        <v>1</v>
      </c>
      <c r="N718">
        <v>85</v>
      </c>
      <c r="O718">
        <v>6</v>
      </c>
      <c r="T718" t="str">
        <f t="shared" si="78"/>
        <v/>
      </c>
    </row>
    <row r="719" spans="1:20" x14ac:dyDescent="0.55000000000000004">
      <c r="A719">
        <v>11</v>
      </c>
      <c r="B719" s="15" t="str">
        <f t="shared" si="84"/>
        <v>11_1</v>
      </c>
      <c r="C719" s="20">
        <v>45776.430555439816</v>
      </c>
      <c r="D719" t="s">
        <v>175</v>
      </c>
      <c r="E719">
        <v>2</v>
      </c>
      <c r="F719" t="s">
        <v>127</v>
      </c>
      <c r="G719" t="str">
        <f t="shared" si="79"/>
        <v>Galaxias brevipinnis</v>
      </c>
      <c r="H719" t="str">
        <f t="shared" si="80"/>
        <v>Climbing_galaxias</v>
      </c>
      <c r="I719" t="str">
        <f t="shared" si="81"/>
        <v>Kōaro</v>
      </c>
      <c r="J719" t="str">
        <f t="shared" si="82"/>
        <v>Native</v>
      </c>
      <c r="K719" t="str">
        <f t="shared" si="83"/>
        <v>Yes</v>
      </c>
      <c r="L719">
        <v>1</v>
      </c>
      <c r="N719">
        <v>114</v>
      </c>
      <c r="O719">
        <v>13</v>
      </c>
      <c r="T719" t="str">
        <f t="shared" si="78"/>
        <v/>
      </c>
    </row>
    <row r="720" spans="1:20" x14ac:dyDescent="0.55000000000000004">
      <c r="A720">
        <v>11</v>
      </c>
      <c r="B720" s="15" t="str">
        <f t="shared" si="84"/>
        <v>11_1</v>
      </c>
      <c r="C720" s="20">
        <v>45776.430555439816</v>
      </c>
      <c r="D720" t="s">
        <v>175</v>
      </c>
      <c r="E720">
        <v>2</v>
      </c>
      <c r="F720" t="s">
        <v>127</v>
      </c>
      <c r="G720" t="str">
        <f t="shared" si="79"/>
        <v>Galaxias brevipinnis</v>
      </c>
      <c r="H720" t="str">
        <f t="shared" si="80"/>
        <v>Climbing_galaxias</v>
      </c>
      <c r="I720" t="str">
        <f t="shared" si="81"/>
        <v>Kōaro</v>
      </c>
      <c r="J720" t="str">
        <f t="shared" si="82"/>
        <v>Native</v>
      </c>
      <c r="K720" t="str">
        <f t="shared" si="83"/>
        <v>Yes</v>
      </c>
      <c r="L720">
        <v>1</v>
      </c>
      <c r="N720">
        <v>93</v>
      </c>
      <c r="O720">
        <v>6</v>
      </c>
      <c r="T720" t="str">
        <f t="shared" si="78"/>
        <v/>
      </c>
    </row>
    <row r="721" spans="1:20" x14ac:dyDescent="0.55000000000000004">
      <c r="A721">
        <v>11</v>
      </c>
      <c r="B721" s="15" t="str">
        <f t="shared" si="84"/>
        <v>11_1</v>
      </c>
      <c r="C721" s="20">
        <v>45776.430555439816</v>
      </c>
      <c r="D721" t="s">
        <v>175</v>
      </c>
      <c r="E721">
        <v>2</v>
      </c>
      <c r="F721" t="s">
        <v>127</v>
      </c>
      <c r="G721" t="str">
        <f t="shared" si="79"/>
        <v>Galaxias brevipinnis</v>
      </c>
      <c r="H721" t="str">
        <f t="shared" si="80"/>
        <v>Climbing_galaxias</v>
      </c>
      <c r="I721" t="str">
        <f t="shared" si="81"/>
        <v>Kōaro</v>
      </c>
      <c r="J721" t="str">
        <f t="shared" si="82"/>
        <v>Native</v>
      </c>
      <c r="K721" t="str">
        <f t="shared" si="83"/>
        <v>Yes</v>
      </c>
      <c r="L721">
        <v>1</v>
      </c>
      <c r="N721">
        <v>100</v>
      </c>
      <c r="O721">
        <v>7</v>
      </c>
      <c r="T721" t="str">
        <f t="shared" si="78"/>
        <v/>
      </c>
    </row>
    <row r="722" spans="1:20" x14ac:dyDescent="0.55000000000000004">
      <c r="A722">
        <v>11</v>
      </c>
      <c r="B722" s="15" t="str">
        <f t="shared" si="84"/>
        <v>11_1</v>
      </c>
      <c r="C722" s="20">
        <v>45776.430555439816</v>
      </c>
      <c r="D722" t="s">
        <v>175</v>
      </c>
      <c r="E722">
        <v>2</v>
      </c>
      <c r="F722" t="s">
        <v>127</v>
      </c>
      <c r="G722" t="str">
        <f t="shared" si="79"/>
        <v>Galaxias brevipinnis</v>
      </c>
      <c r="H722" t="str">
        <f t="shared" si="80"/>
        <v>Climbing_galaxias</v>
      </c>
      <c r="I722" t="str">
        <f t="shared" si="81"/>
        <v>Kōaro</v>
      </c>
      <c r="J722" t="str">
        <f t="shared" si="82"/>
        <v>Native</v>
      </c>
      <c r="K722" t="str">
        <f t="shared" si="83"/>
        <v>Yes</v>
      </c>
      <c r="L722">
        <v>1</v>
      </c>
      <c r="N722">
        <v>95</v>
      </c>
      <c r="O722">
        <v>9</v>
      </c>
      <c r="T722" t="str">
        <f t="shared" si="78"/>
        <v/>
      </c>
    </row>
    <row r="723" spans="1:20" x14ac:dyDescent="0.55000000000000004">
      <c r="A723">
        <v>11</v>
      </c>
      <c r="B723" s="15" t="str">
        <f t="shared" si="84"/>
        <v>11_1</v>
      </c>
      <c r="C723" s="20">
        <v>45776.430555439816</v>
      </c>
      <c r="D723" t="s">
        <v>175</v>
      </c>
      <c r="E723">
        <v>2</v>
      </c>
      <c r="F723" t="s">
        <v>127</v>
      </c>
      <c r="G723" t="str">
        <f t="shared" si="79"/>
        <v>Galaxias brevipinnis</v>
      </c>
      <c r="H723" t="str">
        <f t="shared" si="80"/>
        <v>Climbing_galaxias</v>
      </c>
      <c r="I723" t="str">
        <f t="shared" si="81"/>
        <v>Kōaro</v>
      </c>
      <c r="J723" t="str">
        <f t="shared" si="82"/>
        <v>Native</v>
      </c>
      <c r="K723" t="str">
        <f t="shared" si="83"/>
        <v>Yes</v>
      </c>
      <c r="L723">
        <v>1</v>
      </c>
      <c r="N723">
        <v>68</v>
      </c>
      <c r="O723">
        <v>3</v>
      </c>
      <c r="T723" t="str">
        <f t="shared" si="78"/>
        <v/>
      </c>
    </row>
    <row r="724" spans="1:20" x14ac:dyDescent="0.55000000000000004">
      <c r="A724">
        <v>11</v>
      </c>
      <c r="B724" s="15" t="str">
        <f t="shared" si="84"/>
        <v>11_1</v>
      </c>
      <c r="C724" s="20">
        <v>45776.430555439816</v>
      </c>
      <c r="D724" t="s">
        <v>175</v>
      </c>
      <c r="E724">
        <v>2</v>
      </c>
      <c r="F724" t="s">
        <v>127</v>
      </c>
      <c r="G724" t="str">
        <f>VLOOKUP($F724, $W$1:$AB$10, 2, FALSE)</f>
        <v>Galaxias brevipinnis</v>
      </c>
      <c r="H724" t="str">
        <f>VLOOKUP($F724, $W$1:$AB$10, 3, FALSE)</f>
        <v>Climbing_galaxias</v>
      </c>
      <c r="I724" t="str">
        <f>VLOOKUP($F724, $W$1:$AB$10, 4, FALSE)</f>
        <v>Kōaro</v>
      </c>
      <c r="J724" t="str">
        <f>VLOOKUP($F724, $W$1:$AC$10, 5, FALSE)</f>
        <v>Native</v>
      </c>
      <c r="K724" t="str">
        <f>VLOOKUP($F724, $W$1:$AB$10, 6, FALSE)</f>
        <v>Yes</v>
      </c>
      <c r="L724">
        <v>1</v>
      </c>
      <c r="N724">
        <v>80</v>
      </c>
      <c r="O724">
        <v>4</v>
      </c>
      <c r="T724" t="str">
        <f t="shared" si="78"/>
        <v/>
      </c>
    </row>
    <row r="725" spans="1:20" x14ac:dyDescent="0.55000000000000004">
      <c r="A725">
        <v>11</v>
      </c>
      <c r="B725" s="15" t="str">
        <f t="shared" si="84"/>
        <v>11_1</v>
      </c>
      <c r="C725" s="20">
        <v>45776.430555439816</v>
      </c>
      <c r="D725" t="s">
        <v>175</v>
      </c>
      <c r="E725">
        <v>2</v>
      </c>
      <c r="F725" t="s">
        <v>133</v>
      </c>
      <c r="G725" t="str">
        <f>VLOOKUP($F725, $W$1:$AB$10, 2, FALSE)</f>
        <v>Retropinna retropinna</v>
      </c>
      <c r="H725" t="str">
        <f>VLOOKUP($F725, $W$1:$AB$10, 3, FALSE)</f>
        <v>Common_smelt</v>
      </c>
      <c r="I725" t="str">
        <f>VLOOKUP($F725, $W$1:$AB$10, 4, FALSE)</f>
        <v>Common_smelt</v>
      </c>
      <c r="J725" t="str">
        <f>VLOOKUP($F725, $W$1:$AC$10, 5, FALSE)</f>
        <v>Native</v>
      </c>
      <c r="K725" t="str">
        <f>VLOOKUP($F725, $W$1:$AB$10, 6, FALSE)</f>
        <v>No</v>
      </c>
      <c r="L725">
        <v>10</v>
      </c>
      <c r="O725">
        <v>9</v>
      </c>
      <c r="T725" t="str">
        <f t="shared" si="78"/>
        <v/>
      </c>
    </row>
    <row r="726" spans="1:20" x14ac:dyDescent="0.55000000000000004">
      <c r="A726">
        <v>11</v>
      </c>
      <c r="B726" s="15" t="str">
        <f t="shared" si="84"/>
        <v>11_1</v>
      </c>
      <c r="C726" s="20">
        <v>45776.430555439816</v>
      </c>
      <c r="D726" t="s">
        <v>175</v>
      </c>
      <c r="E726">
        <v>2</v>
      </c>
      <c r="F726" t="s">
        <v>135</v>
      </c>
      <c r="G726" t="str">
        <f>VLOOKUP($F726, $W$1:$AB$10, 2, FALSE)</f>
        <v>Gobiomorphus cotidianus</v>
      </c>
      <c r="H726" t="str">
        <f>VLOOKUP($F726, $W$1:$AB$10, 3, FALSE)</f>
        <v>Common_bully</v>
      </c>
      <c r="I726" t="str">
        <f>VLOOKUP($F726, $W$1:$AB$10, 4, FALSE)</f>
        <v>Toitoi</v>
      </c>
      <c r="J726" t="str">
        <f>VLOOKUP($F726, $W$1:$AC$10, 5, FALSE)</f>
        <v>Native</v>
      </c>
      <c r="K726" t="str">
        <f>VLOOKUP($F726, $W$1:$AB$10, 6, FALSE)</f>
        <v>No</v>
      </c>
      <c r="O726">
        <v>372</v>
      </c>
      <c r="S726">
        <v>2</v>
      </c>
      <c r="T726">
        <f t="shared" si="78"/>
        <v>473.17599999999999</v>
      </c>
    </row>
    <row r="727" spans="1:20" x14ac:dyDescent="0.55000000000000004">
      <c r="A727">
        <v>11</v>
      </c>
      <c r="B727" s="15" t="str">
        <f t="shared" si="84"/>
        <v>11_1</v>
      </c>
      <c r="C727" s="20">
        <v>45776.430555439816</v>
      </c>
      <c r="D727" t="s">
        <v>175</v>
      </c>
      <c r="E727">
        <v>2</v>
      </c>
      <c r="F727" t="s">
        <v>127</v>
      </c>
      <c r="G727" t="str">
        <f>VLOOKUP($F727, $W$1:$AB$10, 2, FALSE)</f>
        <v>Galaxias brevipinnis</v>
      </c>
      <c r="H727" t="str">
        <f>VLOOKUP($F727, $W$1:$AB$10, 3, FALSE)</f>
        <v>Climbing_galaxias</v>
      </c>
      <c r="I727" t="str">
        <f>VLOOKUP($F727, $W$1:$AB$10, 4, FALSE)</f>
        <v>Kōaro</v>
      </c>
      <c r="J727" t="str">
        <f>VLOOKUP($F727, $W$1:$AC$10, 5, FALSE)</f>
        <v>Native</v>
      </c>
      <c r="K727" t="str">
        <f>VLOOKUP($F727, $W$1:$AB$10, 6, FALSE)</f>
        <v>Yes</v>
      </c>
      <c r="L727">
        <v>1</v>
      </c>
      <c r="N727">
        <v>170</v>
      </c>
      <c r="O727">
        <v>60</v>
      </c>
      <c r="T727" t="str">
        <f t="shared" si="78"/>
        <v/>
      </c>
    </row>
    <row r="728" spans="1:20" x14ac:dyDescent="0.55000000000000004">
      <c r="A728">
        <v>11</v>
      </c>
      <c r="B728" s="15" t="str">
        <f t="shared" si="84"/>
        <v>11_1</v>
      </c>
      <c r="C728" s="20">
        <v>45776.430555439816</v>
      </c>
      <c r="D728" t="s">
        <v>175</v>
      </c>
      <c r="E728">
        <v>2</v>
      </c>
      <c r="F728" t="s">
        <v>127</v>
      </c>
      <c r="G728" t="str">
        <f t="shared" si="79"/>
        <v>Galaxias brevipinnis</v>
      </c>
      <c r="H728" t="str">
        <f t="shared" si="80"/>
        <v>Climbing_galaxias</v>
      </c>
      <c r="I728" t="str">
        <f t="shared" si="81"/>
        <v>Kōaro</v>
      </c>
      <c r="J728" t="str">
        <f t="shared" si="82"/>
        <v>Native</v>
      </c>
      <c r="K728" t="str">
        <f t="shared" si="83"/>
        <v>Yes</v>
      </c>
      <c r="L728">
        <v>1</v>
      </c>
      <c r="N728">
        <v>155</v>
      </c>
      <c r="O728">
        <v>43</v>
      </c>
      <c r="T728" t="str">
        <f t="shared" si="78"/>
        <v/>
      </c>
    </row>
    <row r="729" spans="1:20" x14ac:dyDescent="0.55000000000000004">
      <c r="A729">
        <v>11</v>
      </c>
      <c r="B729" s="15" t="str">
        <f t="shared" si="84"/>
        <v>11_1</v>
      </c>
      <c r="C729" s="20">
        <v>45776.430555439816</v>
      </c>
      <c r="D729" t="s">
        <v>175</v>
      </c>
      <c r="E729">
        <v>2</v>
      </c>
      <c r="F729" t="s">
        <v>127</v>
      </c>
      <c r="G729" t="str">
        <f t="shared" si="79"/>
        <v>Galaxias brevipinnis</v>
      </c>
      <c r="H729" t="str">
        <f t="shared" si="80"/>
        <v>Climbing_galaxias</v>
      </c>
      <c r="I729" t="str">
        <f t="shared" si="81"/>
        <v>Kōaro</v>
      </c>
      <c r="J729" t="str">
        <f t="shared" si="82"/>
        <v>Native</v>
      </c>
      <c r="K729" t="str">
        <f t="shared" si="83"/>
        <v>Yes</v>
      </c>
      <c r="L729">
        <v>1</v>
      </c>
      <c r="N729">
        <v>105</v>
      </c>
      <c r="O729">
        <v>12</v>
      </c>
      <c r="T729" t="str">
        <f t="shared" si="78"/>
        <v/>
      </c>
    </row>
    <row r="730" spans="1:20" x14ac:dyDescent="0.55000000000000004">
      <c r="A730">
        <v>11</v>
      </c>
      <c r="B730" s="15" t="str">
        <f t="shared" si="84"/>
        <v>11_1</v>
      </c>
      <c r="C730" s="20">
        <v>45776.430555439816</v>
      </c>
      <c r="D730" t="s">
        <v>175</v>
      </c>
      <c r="E730">
        <v>2</v>
      </c>
      <c r="F730" t="s">
        <v>127</v>
      </c>
      <c r="G730" t="str">
        <f t="shared" si="79"/>
        <v>Galaxias brevipinnis</v>
      </c>
      <c r="H730" t="str">
        <f t="shared" si="80"/>
        <v>Climbing_galaxias</v>
      </c>
      <c r="I730" t="str">
        <f t="shared" si="81"/>
        <v>Kōaro</v>
      </c>
      <c r="J730" t="str">
        <f t="shared" si="82"/>
        <v>Native</v>
      </c>
      <c r="K730" t="str">
        <f t="shared" si="83"/>
        <v>Yes</v>
      </c>
      <c r="L730">
        <v>1</v>
      </c>
      <c r="N730">
        <v>106</v>
      </c>
      <c r="O730">
        <v>12</v>
      </c>
      <c r="T730" t="str">
        <f t="shared" si="78"/>
        <v/>
      </c>
    </row>
    <row r="731" spans="1:20" x14ac:dyDescent="0.55000000000000004">
      <c r="A731">
        <v>11</v>
      </c>
      <c r="B731" s="15" t="str">
        <f t="shared" si="84"/>
        <v>11_1</v>
      </c>
      <c r="C731" s="20">
        <v>45776.430555439816</v>
      </c>
      <c r="D731" t="s">
        <v>175</v>
      </c>
      <c r="E731">
        <v>2</v>
      </c>
      <c r="F731" t="s">
        <v>127</v>
      </c>
      <c r="G731" t="str">
        <f t="shared" si="79"/>
        <v>Galaxias brevipinnis</v>
      </c>
      <c r="H731" t="str">
        <f t="shared" si="80"/>
        <v>Climbing_galaxias</v>
      </c>
      <c r="I731" t="str">
        <f t="shared" si="81"/>
        <v>Kōaro</v>
      </c>
      <c r="J731" t="str">
        <f t="shared" si="82"/>
        <v>Native</v>
      </c>
      <c r="K731" t="str">
        <f t="shared" si="83"/>
        <v>Yes</v>
      </c>
      <c r="L731">
        <v>1</v>
      </c>
      <c r="N731">
        <v>120</v>
      </c>
      <c r="O731">
        <v>19</v>
      </c>
      <c r="T731" t="str">
        <f t="shared" si="78"/>
        <v/>
      </c>
    </row>
    <row r="732" spans="1:20" x14ac:dyDescent="0.55000000000000004">
      <c r="A732">
        <v>11</v>
      </c>
      <c r="B732" s="15" t="str">
        <f t="shared" si="84"/>
        <v>11_1</v>
      </c>
      <c r="C732" s="20">
        <v>45776.430555439816</v>
      </c>
      <c r="D732" t="s">
        <v>175</v>
      </c>
      <c r="E732">
        <v>2</v>
      </c>
      <c r="F732" t="s">
        <v>127</v>
      </c>
      <c r="G732" t="str">
        <f t="shared" si="79"/>
        <v>Galaxias brevipinnis</v>
      </c>
      <c r="H732" t="str">
        <f t="shared" si="80"/>
        <v>Climbing_galaxias</v>
      </c>
      <c r="I732" t="str">
        <f t="shared" si="81"/>
        <v>Kōaro</v>
      </c>
      <c r="J732" t="str">
        <f t="shared" si="82"/>
        <v>Native</v>
      </c>
      <c r="K732" t="str">
        <f t="shared" si="83"/>
        <v>Yes</v>
      </c>
      <c r="L732">
        <v>1</v>
      </c>
      <c r="N732">
        <v>90</v>
      </c>
      <c r="O732">
        <v>8</v>
      </c>
      <c r="T732" t="str">
        <f t="shared" si="78"/>
        <v/>
      </c>
    </row>
    <row r="733" spans="1:20" x14ac:dyDescent="0.55000000000000004">
      <c r="A733">
        <v>11</v>
      </c>
      <c r="B733" s="15" t="str">
        <f t="shared" si="84"/>
        <v>11_1</v>
      </c>
      <c r="C733" s="20">
        <v>45776.430555439816</v>
      </c>
      <c r="D733" t="s">
        <v>175</v>
      </c>
      <c r="E733">
        <v>2</v>
      </c>
      <c r="F733" t="s">
        <v>127</v>
      </c>
      <c r="G733" t="str">
        <f t="shared" si="79"/>
        <v>Galaxias brevipinnis</v>
      </c>
      <c r="H733" t="str">
        <f t="shared" si="80"/>
        <v>Climbing_galaxias</v>
      </c>
      <c r="I733" t="str">
        <f t="shared" si="81"/>
        <v>Kōaro</v>
      </c>
      <c r="J733" t="str">
        <f t="shared" si="82"/>
        <v>Native</v>
      </c>
      <c r="K733" t="str">
        <f t="shared" si="83"/>
        <v>Yes</v>
      </c>
      <c r="L733">
        <v>1</v>
      </c>
      <c r="N733">
        <v>80</v>
      </c>
      <c r="O733">
        <v>5</v>
      </c>
      <c r="T733" t="str">
        <f t="shared" si="78"/>
        <v/>
      </c>
    </row>
    <row r="734" spans="1:20" x14ac:dyDescent="0.55000000000000004">
      <c r="A734">
        <v>11</v>
      </c>
      <c r="B734" s="15" t="str">
        <f t="shared" si="84"/>
        <v>11_1</v>
      </c>
      <c r="C734" s="20">
        <v>45776.430555439816</v>
      </c>
      <c r="D734" t="s">
        <v>175</v>
      </c>
      <c r="E734">
        <v>2</v>
      </c>
      <c r="F734" t="s">
        <v>127</v>
      </c>
      <c r="G734" t="str">
        <f t="shared" si="79"/>
        <v>Galaxias brevipinnis</v>
      </c>
      <c r="H734" t="str">
        <f t="shared" si="80"/>
        <v>Climbing_galaxias</v>
      </c>
      <c r="I734" t="str">
        <f t="shared" si="81"/>
        <v>Kōaro</v>
      </c>
      <c r="J734" t="str">
        <f t="shared" si="82"/>
        <v>Native</v>
      </c>
      <c r="K734" t="str">
        <f t="shared" si="83"/>
        <v>Yes</v>
      </c>
      <c r="L734">
        <v>1</v>
      </c>
      <c r="N734">
        <v>105</v>
      </c>
      <c r="O734">
        <v>10</v>
      </c>
      <c r="T734" t="str">
        <f t="shared" si="78"/>
        <v/>
      </c>
    </row>
    <row r="735" spans="1:20" x14ac:dyDescent="0.55000000000000004">
      <c r="A735">
        <v>11</v>
      </c>
      <c r="B735" s="15" t="str">
        <f t="shared" si="84"/>
        <v>11_1</v>
      </c>
      <c r="C735" s="20">
        <v>45776.430555439816</v>
      </c>
      <c r="D735" t="s">
        <v>175</v>
      </c>
      <c r="E735">
        <v>2</v>
      </c>
      <c r="F735" t="s">
        <v>127</v>
      </c>
      <c r="G735" t="str">
        <f t="shared" si="79"/>
        <v>Galaxias brevipinnis</v>
      </c>
      <c r="H735" t="str">
        <f t="shared" si="80"/>
        <v>Climbing_galaxias</v>
      </c>
      <c r="I735" t="str">
        <f t="shared" si="81"/>
        <v>Kōaro</v>
      </c>
      <c r="J735" t="str">
        <f t="shared" si="82"/>
        <v>Native</v>
      </c>
      <c r="K735" t="str">
        <f t="shared" si="83"/>
        <v>Yes</v>
      </c>
      <c r="L735">
        <v>1</v>
      </c>
      <c r="N735">
        <v>100</v>
      </c>
      <c r="O735">
        <v>7</v>
      </c>
      <c r="T735" t="str">
        <f t="shared" si="78"/>
        <v/>
      </c>
    </row>
    <row r="736" spans="1:20" x14ac:dyDescent="0.55000000000000004">
      <c r="A736">
        <v>11</v>
      </c>
      <c r="B736" s="15" t="str">
        <f t="shared" si="84"/>
        <v>11_1</v>
      </c>
      <c r="C736" s="20">
        <v>45776.430555439816</v>
      </c>
      <c r="D736" t="s">
        <v>175</v>
      </c>
      <c r="E736">
        <v>2</v>
      </c>
      <c r="F736" t="s">
        <v>127</v>
      </c>
      <c r="G736" t="str">
        <f t="shared" si="79"/>
        <v>Galaxias brevipinnis</v>
      </c>
      <c r="H736" t="str">
        <f t="shared" si="80"/>
        <v>Climbing_galaxias</v>
      </c>
      <c r="I736" t="str">
        <f t="shared" si="81"/>
        <v>Kōaro</v>
      </c>
      <c r="J736" t="str">
        <f t="shared" si="82"/>
        <v>Native</v>
      </c>
      <c r="K736" t="str">
        <f t="shared" si="83"/>
        <v>Yes</v>
      </c>
      <c r="L736">
        <v>1</v>
      </c>
      <c r="N736">
        <v>125</v>
      </c>
      <c r="O736">
        <v>22</v>
      </c>
      <c r="T736" t="str">
        <f t="shared" si="78"/>
        <v/>
      </c>
    </row>
    <row r="737" spans="1:20" x14ac:dyDescent="0.55000000000000004">
      <c r="A737">
        <v>11</v>
      </c>
      <c r="B737" s="15" t="str">
        <f t="shared" si="84"/>
        <v>11_1</v>
      </c>
      <c r="C737" s="20">
        <v>45776.430555439816</v>
      </c>
      <c r="D737" t="s">
        <v>175</v>
      </c>
      <c r="E737">
        <v>2</v>
      </c>
      <c r="F737" t="s">
        <v>127</v>
      </c>
      <c r="G737" t="str">
        <f t="shared" si="79"/>
        <v>Galaxias brevipinnis</v>
      </c>
      <c r="H737" t="str">
        <f t="shared" si="80"/>
        <v>Climbing_galaxias</v>
      </c>
      <c r="I737" t="str">
        <f t="shared" si="81"/>
        <v>Kōaro</v>
      </c>
      <c r="J737" t="str">
        <f t="shared" si="82"/>
        <v>Native</v>
      </c>
      <c r="K737" t="str">
        <f t="shared" si="83"/>
        <v>Yes</v>
      </c>
      <c r="L737">
        <v>1</v>
      </c>
      <c r="N737">
        <v>100</v>
      </c>
      <c r="O737">
        <v>9</v>
      </c>
      <c r="T737" t="str">
        <f t="shared" si="78"/>
        <v/>
      </c>
    </row>
    <row r="738" spans="1:20" x14ac:dyDescent="0.55000000000000004">
      <c r="A738">
        <v>11</v>
      </c>
      <c r="B738" s="15" t="str">
        <f t="shared" si="84"/>
        <v>11_1</v>
      </c>
      <c r="C738" s="20">
        <v>45776.430555439816</v>
      </c>
      <c r="D738" t="s">
        <v>175</v>
      </c>
      <c r="E738">
        <v>2</v>
      </c>
      <c r="F738" t="s">
        <v>127</v>
      </c>
      <c r="G738" t="str">
        <f t="shared" si="79"/>
        <v>Galaxias brevipinnis</v>
      </c>
      <c r="H738" t="str">
        <f t="shared" si="80"/>
        <v>Climbing_galaxias</v>
      </c>
      <c r="I738" t="str">
        <f t="shared" si="81"/>
        <v>Kōaro</v>
      </c>
      <c r="J738" t="str">
        <f t="shared" si="82"/>
        <v>Native</v>
      </c>
      <c r="K738" t="str">
        <f t="shared" si="83"/>
        <v>Yes</v>
      </c>
      <c r="L738">
        <v>1</v>
      </c>
      <c r="N738">
        <v>85</v>
      </c>
      <c r="O738">
        <v>4</v>
      </c>
      <c r="T738" t="str">
        <f t="shared" si="78"/>
        <v/>
      </c>
    </row>
    <row r="739" spans="1:20" x14ac:dyDescent="0.55000000000000004">
      <c r="A739">
        <v>11</v>
      </c>
      <c r="B739" s="15" t="str">
        <f t="shared" si="84"/>
        <v>11_1</v>
      </c>
      <c r="C739" s="20">
        <v>45776.430555439816</v>
      </c>
      <c r="D739" t="s">
        <v>175</v>
      </c>
      <c r="E739">
        <v>2</v>
      </c>
      <c r="F739" t="s">
        <v>127</v>
      </c>
      <c r="G739" t="str">
        <f t="shared" si="79"/>
        <v>Galaxias brevipinnis</v>
      </c>
      <c r="H739" t="str">
        <f t="shared" si="80"/>
        <v>Climbing_galaxias</v>
      </c>
      <c r="I739" t="str">
        <f t="shared" si="81"/>
        <v>Kōaro</v>
      </c>
      <c r="J739" t="str">
        <f t="shared" si="82"/>
        <v>Native</v>
      </c>
      <c r="K739" t="str">
        <f t="shared" si="83"/>
        <v>Yes</v>
      </c>
      <c r="L739">
        <v>1</v>
      </c>
      <c r="N739">
        <v>110</v>
      </c>
      <c r="O739">
        <v>11</v>
      </c>
      <c r="T739" t="str">
        <f t="shared" si="78"/>
        <v/>
      </c>
    </row>
    <row r="740" spans="1:20" x14ac:dyDescent="0.55000000000000004">
      <c r="A740">
        <v>11</v>
      </c>
      <c r="B740" s="15" t="str">
        <f t="shared" si="84"/>
        <v>11_1</v>
      </c>
      <c r="C740" s="20">
        <v>45776.430555439816</v>
      </c>
      <c r="D740" t="s">
        <v>175</v>
      </c>
      <c r="E740">
        <v>2</v>
      </c>
      <c r="F740" t="s">
        <v>127</v>
      </c>
      <c r="G740" t="str">
        <f t="shared" si="79"/>
        <v>Galaxias brevipinnis</v>
      </c>
      <c r="H740" t="str">
        <f t="shared" si="80"/>
        <v>Climbing_galaxias</v>
      </c>
      <c r="I740" t="str">
        <f t="shared" si="81"/>
        <v>Kōaro</v>
      </c>
      <c r="J740" t="str">
        <f t="shared" si="82"/>
        <v>Native</v>
      </c>
      <c r="K740" t="str">
        <f t="shared" si="83"/>
        <v>Yes</v>
      </c>
      <c r="L740">
        <v>1</v>
      </c>
      <c r="N740">
        <v>100</v>
      </c>
      <c r="O740">
        <v>8</v>
      </c>
      <c r="T740" t="str">
        <f t="shared" si="78"/>
        <v/>
      </c>
    </row>
    <row r="741" spans="1:20" x14ac:dyDescent="0.55000000000000004">
      <c r="A741">
        <v>11</v>
      </c>
      <c r="B741" s="15" t="str">
        <f t="shared" si="84"/>
        <v>11_1</v>
      </c>
      <c r="C741" s="20">
        <v>45776.430555439816</v>
      </c>
      <c r="D741" t="s">
        <v>175</v>
      </c>
      <c r="E741">
        <v>2</v>
      </c>
      <c r="F741" t="s">
        <v>127</v>
      </c>
      <c r="G741" t="str">
        <f t="shared" si="79"/>
        <v>Galaxias brevipinnis</v>
      </c>
      <c r="H741" t="str">
        <f t="shared" si="80"/>
        <v>Climbing_galaxias</v>
      </c>
      <c r="I741" t="str">
        <f t="shared" si="81"/>
        <v>Kōaro</v>
      </c>
      <c r="J741" t="str">
        <f t="shared" si="82"/>
        <v>Native</v>
      </c>
      <c r="K741" t="str">
        <f t="shared" si="83"/>
        <v>Yes</v>
      </c>
      <c r="L741">
        <v>1</v>
      </c>
      <c r="N741">
        <v>75</v>
      </c>
      <c r="O741">
        <v>4</v>
      </c>
      <c r="T741" t="str">
        <f t="shared" si="78"/>
        <v/>
      </c>
    </row>
    <row r="742" spans="1:20" x14ac:dyDescent="0.55000000000000004">
      <c r="A742">
        <v>11</v>
      </c>
      <c r="B742" s="15" t="str">
        <f t="shared" si="84"/>
        <v>11_1</v>
      </c>
      <c r="C742" s="20">
        <v>45776.430555439816</v>
      </c>
      <c r="D742" t="s">
        <v>175</v>
      </c>
      <c r="E742">
        <v>2</v>
      </c>
      <c r="F742" t="s">
        <v>127</v>
      </c>
      <c r="G742" t="str">
        <f t="shared" si="79"/>
        <v>Galaxias brevipinnis</v>
      </c>
      <c r="H742" t="str">
        <f t="shared" si="80"/>
        <v>Climbing_galaxias</v>
      </c>
      <c r="I742" t="str">
        <f t="shared" si="81"/>
        <v>Kōaro</v>
      </c>
      <c r="J742" t="str">
        <f t="shared" si="82"/>
        <v>Native</v>
      </c>
      <c r="K742" t="str">
        <f t="shared" si="83"/>
        <v>Yes</v>
      </c>
      <c r="L742">
        <v>1</v>
      </c>
      <c r="N742">
        <v>90</v>
      </c>
      <c r="O742">
        <v>9</v>
      </c>
      <c r="T742" t="str">
        <f t="shared" si="78"/>
        <v/>
      </c>
    </row>
    <row r="743" spans="1:20" x14ac:dyDescent="0.55000000000000004">
      <c r="A743">
        <v>11</v>
      </c>
      <c r="B743" s="15" t="str">
        <f t="shared" si="84"/>
        <v>11_1</v>
      </c>
      <c r="C743" s="20">
        <v>45776.430555439816</v>
      </c>
      <c r="D743" t="s">
        <v>175</v>
      </c>
      <c r="E743">
        <v>2</v>
      </c>
      <c r="F743" t="s">
        <v>127</v>
      </c>
      <c r="G743" t="str">
        <f t="shared" si="79"/>
        <v>Galaxias brevipinnis</v>
      </c>
      <c r="H743" t="str">
        <f t="shared" si="80"/>
        <v>Climbing_galaxias</v>
      </c>
      <c r="I743" t="str">
        <f t="shared" si="81"/>
        <v>Kōaro</v>
      </c>
      <c r="J743" t="str">
        <f t="shared" si="82"/>
        <v>Native</v>
      </c>
      <c r="K743" t="str">
        <f t="shared" si="83"/>
        <v>Yes</v>
      </c>
      <c r="L743">
        <v>1</v>
      </c>
      <c r="N743">
        <v>100</v>
      </c>
      <c r="O743">
        <v>7</v>
      </c>
      <c r="T743" t="str">
        <f t="shared" si="78"/>
        <v/>
      </c>
    </row>
    <row r="744" spans="1:20" x14ac:dyDescent="0.55000000000000004">
      <c r="A744">
        <v>11</v>
      </c>
      <c r="B744" s="15" t="str">
        <f t="shared" si="84"/>
        <v>11_1</v>
      </c>
      <c r="C744" s="20">
        <v>45776.430555439816</v>
      </c>
      <c r="D744" t="s">
        <v>175</v>
      </c>
      <c r="E744">
        <v>2</v>
      </c>
      <c r="F744" t="s">
        <v>127</v>
      </c>
      <c r="G744" t="str">
        <f t="shared" si="79"/>
        <v>Galaxias brevipinnis</v>
      </c>
      <c r="H744" t="str">
        <f t="shared" si="80"/>
        <v>Climbing_galaxias</v>
      </c>
      <c r="I744" t="str">
        <f t="shared" si="81"/>
        <v>Kōaro</v>
      </c>
      <c r="J744" t="str">
        <f t="shared" si="82"/>
        <v>Native</v>
      </c>
      <c r="K744" t="str">
        <f t="shared" si="83"/>
        <v>Yes</v>
      </c>
      <c r="L744">
        <v>1</v>
      </c>
      <c r="N744">
        <v>105</v>
      </c>
      <c r="O744">
        <v>12</v>
      </c>
      <c r="T744" t="str">
        <f t="shared" si="78"/>
        <v/>
      </c>
    </row>
    <row r="745" spans="1:20" x14ac:dyDescent="0.55000000000000004">
      <c r="A745">
        <v>11</v>
      </c>
      <c r="B745" s="15" t="str">
        <f t="shared" si="84"/>
        <v>11_1</v>
      </c>
      <c r="C745" s="20">
        <v>45776.430555439816</v>
      </c>
      <c r="D745" t="s">
        <v>175</v>
      </c>
      <c r="E745">
        <v>2</v>
      </c>
      <c r="F745" t="s">
        <v>127</v>
      </c>
      <c r="G745" t="str">
        <f t="shared" si="79"/>
        <v>Galaxias brevipinnis</v>
      </c>
      <c r="H745" t="str">
        <f t="shared" si="80"/>
        <v>Climbing_galaxias</v>
      </c>
      <c r="I745" t="str">
        <f t="shared" si="81"/>
        <v>Kōaro</v>
      </c>
      <c r="J745" t="str">
        <f t="shared" si="82"/>
        <v>Native</v>
      </c>
      <c r="K745" t="str">
        <f t="shared" si="83"/>
        <v>Yes</v>
      </c>
      <c r="L745">
        <v>1</v>
      </c>
      <c r="N745">
        <v>100</v>
      </c>
      <c r="O745">
        <v>9</v>
      </c>
      <c r="T745" t="str">
        <f t="shared" si="78"/>
        <v/>
      </c>
    </row>
    <row r="746" spans="1:20" x14ac:dyDescent="0.55000000000000004">
      <c r="A746">
        <v>11</v>
      </c>
      <c r="B746" s="15" t="str">
        <f t="shared" si="84"/>
        <v>11_1</v>
      </c>
      <c r="C746" s="20">
        <v>45776.430555439816</v>
      </c>
      <c r="D746" t="s">
        <v>175</v>
      </c>
      <c r="E746">
        <v>2</v>
      </c>
      <c r="F746" t="s">
        <v>127</v>
      </c>
      <c r="G746" t="str">
        <f t="shared" si="79"/>
        <v>Galaxias brevipinnis</v>
      </c>
      <c r="H746" t="str">
        <f t="shared" si="80"/>
        <v>Climbing_galaxias</v>
      </c>
      <c r="I746" t="str">
        <f t="shared" si="81"/>
        <v>Kōaro</v>
      </c>
      <c r="J746" t="str">
        <f t="shared" si="82"/>
        <v>Native</v>
      </c>
      <c r="K746" t="str">
        <f t="shared" si="83"/>
        <v>Yes</v>
      </c>
      <c r="L746">
        <v>1</v>
      </c>
      <c r="N746">
        <v>110</v>
      </c>
      <c r="O746">
        <v>14</v>
      </c>
      <c r="T746" t="str">
        <f t="shared" si="78"/>
        <v/>
      </c>
    </row>
    <row r="747" spans="1:20" x14ac:dyDescent="0.55000000000000004">
      <c r="A747">
        <v>11</v>
      </c>
      <c r="B747" s="15" t="str">
        <f t="shared" si="84"/>
        <v>11_1</v>
      </c>
      <c r="C747" s="20">
        <v>45776.430555439816</v>
      </c>
      <c r="D747" t="s">
        <v>175</v>
      </c>
      <c r="E747">
        <v>2</v>
      </c>
      <c r="F747" t="s">
        <v>127</v>
      </c>
      <c r="G747" t="str">
        <f t="shared" si="79"/>
        <v>Galaxias brevipinnis</v>
      </c>
      <c r="H747" t="str">
        <f t="shared" si="80"/>
        <v>Climbing_galaxias</v>
      </c>
      <c r="I747" t="str">
        <f t="shared" si="81"/>
        <v>Kōaro</v>
      </c>
      <c r="J747" t="str">
        <f t="shared" si="82"/>
        <v>Native</v>
      </c>
      <c r="K747" t="str">
        <f t="shared" si="83"/>
        <v>Yes</v>
      </c>
      <c r="L747">
        <v>1</v>
      </c>
      <c r="N747">
        <v>80</v>
      </c>
      <c r="O747">
        <v>4</v>
      </c>
      <c r="T747" t="str">
        <f t="shared" si="78"/>
        <v/>
      </c>
    </row>
    <row r="748" spans="1:20" x14ac:dyDescent="0.55000000000000004">
      <c r="A748">
        <v>11</v>
      </c>
      <c r="B748" s="15" t="str">
        <f t="shared" si="84"/>
        <v>11_1</v>
      </c>
      <c r="C748" s="20">
        <v>45776.430555439816</v>
      </c>
      <c r="D748" t="s">
        <v>175</v>
      </c>
      <c r="E748">
        <v>2</v>
      </c>
      <c r="F748" t="s">
        <v>127</v>
      </c>
      <c r="G748" t="str">
        <f t="shared" si="79"/>
        <v>Galaxias brevipinnis</v>
      </c>
      <c r="H748" t="str">
        <f t="shared" si="80"/>
        <v>Climbing_galaxias</v>
      </c>
      <c r="I748" t="str">
        <f t="shared" si="81"/>
        <v>Kōaro</v>
      </c>
      <c r="J748" t="str">
        <f t="shared" si="82"/>
        <v>Native</v>
      </c>
      <c r="K748" t="str">
        <f t="shared" si="83"/>
        <v>Yes</v>
      </c>
      <c r="L748">
        <v>1</v>
      </c>
      <c r="N748">
        <v>108</v>
      </c>
      <c r="O748">
        <v>12</v>
      </c>
      <c r="T748" t="str">
        <f t="shared" si="78"/>
        <v/>
      </c>
    </row>
    <row r="749" spans="1:20" x14ac:dyDescent="0.55000000000000004">
      <c r="A749">
        <v>11</v>
      </c>
      <c r="B749" s="15" t="str">
        <f t="shared" si="84"/>
        <v>11_1</v>
      </c>
      <c r="C749" s="20">
        <v>45776.430555439816</v>
      </c>
      <c r="D749" t="s">
        <v>175</v>
      </c>
      <c r="E749">
        <v>2</v>
      </c>
      <c r="F749" t="s">
        <v>127</v>
      </c>
      <c r="G749" t="str">
        <f t="shared" si="79"/>
        <v>Galaxias brevipinnis</v>
      </c>
      <c r="H749" t="str">
        <f t="shared" si="80"/>
        <v>Climbing_galaxias</v>
      </c>
      <c r="I749" t="str">
        <f t="shared" si="81"/>
        <v>Kōaro</v>
      </c>
      <c r="J749" t="str">
        <f t="shared" si="82"/>
        <v>Native</v>
      </c>
      <c r="K749" t="str">
        <f t="shared" si="83"/>
        <v>Yes</v>
      </c>
      <c r="L749">
        <v>1</v>
      </c>
      <c r="N749">
        <v>90</v>
      </c>
      <c r="O749">
        <v>7</v>
      </c>
      <c r="T749" t="str">
        <f t="shared" si="78"/>
        <v/>
      </c>
    </row>
    <row r="750" spans="1:20" x14ac:dyDescent="0.55000000000000004">
      <c r="A750">
        <v>11</v>
      </c>
      <c r="B750" s="15" t="str">
        <f t="shared" si="84"/>
        <v>11_1</v>
      </c>
      <c r="C750" s="20">
        <v>45776.430555439816</v>
      </c>
      <c r="D750" t="s">
        <v>175</v>
      </c>
      <c r="E750">
        <v>2</v>
      </c>
      <c r="F750" t="s">
        <v>127</v>
      </c>
      <c r="G750" t="str">
        <f t="shared" si="79"/>
        <v>Galaxias brevipinnis</v>
      </c>
      <c r="H750" t="str">
        <f t="shared" si="80"/>
        <v>Climbing_galaxias</v>
      </c>
      <c r="I750" t="str">
        <f t="shared" si="81"/>
        <v>Kōaro</v>
      </c>
      <c r="J750" t="str">
        <f t="shared" si="82"/>
        <v>Native</v>
      </c>
      <c r="K750" t="str">
        <f t="shared" si="83"/>
        <v>Yes</v>
      </c>
      <c r="L750">
        <v>1</v>
      </c>
      <c r="N750">
        <v>90</v>
      </c>
      <c r="O750">
        <v>6</v>
      </c>
      <c r="T750" t="str">
        <f t="shared" si="78"/>
        <v/>
      </c>
    </row>
    <row r="751" spans="1:20" x14ac:dyDescent="0.55000000000000004">
      <c r="A751">
        <v>11</v>
      </c>
      <c r="B751" s="15" t="str">
        <f t="shared" si="84"/>
        <v>11_1</v>
      </c>
      <c r="C751" s="20">
        <v>45776.430555439816</v>
      </c>
      <c r="D751" t="s">
        <v>175</v>
      </c>
      <c r="E751">
        <v>2</v>
      </c>
      <c r="F751" t="s">
        <v>127</v>
      </c>
      <c r="G751" t="str">
        <f t="shared" si="79"/>
        <v>Galaxias brevipinnis</v>
      </c>
      <c r="H751" t="str">
        <f t="shared" si="80"/>
        <v>Climbing_galaxias</v>
      </c>
      <c r="I751" t="str">
        <f t="shared" si="81"/>
        <v>Kōaro</v>
      </c>
      <c r="J751" t="str">
        <f t="shared" si="82"/>
        <v>Native</v>
      </c>
      <c r="K751" t="str">
        <f t="shared" si="83"/>
        <v>Yes</v>
      </c>
      <c r="L751">
        <v>1</v>
      </c>
      <c r="N751">
        <v>75</v>
      </c>
      <c r="O751">
        <v>7</v>
      </c>
      <c r="T751" t="str">
        <f t="shared" si="78"/>
        <v/>
      </c>
    </row>
    <row r="752" spans="1:20" x14ac:dyDescent="0.55000000000000004">
      <c r="A752">
        <v>11</v>
      </c>
      <c r="B752" s="15" t="str">
        <f t="shared" si="84"/>
        <v>11_1</v>
      </c>
      <c r="C752" s="20">
        <v>45776.430555439816</v>
      </c>
      <c r="D752" t="s">
        <v>175</v>
      </c>
      <c r="E752">
        <v>2</v>
      </c>
      <c r="F752" t="s">
        <v>127</v>
      </c>
      <c r="G752" t="str">
        <f t="shared" si="79"/>
        <v>Galaxias brevipinnis</v>
      </c>
      <c r="H752" t="str">
        <f t="shared" si="80"/>
        <v>Climbing_galaxias</v>
      </c>
      <c r="I752" t="str">
        <f t="shared" si="81"/>
        <v>Kōaro</v>
      </c>
      <c r="J752" t="str">
        <f t="shared" si="82"/>
        <v>Native</v>
      </c>
      <c r="K752" t="str">
        <f t="shared" si="83"/>
        <v>Yes</v>
      </c>
      <c r="L752">
        <v>1</v>
      </c>
      <c r="N752">
        <v>90</v>
      </c>
      <c r="O752">
        <v>6</v>
      </c>
      <c r="T752" t="str">
        <f t="shared" si="78"/>
        <v/>
      </c>
    </row>
    <row r="753" spans="1:21" x14ac:dyDescent="0.55000000000000004">
      <c r="A753">
        <v>11</v>
      </c>
      <c r="B753" s="15" t="str">
        <f t="shared" si="84"/>
        <v>11_1</v>
      </c>
      <c r="C753" s="20">
        <v>45776.430555439816</v>
      </c>
      <c r="D753" t="s">
        <v>175</v>
      </c>
      <c r="E753">
        <v>2</v>
      </c>
      <c r="F753" t="s">
        <v>115</v>
      </c>
      <c r="G753" t="str">
        <f t="shared" si="79"/>
        <v>Paranephrops planifrons</v>
      </c>
      <c r="H753" t="str">
        <f t="shared" si="80"/>
        <v>Freshwater_crayfish</v>
      </c>
      <c r="I753" t="str">
        <f t="shared" si="81"/>
        <v>Kōura</v>
      </c>
      <c r="J753" t="str">
        <f t="shared" si="82"/>
        <v>Native</v>
      </c>
      <c r="K753" t="str">
        <f t="shared" si="83"/>
        <v>Yes</v>
      </c>
      <c r="L753">
        <v>1</v>
      </c>
      <c r="M753" t="s">
        <v>177</v>
      </c>
      <c r="N753">
        <v>27.08</v>
      </c>
      <c r="O753">
        <v>40</v>
      </c>
      <c r="T753" t="str">
        <f t="shared" si="78"/>
        <v/>
      </c>
    </row>
    <row r="754" spans="1:21" x14ac:dyDescent="0.55000000000000004">
      <c r="A754">
        <v>11</v>
      </c>
      <c r="B754" s="15" t="str">
        <f t="shared" si="84"/>
        <v>11_1</v>
      </c>
      <c r="C754" s="20">
        <v>45776.430555439816</v>
      </c>
      <c r="D754" t="s">
        <v>175</v>
      </c>
      <c r="E754">
        <v>2</v>
      </c>
      <c r="F754" t="s">
        <v>115</v>
      </c>
      <c r="G754" t="str">
        <f t="shared" si="79"/>
        <v>Paranephrops planifrons</v>
      </c>
      <c r="H754" t="str">
        <f t="shared" si="80"/>
        <v>Freshwater_crayfish</v>
      </c>
      <c r="I754" t="str">
        <f t="shared" si="81"/>
        <v>Kōura</v>
      </c>
      <c r="J754" t="str">
        <f t="shared" si="82"/>
        <v>Native</v>
      </c>
      <c r="K754" t="str">
        <f t="shared" si="83"/>
        <v>Yes</v>
      </c>
      <c r="L754">
        <v>1</v>
      </c>
      <c r="M754" t="s">
        <v>177</v>
      </c>
      <c r="N754">
        <v>28.36</v>
      </c>
      <c r="O754">
        <v>41</v>
      </c>
      <c r="T754" t="str">
        <f t="shared" si="78"/>
        <v/>
      </c>
    </row>
    <row r="755" spans="1:21" x14ac:dyDescent="0.55000000000000004">
      <c r="A755">
        <v>11</v>
      </c>
      <c r="B755" s="15" t="str">
        <f t="shared" si="84"/>
        <v>11_1</v>
      </c>
      <c r="C755" s="20">
        <v>45776.430555439816</v>
      </c>
      <c r="D755" t="s">
        <v>175</v>
      </c>
      <c r="E755">
        <v>2</v>
      </c>
      <c r="F755" t="s">
        <v>115</v>
      </c>
      <c r="G755" t="str">
        <f t="shared" si="79"/>
        <v>Paranephrops planifrons</v>
      </c>
      <c r="H755" t="str">
        <f t="shared" si="80"/>
        <v>Freshwater_crayfish</v>
      </c>
      <c r="I755" t="str">
        <f t="shared" si="81"/>
        <v>Kōura</v>
      </c>
      <c r="J755" t="str">
        <f t="shared" si="82"/>
        <v>Native</v>
      </c>
      <c r="K755" t="str">
        <f t="shared" si="83"/>
        <v>Yes</v>
      </c>
      <c r="L755">
        <v>1</v>
      </c>
      <c r="M755" t="s">
        <v>176</v>
      </c>
      <c r="N755">
        <v>24</v>
      </c>
      <c r="O755">
        <v>11</v>
      </c>
      <c r="T755" t="str">
        <f t="shared" si="78"/>
        <v/>
      </c>
    </row>
    <row r="756" spans="1:21" x14ac:dyDescent="0.55000000000000004">
      <c r="A756">
        <v>11</v>
      </c>
      <c r="B756" s="15" t="str">
        <f t="shared" si="84"/>
        <v>11_1</v>
      </c>
      <c r="C756" s="20">
        <v>45776.430555439816</v>
      </c>
      <c r="D756" t="s">
        <v>175</v>
      </c>
      <c r="E756">
        <v>2</v>
      </c>
      <c r="F756" t="s">
        <v>115</v>
      </c>
      <c r="G756" t="str">
        <f t="shared" si="79"/>
        <v>Paranephrops planifrons</v>
      </c>
      <c r="H756" t="str">
        <f t="shared" si="80"/>
        <v>Freshwater_crayfish</v>
      </c>
      <c r="I756" t="str">
        <f t="shared" si="81"/>
        <v>Kōura</v>
      </c>
      <c r="J756" t="str">
        <f t="shared" si="82"/>
        <v>Native</v>
      </c>
      <c r="K756" t="str">
        <f t="shared" si="83"/>
        <v>Yes</v>
      </c>
      <c r="L756">
        <v>1</v>
      </c>
      <c r="M756" t="s">
        <v>176</v>
      </c>
      <c r="N756">
        <v>20</v>
      </c>
      <c r="O756">
        <v>6</v>
      </c>
      <c r="T756" t="str">
        <f t="shared" si="78"/>
        <v/>
      </c>
    </row>
    <row r="757" spans="1:21" x14ac:dyDescent="0.55000000000000004">
      <c r="A757">
        <v>11</v>
      </c>
      <c r="B757" s="15" t="str">
        <f t="shared" si="84"/>
        <v>11_1</v>
      </c>
      <c r="C757" s="20">
        <v>45776.430555439816</v>
      </c>
      <c r="D757" t="s">
        <v>175</v>
      </c>
      <c r="E757">
        <v>2</v>
      </c>
      <c r="F757" t="s">
        <v>115</v>
      </c>
      <c r="G757" t="str">
        <f t="shared" si="79"/>
        <v>Paranephrops planifrons</v>
      </c>
      <c r="H757" t="str">
        <f t="shared" si="80"/>
        <v>Freshwater_crayfish</v>
      </c>
      <c r="I757" t="str">
        <f t="shared" si="81"/>
        <v>Kōura</v>
      </c>
      <c r="J757" t="str">
        <f t="shared" si="82"/>
        <v>Native</v>
      </c>
      <c r="K757" t="str">
        <f t="shared" si="83"/>
        <v>Yes</v>
      </c>
      <c r="L757">
        <v>1</v>
      </c>
      <c r="M757" t="s">
        <v>177</v>
      </c>
      <c r="N757">
        <v>28</v>
      </c>
      <c r="O757">
        <v>17</v>
      </c>
      <c r="T757" t="str">
        <f t="shared" ref="T757:T820" si="85">IF(S757&lt;&gt;"", S757*236.588, "")</f>
        <v/>
      </c>
    </row>
    <row r="758" spans="1:21" x14ac:dyDescent="0.55000000000000004">
      <c r="A758">
        <v>11</v>
      </c>
      <c r="B758" s="15" t="str">
        <f t="shared" si="84"/>
        <v>11_1</v>
      </c>
      <c r="C758" s="20">
        <v>45776.430555439816</v>
      </c>
      <c r="D758" t="s">
        <v>175</v>
      </c>
      <c r="E758">
        <v>2</v>
      </c>
      <c r="F758" t="s">
        <v>115</v>
      </c>
      <c r="G758" t="str">
        <f t="shared" si="79"/>
        <v>Paranephrops planifrons</v>
      </c>
      <c r="H758" t="str">
        <f t="shared" si="80"/>
        <v>Freshwater_crayfish</v>
      </c>
      <c r="I758" t="str">
        <f t="shared" si="81"/>
        <v>Kōura</v>
      </c>
      <c r="J758" t="str">
        <f t="shared" si="82"/>
        <v>Native</v>
      </c>
      <c r="K758" t="str">
        <f t="shared" si="83"/>
        <v>Yes</v>
      </c>
      <c r="L758">
        <v>1</v>
      </c>
      <c r="M758" t="s">
        <v>177</v>
      </c>
      <c r="N758">
        <v>18</v>
      </c>
      <c r="O758">
        <v>5</v>
      </c>
      <c r="T758" t="str">
        <f t="shared" si="85"/>
        <v/>
      </c>
    </row>
    <row r="759" spans="1:21" x14ac:dyDescent="0.55000000000000004">
      <c r="A759">
        <v>11</v>
      </c>
      <c r="B759" s="15" t="str">
        <f t="shared" si="84"/>
        <v>11_1</v>
      </c>
      <c r="C759" s="20">
        <v>45776.430555439816</v>
      </c>
      <c r="D759" t="s">
        <v>175</v>
      </c>
      <c r="E759">
        <v>2</v>
      </c>
      <c r="F759" t="s">
        <v>115</v>
      </c>
      <c r="G759" t="str">
        <f t="shared" si="79"/>
        <v>Paranephrops planifrons</v>
      </c>
      <c r="H759" t="str">
        <f t="shared" si="80"/>
        <v>Freshwater_crayfish</v>
      </c>
      <c r="I759" t="str">
        <f t="shared" si="81"/>
        <v>Kōura</v>
      </c>
      <c r="J759" t="str">
        <f t="shared" si="82"/>
        <v>Native</v>
      </c>
      <c r="K759" t="str">
        <f t="shared" si="83"/>
        <v>Yes</v>
      </c>
      <c r="L759">
        <v>1</v>
      </c>
      <c r="M759" t="s">
        <v>176</v>
      </c>
      <c r="N759">
        <v>21</v>
      </c>
      <c r="O759">
        <v>7</v>
      </c>
      <c r="T759" t="str">
        <f t="shared" si="85"/>
        <v/>
      </c>
    </row>
    <row r="760" spans="1:21" x14ac:dyDescent="0.55000000000000004">
      <c r="A760">
        <v>11</v>
      </c>
      <c r="B760" s="15" t="str">
        <f t="shared" si="84"/>
        <v>11_1</v>
      </c>
      <c r="C760" s="20">
        <v>45776.430555439816</v>
      </c>
      <c r="D760" t="s">
        <v>175</v>
      </c>
      <c r="E760">
        <v>2</v>
      </c>
      <c r="F760" t="s">
        <v>115</v>
      </c>
      <c r="G760" t="str">
        <f t="shared" si="79"/>
        <v>Paranephrops planifrons</v>
      </c>
      <c r="H760" t="str">
        <f t="shared" si="80"/>
        <v>Freshwater_crayfish</v>
      </c>
      <c r="I760" t="str">
        <f t="shared" si="81"/>
        <v>Kōura</v>
      </c>
      <c r="J760" t="str">
        <f t="shared" si="82"/>
        <v>Native</v>
      </c>
      <c r="K760" t="str">
        <f t="shared" si="83"/>
        <v>Yes</v>
      </c>
      <c r="L760">
        <v>1</v>
      </c>
      <c r="M760" t="s">
        <v>176</v>
      </c>
      <c r="N760">
        <v>21</v>
      </c>
      <c r="O760">
        <v>9</v>
      </c>
      <c r="T760" t="str">
        <f t="shared" si="85"/>
        <v/>
      </c>
    </row>
    <row r="761" spans="1:21" x14ac:dyDescent="0.55000000000000004">
      <c r="A761">
        <v>11</v>
      </c>
      <c r="B761" s="15" t="str">
        <f t="shared" si="84"/>
        <v>11_1</v>
      </c>
      <c r="C761" s="20">
        <v>45776.430555439816</v>
      </c>
      <c r="D761" t="s">
        <v>175</v>
      </c>
      <c r="E761">
        <v>2</v>
      </c>
      <c r="F761" t="s">
        <v>133</v>
      </c>
      <c r="G761" t="str">
        <f t="shared" si="79"/>
        <v>Retropinna retropinna</v>
      </c>
      <c r="H761" t="str">
        <f t="shared" si="80"/>
        <v>Common_smelt</v>
      </c>
      <c r="I761" t="str">
        <f t="shared" si="81"/>
        <v>Common_smelt</v>
      </c>
      <c r="J761" t="str">
        <f t="shared" si="82"/>
        <v>Native</v>
      </c>
      <c r="K761" t="str">
        <f t="shared" si="83"/>
        <v>No</v>
      </c>
      <c r="L761">
        <v>23</v>
      </c>
      <c r="O761">
        <v>20</v>
      </c>
      <c r="T761" t="str">
        <f t="shared" si="85"/>
        <v/>
      </c>
      <c r="U761" t="s">
        <v>184</v>
      </c>
    </row>
    <row r="762" spans="1:21" x14ac:dyDescent="0.55000000000000004">
      <c r="A762">
        <v>11</v>
      </c>
      <c r="B762" s="15" t="str">
        <f t="shared" si="84"/>
        <v>11_1</v>
      </c>
      <c r="C762" s="20">
        <v>45776.430555439816</v>
      </c>
      <c r="D762" t="s">
        <v>175</v>
      </c>
      <c r="E762">
        <v>2</v>
      </c>
      <c r="F762" t="s">
        <v>135</v>
      </c>
      <c r="G762" t="str">
        <f t="shared" si="79"/>
        <v>Gobiomorphus cotidianus</v>
      </c>
      <c r="H762" t="str">
        <f t="shared" si="80"/>
        <v>Common_bully</v>
      </c>
      <c r="I762" t="str">
        <f t="shared" si="81"/>
        <v>Toitoi</v>
      </c>
      <c r="J762" t="str">
        <f t="shared" si="82"/>
        <v>Native</v>
      </c>
      <c r="K762" t="str">
        <f t="shared" si="83"/>
        <v>No</v>
      </c>
      <c r="O762">
        <v>460</v>
      </c>
      <c r="S762">
        <v>2</v>
      </c>
      <c r="T762">
        <f t="shared" si="85"/>
        <v>473.17599999999999</v>
      </c>
    </row>
    <row r="763" spans="1:21" x14ac:dyDescent="0.55000000000000004">
      <c r="A763">
        <v>12</v>
      </c>
      <c r="B763" s="15" t="str">
        <f t="shared" si="84"/>
        <v>12_1</v>
      </c>
      <c r="C763" s="20">
        <v>45776.479166666664</v>
      </c>
      <c r="D763" t="s">
        <v>174</v>
      </c>
      <c r="E763">
        <v>2</v>
      </c>
      <c r="F763" t="s">
        <v>135</v>
      </c>
      <c r="G763" t="str">
        <f t="shared" si="79"/>
        <v>Gobiomorphus cotidianus</v>
      </c>
      <c r="H763" t="str">
        <f t="shared" si="80"/>
        <v>Common_bully</v>
      </c>
      <c r="I763" t="str">
        <f t="shared" si="81"/>
        <v>Toitoi</v>
      </c>
      <c r="J763" t="str">
        <f t="shared" si="82"/>
        <v>Native</v>
      </c>
      <c r="K763" t="str">
        <f t="shared" si="83"/>
        <v>No</v>
      </c>
      <c r="L763">
        <v>9</v>
      </c>
      <c r="O763">
        <v>9</v>
      </c>
      <c r="T763" t="str">
        <f t="shared" si="85"/>
        <v/>
      </c>
    </row>
    <row r="764" spans="1:21" x14ac:dyDescent="0.55000000000000004">
      <c r="A764">
        <v>12</v>
      </c>
      <c r="B764" s="15" t="str">
        <f t="shared" si="84"/>
        <v>12_1</v>
      </c>
      <c r="C764" s="20">
        <v>45776.479166666664</v>
      </c>
      <c r="D764" t="s">
        <v>174</v>
      </c>
      <c r="E764">
        <v>2</v>
      </c>
      <c r="F764" t="s">
        <v>115</v>
      </c>
      <c r="G764" t="str">
        <f t="shared" si="79"/>
        <v>Paranephrops planifrons</v>
      </c>
      <c r="H764" t="str">
        <f t="shared" si="80"/>
        <v>Freshwater_crayfish</v>
      </c>
      <c r="I764" t="str">
        <f t="shared" si="81"/>
        <v>Kōura</v>
      </c>
      <c r="J764" t="str">
        <f t="shared" si="82"/>
        <v>Native</v>
      </c>
      <c r="K764" t="str">
        <f t="shared" si="83"/>
        <v>Yes</v>
      </c>
      <c r="L764">
        <v>1</v>
      </c>
      <c r="M764" t="s">
        <v>176</v>
      </c>
      <c r="N764">
        <v>28</v>
      </c>
      <c r="O764">
        <v>17</v>
      </c>
      <c r="T764" t="str">
        <f t="shared" si="85"/>
        <v/>
      </c>
    </row>
    <row r="765" spans="1:21" x14ac:dyDescent="0.55000000000000004">
      <c r="A765">
        <v>12</v>
      </c>
      <c r="B765" s="15" t="str">
        <f t="shared" si="84"/>
        <v>12_1</v>
      </c>
      <c r="C765" s="20">
        <v>45776.479166666664</v>
      </c>
      <c r="D765" t="s">
        <v>175</v>
      </c>
      <c r="E765">
        <v>2</v>
      </c>
      <c r="F765" t="s">
        <v>115</v>
      </c>
      <c r="G765" t="str">
        <f t="shared" si="79"/>
        <v>Paranephrops planifrons</v>
      </c>
      <c r="H765" t="str">
        <f t="shared" si="80"/>
        <v>Freshwater_crayfish</v>
      </c>
      <c r="I765" t="str">
        <f t="shared" si="81"/>
        <v>Kōura</v>
      </c>
      <c r="J765" t="str">
        <f t="shared" si="82"/>
        <v>Native</v>
      </c>
      <c r="K765" t="str">
        <f t="shared" si="83"/>
        <v>Yes</v>
      </c>
      <c r="L765">
        <v>1</v>
      </c>
      <c r="M765" t="s">
        <v>176</v>
      </c>
      <c r="N765">
        <v>22</v>
      </c>
      <c r="O765">
        <v>8</v>
      </c>
      <c r="T765" t="str">
        <f t="shared" si="85"/>
        <v/>
      </c>
    </row>
    <row r="766" spans="1:21" x14ac:dyDescent="0.55000000000000004">
      <c r="A766">
        <v>12</v>
      </c>
      <c r="B766" s="15" t="str">
        <f t="shared" si="84"/>
        <v>12_1</v>
      </c>
      <c r="C766" s="20">
        <v>45776.479166666664</v>
      </c>
      <c r="D766" t="s">
        <v>175</v>
      </c>
      <c r="E766">
        <v>2</v>
      </c>
      <c r="F766" t="s">
        <v>115</v>
      </c>
      <c r="G766" t="str">
        <f t="shared" si="79"/>
        <v>Paranephrops planifrons</v>
      </c>
      <c r="H766" t="str">
        <f t="shared" si="80"/>
        <v>Freshwater_crayfish</v>
      </c>
      <c r="I766" t="str">
        <f t="shared" si="81"/>
        <v>Kōura</v>
      </c>
      <c r="J766" t="str">
        <f t="shared" si="82"/>
        <v>Native</v>
      </c>
      <c r="K766" t="str">
        <f t="shared" si="83"/>
        <v>Yes</v>
      </c>
      <c r="L766">
        <v>1</v>
      </c>
      <c r="M766" t="s">
        <v>177</v>
      </c>
      <c r="N766">
        <v>25</v>
      </c>
      <c r="O766">
        <v>10</v>
      </c>
      <c r="T766" t="str">
        <f t="shared" si="85"/>
        <v/>
      </c>
    </row>
    <row r="767" spans="1:21" x14ac:dyDescent="0.55000000000000004">
      <c r="A767">
        <v>12</v>
      </c>
      <c r="B767" s="15" t="str">
        <f t="shared" si="84"/>
        <v>12_1</v>
      </c>
      <c r="C767" s="20">
        <v>45776.479166666664</v>
      </c>
      <c r="D767" t="s">
        <v>175</v>
      </c>
      <c r="E767">
        <v>2</v>
      </c>
      <c r="F767" t="s">
        <v>115</v>
      </c>
      <c r="G767" t="str">
        <f t="shared" si="79"/>
        <v>Paranephrops planifrons</v>
      </c>
      <c r="H767" t="str">
        <f t="shared" si="80"/>
        <v>Freshwater_crayfish</v>
      </c>
      <c r="I767" t="str">
        <f t="shared" si="81"/>
        <v>Kōura</v>
      </c>
      <c r="J767" t="str">
        <f t="shared" si="82"/>
        <v>Native</v>
      </c>
      <c r="K767" t="str">
        <f t="shared" si="83"/>
        <v>Yes</v>
      </c>
      <c r="L767">
        <v>1</v>
      </c>
      <c r="M767" t="s">
        <v>177</v>
      </c>
      <c r="N767">
        <v>14</v>
      </c>
      <c r="O767">
        <v>2</v>
      </c>
      <c r="T767" t="str">
        <f t="shared" si="85"/>
        <v/>
      </c>
    </row>
    <row r="768" spans="1:21" x14ac:dyDescent="0.55000000000000004">
      <c r="A768">
        <v>12</v>
      </c>
      <c r="B768" s="15" t="str">
        <f t="shared" si="84"/>
        <v>12_1</v>
      </c>
      <c r="C768" s="20">
        <v>45776.479166666664</v>
      </c>
      <c r="D768" t="s">
        <v>175</v>
      </c>
      <c r="E768">
        <v>2</v>
      </c>
      <c r="F768" t="s">
        <v>127</v>
      </c>
      <c r="G768" t="str">
        <f t="shared" si="79"/>
        <v>Galaxias brevipinnis</v>
      </c>
      <c r="H768" t="str">
        <f t="shared" si="80"/>
        <v>Climbing_galaxias</v>
      </c>
      <c r="I768" t="str">
        <f t="shared" si="81"/>
        <v>Kōaro</v>
      </c>
      <c r="J768" t="str">
        <f t="shared" si="82"/>
        <v>Native</v>
      </c>
      <c r="K768" t="str">
        <f t="shared" si="83"/>
        <v>Yes</v>
      </c>
      <c r="L768">
        <v>1</v>
      </c>
      <c r="N768">
        <v>120</v>
      </c>
      <c r="O768">
        <v>16</v>
      </c>
      <c r="T768" t="str">
        <f t="shared" si="85"/>
        <v/>
      </c>
    </row>
    <row r="769" spans="1:20" x14ac:dyDescent="0.55000000000000004">
      <c r="A769">
        <v>12</v>
      </c>
      <c r="B769" s="15" t="str">
        <f t="shared" si="84"/>
        <v>12_1</v>
      </c>
      <c r="C769" s="20">
        <v>45776.479166666664</v>
      </c>
      <c r="D769" t="s">
        <v>175</v>
      </c>
      <c r="E769">
        <v>2</v>
      </c>
      <c r="F769" t="s">
        <v>127</v>
      </c>
      <c r="G769" t="str">
        <f t="shared" si="79"/>
        <v>Galaxias brevipinnis</v>
      </c>
      <c r="H769" t="str">
        <f t="shared" si="80"/>
        <v>Climbing_galaxias</v>
      </c>
      <c r="I769" t="str">
        <f t="shared" si="81"/>
        <v>Kōaro</v>
      </c>
      <c r="J769" t="str">
        <f t="shared" si="82"/>
        <v>Native</v>
      </c>
      <c r="K769" t="str">
        <f t="shared" si="83"/>
        <v>Yes</v>
      </c>
      <c r="L769">
        <v>1</v>
      </c>
      <c r="N769">
        <v>115</v>
      </c>
      <c r="O769">
        <v>12</v>
      </c>
      <c r="T769" t="str">
        <f t="shared" si="85"/>
        <v/>
      </c>
    </row>
    <row r="770" spans="1:20" x14ac:dyDescent="0.55000000000000004">
      <c r="A770">
        <v>12</v>
      </c>
      <c r="B770" s="15" t="str">
        <f t="shared" si="84"/>
        <v>12_1</v>
      </c>
      <c r="C770" s="20">
        <v>45776.479166666664</v>
      </c>
      <c r="D770" t="s">
        <v>175</v>
      </c>
      <c r="E770">
        <v>2</v>
      </c>
      <c r="F770" t="s">
        <v>127</v>
      </c>
      <c r="G770" t="str">
        <f t="shared" ref="G770:G833" si="86">VLOOKUP($F770, $W$1:$AB$10, 2, FALSE)</f>
        <v>Galaxias brevipinnis</v>
      </c>
      <c r="H770" t="str">
        <f t="shared" ref="H770:H833" si="87">VLOOKUP($F770, $W$1:$AB$10, 3, FALSE)</f>
        <v>Climbing_galaxias</v>
      </c>
      <c r="I770" t="str">
        <f t="shared" ref="I770:I833" si="88">VLOOKUP($F770, $W$1:$AB$10, 4, FALSE)</f>
        <v>Kōaro</v>
      </c>
      <c r="J770" t="str">
        <f t="shared" ref="J770:J833" si="89">VLOOKUP($F770, $W$1:$AC$10, 5, FALSE)</f>
        <v>Native</v>
      </c>
      <c r="K770" t="str">
        <f t="shared" ref="K770:K833" si="90">VLOOKUP($F770, $W$1:$AB$10, 6, FALSE)</f>
        <v>Yes</v>
      </c>
      <c r="L770">
        <v>1</v>
      </c>
      <c r="N770">
        <v>155</v>
      </c>
      <c r="O770">
        <v>46</v>
      </c>
      <c r="T770" t="str">
        <f t="shared" si="85"/>
        <v/>
      </c>
    </row>
    <row r="771" spans="1:20" x14ac:dyDescent="0.55000000000000004">
      <c r="A771">
        <v>12</v>
      </c>
      <c r="B771" s="15" t="str">
        <f t="shared" si="84"/>
        <v>12_1</v>
      </c>
      <c r="C771" s="20">
        <v>45776.479166666664</v>
      </c>
      <c r="D771" t="s">
        <v>175</v>
      </c>
      <c r="E771">
        <v>2</v>
      </c>
      <c r="F771" t="s">
        <v>127</v>
      </c>
      <c r="G771" t="str">
        <f t="shared" si="86"/>
        <v>Galaxias brevipinnis</v>
      </c>
      <c r="H771" t="str">
        <f t="shared" si="87"/>
        <v>Climbing_galaxias</v>
      </c>
      <c r="I771" t="str">
        <f t="shared" si="88"/>
        <v>Kōaro</v>
      </c>
      <c r="J771" t="str">
        <f t="shared" si="89"/>
        <v>Native</v>
      </c>
      <c r="K771" t="str">
        <f t="shared" si="90"/>
        <v>Yes</v>
      </c>
      <c r="L771">
        <v>1</v>
      </c>
      <c r="N771">
        <v>140</v>
      </c>
      <c r="O771">
        <v>26</v>
      </c>
      <c r="T771" t="str">
        <f t="shared" si="85"/>
        <v/>
      </c>
    </row>
    <row r="772" spans="1:20" x14ac:dyDescent="0.55000000000000004">
      <c r="A772">
        <v>12</v>
      </c>
      <c r="B772" s="15" t="str">
        <f t="shared" si="84"/>
        <v>12_1</v>
      </c>
      <c r="C772" s="20">
        <v>45776.479166666664</v>
      </c>
      <c r="D772" t="s">
        <v>175</v>
      </c>
      <c r="E772">
        <v>2</v>
      </c>
      <c r="F772" t="s">
        <v>127</v>
      </c>
      <c r="G772" t="str">
        <f t="shared" si="86"/>
        <v>Galaxias brevipinnis</v>
      </c>
      <c r="H772" t="str">
        <f t="shared" si="87"/>
        <v>Climbing_galaxias</v>
      </c>
      <c r="I772" t="str">
        <f t="shared" si="88"/>
        <v>Kōaro</v>
      </c>
      <c r="J772" t="str">
        <f t="shared" si="89"/>
        <v>Native</v>
      </c>
      <c r="K772" t="str">
        <f t="shared" si="90"/>
        <v>Yes</v>
      </c>
      <c r="L772">
        <v>1</v>
      </c>
      <c r="N772">
        <v>95</v>
      </c>
      <c r="O772">
        <v>6</v>
      </c>
      <c r="T772" t="str">
        <f t="shared" si="85"/>
        <v/>
      </c>
    </row>
    <row r="773" spans="1:20" x14ac:dyDescent="0.55000000000000004">
      <c r="A773">
        <v>12</v>
      </c>
      <c r="B773" s="15" t="str">
        <f t="shared" si="84"/>
        <v>12_1</v>
      </c>
      <c r="C773" s="20">
        <v>45776.479166666664</v>
      </c>
      <c r="D773" t="s">
        <v>175</v>
      </c>
      <c r="E773">
        <v>2</v>
      </c>
      <c r="F773" t="s">
        <v>127</v>
      </c>
      <c r="G773" t="str">
        <f t="shared" si="86"/>
        <v>Galaxias brevipinnis</v>
      </c>
      <c r="H773" t="str">
        <f t="shared" si="87"/>
        <v>Climbing_galaxias</v>
      </c>
      <c r="I773" t="str">
        <f t="shared" si="88"/>
        <v>Kōaro</v>
      </c>
      <c r="J773" t="str">
        <f t="shared" si="89"/>
        <v>Native</v>
      </c>
      <c r="K773" t="str">
        <f t="shared" si="90"/>
        <v>Yes</v>
      </c>
      <c r="L773">
        <v>1</v>
      </c>
      <c r="N773">
        <v>90</v>
      </c>
      <c r="O773">
        <v>6</v>
      </c>
      <c r="T773" t="str">
        <f t="shared" si="85"/>
        <v/>
      </c>
    </row>
    <row r="774" spans="1:20" x14ac:dyDescent="0.55000000000000004">
      <c r="A774">
        <v>12</v>
      </c>
      <c r="B774" s="15" t="str">
        <f t="shared" si="84"/>
        <v>12_1</v>
      </c>
      <c r="C774" s="20">
        <v>45776.479166666664</v>
      </c>
      <c r="D774" t="s">
        <v>175</v>
      </c>
      <c r="E774">
        <v>2</v>
      </c>
      <c r="F774" t="s">
        <v>127</v>
      </c>
      <c r="G774" t="str">
        <f t="shared" si="86"/>
        <v>Galaxias brevipinnis</v>
      </c>
      <c r="H774" t="str">
        <f t="shared" si="87"/>
        <v>Climbing_galaxias</v>
      </c>
      <c r="I774" t="str">
        <f t="shared" si="88"/>
        <v>Kōaro</v>
      </c>
      <c r="J774" t="str">
        <f t="shared" si="89"/>
        <v>Native</v>
      </c>
      <c r="K774" t="str">
        <f t="shared" si="90"/>
        <v>Yes</v>
      </c>
      <c r="L774">
        <v>1</v>
      </c>
      <c r="N774">
        <v>72</v>
      </c>
      <c r="O774">
        <v>3</v>
      </c>
      <c r="T774" t="str">
        <f t="shared" si="85"/>
        <v/>
      </c>
    </row>
    <row r="775" spans="1:20" x14ac:dyDescent="0.55000000000000004">
      <c r="A775">
        <v>12</v>
      </c>
      <c r="B775" s="15" t="str">
        <f t="shared" ref="B775:B838" si="91">A775 &amp; "_1"</f>
        <v>12_1</v>
      </c>
      <c r="C775" s="20">
        <v>45776.479166666664</v>
      </c>
      <c r="D775" t="s">
        <v>175</v>
      </c>
      <c r="E775">
        <v>2</v>
      </c>
      <c r="F775" t="s">
        <v>127</v>
      </c>
      <c r="G775" t="str">
        <f t="shared" si="86"/>
        <v>Galaxias brevipinnis</v>
      </c>
      <c r="H775" t="str">
        <f t="shared" si="87"/>
        <v>Climbing_galaxias</v>
      </c>
      <c r="I775" t="str">
        <f t="shared" si="88"/>
        <v>Kōaro</v>
      </c>
      <c r="J775" t="str">
        <f t="shared" si="89"/>
        <v>Native</v>
      </c>
      <c r="K775" t="str">
        <f t="shared" si="90"/>
        <v>Yes</v>
      </c>
      <c r="L775">
        <v>1</v>
      </c>
      <c r="N775">
        <v>100</v>
      </c>
      <c r="O775">
        <v>7</v>
      </c>
      <c r="T775" t="str">
        <f t="shared" si="85"/>
        <v/>
      </c>
    </row>
    <row r="776" spans="1:20" x14ac:dyDescent="0.55000000000000004">
      <c r="A776">
        <v>12</v>
      </c>
      <c r="B776" s="15" t="str">
        <f t="shared" si="91"/>
        <v>12_1</v>
      </c>
      <c r="C776" s="20">
        <v>45776.479166666664</v>
      </c>
      <c r="D776" t="s">
        <v>175</v>
      </c>
      <c r="E776">
        <v>2</v>
      </c>
      <c r="F776" t="s">
        <v>127</v>
      </c>
      <c r="G776" t="str">
        <f t="shared" si="86"/>
        <v>Galaxias brevipinnis</v>
      </c>
      <c r="H776" t="str">
        <f t="shared" si="87"/>
        <v>Climbing_galaxias</v>
      </c>
      <c r="I776" t="str">
        <f t="shared" si="88"/>
        <v>Kōaro</v>
      </c>
      <c r="J776" t="str">
        <f t="shared" si="89"/>
        <v>Native</v>
      </c>
      <c r="K776" t="str">
        <f t="shared" si="90"/>
        <v>Yes</v>
      </c>
      <c r="L776">
        <v>1</v>
      </c>
      <c r="N776">
        <v>100</v>
      </c>
      <c r="O776">
        <v>9</v>
      </c>
      <c r="T776" t="str">
        <f t="shared" si="85"/>
        <v/>
      </c>
    </row>
    <row r="777" spans="1:20" x14ac:dyDescent="0.55000000000000004">
      <c r="A777">
        <v>12</v>
      </c>
      <c r="B777" s="15" t="str">
        <f t="shared" si="91"/>
        <v>12_1</v>
      </c>
      <c r="C777" s="20">
        <v>45776.479166666664</v>
      </c>
      <c r="D777" t="s">
        <v>175</v>
      </c>
      <c r="E777">
        <v>2</v>
      </c>
      <c r="F777" t="s">
        <v>127</v>
      </c>
      <c r="G777" t="str">
        <f t="shared" si="86"/>
        <v>Galaxias brevipinnis</v>
      </c>
      <c r="H777" t="str">
        <f t="shared" si="87"/>
        <v>Climbing_galaxias</v>
      </c>
      <c r="I777" t="str">
        <f t="shared" si="88"/>
        <v>Kōaro</v>
      </c>
      <c r="J777" t="str">
        <f t="shared" si="89"/>
        <v>Native</v>
      </c>
      <c r="K777" t="str">
        <f t="shared" si="90"/>
        <v>Yes</v>
      </c>
      <c r="L777">
        <v>1</v>
      </c>
      <c r="N777">
        <v>70</v>
      </c>
      <c r="O777">
        <v>3</v>
      </c>
      <c r="T777" t="str">
        <f t="shared" si="85"/>
        <v/>
      </c>
    </row>
    <row r="778" spans="1:20" x14ac:dyDescent="0.55000000000000004">
      <c r="A778">
        <v>12</v>
      </c>
      <c r="B778" s="15" t="str">
        <f t="shared" si="91"/>
        <v>12_1</v>
      </c>
      <c r="C778" s="20">
        <v>45776.479166666664</v>
      </c>
      <c r="D778" t="s">
        <v>175</v>
      </c>
      <c r="E778">
        <v>2</v>
      </c>
      <c r="F778" t="s">
        <v>127</v>
      </c>
      <c r="G778" t="str">
        <f t="shared" si="86"/>
        <v>Galaxias brevipinnis</v>
      </c>
      <c r="H778" t="str">
        <f t="shared" si="87"/>
        <v>Climbing_galaxias</v>
      </c>
      <c r="I778" t="str">
        <f t="shared" si="88"/>
        <v>Kōaro</v>
      </c>
      <c r="J778" t="str">
        <f t="shared" si="89"/>
        <v>Native</v>
      </c>
      <c r="K778" t="str">
        <f t="shared" si="90"/>
        <v>Yes</v>
      </c>
      <c r="L778">
        <v>1</v>
      </c>
      <c r="N778">
        <v>50</v>
      </c>
      <c r="O778">
        <v>1</v>
      </c>
      <c r="T778" t="str">
        <f t="shared" si="85"/>
        <v/>
      </c>
    </row>
    <row r="779" spans="1:20" x14ac:dyDescent="0.55000000000000004">
      <c r="A779">
        <v>12</v>
      </c>
      <c r="B779" s="15" t="str">
        <f t="shared" si="91"/>
        <v>12_1</v>
      </c>
      <c r="C779" s="20">
        <v>45776.479166666664</v>
      </c>
      <c r="D779" t="s">
        <v>175</v>
      </c>
      <c r="E779">
        <v>2</v>
      </c>
      <c r="F779" t="s">
        <v>127</v>
      </c>
      <c r="G779" t="str">
        <f t="shared" si="86"/>
        <v>Galaxias brevipinnis</v>
      </c>
      <c r="H779" t="str">
        <f t="shared" si="87"/>
        <v>Climbing_galaxias</v>
      </c>
      <c r="I779" t="str">
        <f t="shared" si="88"/>
        <v>Kōaro</v>
      </c>
      <c r="J779" t="str">
        <f t="shared" si="89"/>
        <v>Native</v>
      </c>
      <c r="K779" t="str">
        <f t="shared" si="90"/>
        <v>Yes</v>
      </c>
      <c r="L779">
        <v>1</v>
      </c>
      <c r="N779">
        <v>80</v>
      </c>
      <c r="O779">
        <v>5</v>
      </c>
      <c r="T779" t="str">
        <f t="shared" si="85"/>
        <v/>
      </c>
    </row>
    <row r="780" spans="1:20" x14ac:dyDescent="0.55000000000000004">
      <c r="A780">
        <v>12</v>
      </c>
      <c r="B780" s="15" t="str">
        <f t="shared" si="91"/>
        <v>12_1</v>
      </c>
      <c r="C780" s="20">
        <v>45776.479166666664</v>
      </c>
      <c r="D780" t="s">
        <v>175</v>
      </c>
      <c r="E780">
        <v>2</v>
      </c>
      <c r="F780" t="s">
        <v>133</v>
      </c>
      <c r="G780" t="str">
        <f t="shared" si="86"/>
        <v>Retropinna retropinna</v>
      </c>
      <c r="H780" t="str">
        <f t="shared" si="87"/>
        <v>Common_smelt</v>
      </c>
      <c r="I780" t="str">
        <f t="shared" si="88"/>
        <v>Common_smelt</v>
      </c>
      <c r="J780" t="str">
        <f t="shared" si="89"/>
        <v>Native</v>
      </c>
      <c r="K780" t="str">
        <f t="shared" si="90"/>
        <v>No</v>
      </c>
      <c r="L780">
        <v>17</v>
      </c>
      <c r="O780">
        <v>16</v>
      </c>
      <c r="T780" t="str">
        <f t="shared" si="85"/>
        <v/>
      </c>
    </row>
    <row r="781" spans="1:20" x14ac:dyDescent="0.55000000000000004">
      <c r="A781">
        <v>12</v>
      </c>
      <c r="B781" s="15" t="str">
        <f t="shared" si="91"/>
        <v>12_1</v>
      </c>
      <c r="C781" s="20">
        <v>45776.479166666664</v>
      </c>
      <c r="D781" t="s">
        <v>175</v>
      </c>
      <c r="E781">
        <v>2</v>
      </c>
      <c r="F781" t="s">
        <v>135</v>
      </c>
      <c r="G781" t="str">
        <f t="shared" si="86"/>
        <v>Gobiomorphus cotidianus</v>
      </c>
      <c r="H781" t="str">
        <f t="shared" si="87"/>
        <v>Common_bully</v>
      </c>
      <c r="I781" t="str">
        <f t="shared" si="88"/>
        <v>Toitoi</v>
      </c>
      <c r="J781" t="str">
        <f t="shared" si="89"/>
        <v>Native</v>
      </c>
      <c r="K781" t="str">
        <f t="shared" si="90"/>
        <v>No</v>
      </c>
      <c r="O781">
        <v>417</v>
      </c>
      <c r="S781">
        <v>2</v>
      </c>
      <c r="T781">
        <f t="shared" si="85"/>
        <v>473.17599999999999</v>
      </c>
    </row>
    <row r="782" spans="1:20" x14ac:dyDescent="0.55000000000000004">
      <c r="A782">
        <v>12</v>
      </c>
      <c r="B782" s="15" t="str">
        <f t="shared" si="91"/>
        <v>12_1</v>
      </c>
      <c r="C782" s="20">
        <v>45776.479166666664</v>
      </c>
      <c r="D782" t="s">
        <v>175</v>
      </c>
      <c r="E782">
        <v>2</v>
      </c>
      <c r="F782" t="s">
        <v>139</v>
      </c>
      <c r="G782" t="str">
        <f t="shared" si="86"/>
        <v>Anguilla dieffenbachii</v>
      </c>
      <c r="H782" t="str">
        <f t="shared" si="87"/>
        <v>Long_fin_eel</v>
      </c>
      <c r="I782" t="str">
        <f t="shared" si="88"/>
        <v>Tuna</v>
      </c>
      <c r="J782" t="str">
        <f t="shared" si="89"/>
        <v>Native</v>
      </c>
      <c r="K782" t="str">
        <f t="shared" si="90"/>
        <v>Yes</v>
      </c>
      <c r="L782">
        <v>1</v>
      </c>
      <c r="N782">
        <v>800</v>
      </c>
      <c r="O782">
        <v>1600</v>
      </c>
      <c r="T782" t="str">
        <f t="shared" si="85"/>
        <v/>
      </c>
    </row>
    <row r="783" spans="1:20" x14ac:dyDescent="0.55000000000000004">
      <c r="A783">
        <v>12</v>
      </c>
      <c r="B783" s="15" t="str">
        <f t="shared" si="91"/>
        <v>12_1</v>
      </c>
      <c r="C783" s="20">
        <v>45776.479166666664</v>
      </c>
      <c r="D783" t="s">
        <v>175</v>
      </c>
      <c r="E783">
        <v>2</v>
      </c>
      <c r="F783" t="s">
        <v>127</v>
      </c>
      <c r="G783" t="str">
        <f t="shared" si="86"/>
        <v>Galaxias brevipinnis</v>
      </c>
      <c r="H783" t="str">
        <f t="shared" si="87"/>
        <v>Climbing_galaxias</v>
      </c>
      <c r="I783" t="str">
        <f t="shared" si="88"/>
        <v>Kōaro</v>
      </c>
      <c r="J783" t="str">
        <f t="shared" si="89"/>
        <v>Native</v>
      </c>
      <c r="K783" t="str">
        <f t="shared" si="90"/>
        <v>Yes</v>
      </c>
      <c r="L783">
        <v>1</v>
      </c>
      <c r="N783">
        <v>95</v>
      </c>
      <c r="O783">
        <v>7</v>
      </c>
      <c r="T783" t="str">
        <f t="shared" si="85"/>
        <v/>
      </c>
    </row>
    <row r="784" spans="1:20" x14ac:dyDescent="0.55000000000000004">
      <c r="A784">
        <v>12</v>
      </c>
      <c r="B784" s="15" t="str">
        <f t="shared" si="91"/>
        <v>12_1</v>
      </c>
      <c r="C784" s="20">
        <v>45776.479166666664</v>
      </c>
      <c r="D784" t="s">
        <v>175</v>
      </c>
      <c r="E784">
        <v>2</v>
      </c>
      <c r="F784" t="s">
        <v>127</v>
      </c>
      <c r="G784" t="str">
        <f t="shared" si="86"/>
        <v>Galaxias brevipinnis</v>
      </c>
      <c r="H784" t="str">
        <f t="shared" si="87"/>
        <v>Climbing_galaxias</v>
      </c>
      <c r="I784" t="str">
        <f t="shared" si="88"/>
        <v>Kōaro</v>
      </c>
      <c r="J784" t="str">
        <f t="shared" si="89"/>
        <v>Native</v>
      </c>
      <c r="K784" t="str">
        <f t="shared" si="90"/>
        <v>Yes</v>
      </c>
      <c r="L784">
        <v>1</v>
      </c>
      <c r="N784">
        <v>85</v>
      </c>
      <c r="O784">
        <v>5</v>
      </c>
      <c r="T784" t="str">
        <f t="shared" si="85"/>
        <v/>
      </c>
    </row>
    <row r="785" spans="1:20" x14ac:dyDescent="0.55000000000000004">
      <c r="A785">
        <v>12</v>
      </c>
      <c r="B785" s="15" t="str">
        <f t="shared" si="91"/>
        <v>12_1</v>
      </c>
      <c r="C785" s="20">
        <v>45776.479166666664</v>
      </c>
      <c r="D785" t="s">
        <v>175</v>
      </c>
      <c r="E785">
        <v>2</v>
      </c>
      <c r="F785" t="s">
        <v>127</v>
      </c>
      <c r="G785" t="str">
        <f t="shared" si="86"/>
        <v>Galaxias brevipinnis</v>
      </c>
      <c r="H785" t="str">
        <f t="shared" si="87"/>
        <v>Climbing_galaxias</v>
      </c>
      <c r="I785" t="str">
        <f t="shared" si="88"/>
        <v>Kōaro</v>
      </c>
      <c r="J785" t="str">
        <f t="shared" si="89"/>
        <v>Native</v>
      </c>
      <c r="K785" t="str">
        <f t="shared" si="90"/>
        <v>Yes</v>
      </c>
      <c r="L785">
        <v>1</v>
      </c>
      <c r="N785">
        <v>105</v>
      </c>
      <c r="O785">
        <v>7</v>
      </c>
      <c r="T785" t="str">
        <f t="shared" si="85"/>
        <v/>
      </c>
    </row>
    <row r="786" spans="1:20" x14ac:dyDescent="0.55000000000000004">
      <c r="A786">
        <v>12</v>
      </c>
      <c r="B786" s="15" t="str">
        <f t="shared" si="91"/>
        <v>12_1</v>
      </c>
      <c r="C786" s="20">
        <v>45776.479166666664</v>
      </c>
      <c r="D786" t="s">
        <v>175</v>
      </c>
      <c r="E786">
        <v>2</v>
      </c>
      <c r="F786" t="s">
        <v>127</v>
      </c>
      <c r="G786" t="str">
        <f t="shared" si="86"/>
        <v>Galaxias brevipinnis</v>
      </c>
      <c r="H786" t="str">
        <f t="shared" si="87"/>
        <v>Climbing_galaxias</v>
      </c>
      <c r="I786" t="str">
        <f t="shared" si="88"/>
        <v>Kōaro</v>
      </c>
      <c r="J786" t="str">
        <f t="shared" si="89"/>
        <v>Native</v>
      </c>
      <c r="K786" t="str">
        <f t="shared" si="90"/>
        <v>Yes</v>
      </c>
      <c r="L786">
        <v>1</v>
      </c>
      <c r="N786">
        <v>115</v>
      </c>
      <c r="O786">
        <v>15</v>
      </c>
      <c r="T786" t="str">
        <f t="shared" si="85"/>
        <v/>
      </c>
    </row>
    <row r="787" spans="1:20" x14ac:dyDescent="0.55000000000000004">
      <c r="A787">
        <v>12</v>
      </c>
      <c r="B787" s="15" t="str">
        <f t="shared" si="91"/>
        <v>12_1</v>
      </c>
      <c r="C787" s="20">
        <v>45776.479166666664</v>
      </c>
      <c r="D787" t="s">
        <v>175</v>
      </c>
      <c r="E787">
        <v>2</v>
      </c>
      <c r="F787" t="s">
        <v>127</v>
      </c>
      <c r="G787" t="str">
        <f t="shared" si="86"/>
        <v>Galaxias brevipinnis</v>
      </c>
      <c r="H787" t="str">
        <f t="shared" si="87"/>
        <v>Climbing_galaxias</v>
      </c>
      <c r="I787" t="str">
        <f t="shared" si="88"/>
        <v>Kōaro</v>
      </c>
      <c r="J787" t="str">
        <f t="shared" si="89"/>
        <v>Native</v>
      </c>
      <c r="K787" t="str">
        <f t="shared" si="90"/>
        <v>Yes</v>
      </c>
      <c r="L787">
        <v>1</v>
      </c>
      <c r="N787">
        <v>100</v>
      </c>
      <c r="O787">
        <v>9</v>
      </c>
      <c r="T787" t="str">
        <f t="shared" si="85"/>
        <v/>
      </c>
    </row>
    <row r="788" spans="1:20" x14ac:dyDescent="0.55000000000000004">
      <c r="A788">
        <v>12</v>
      </c>
      <c r="B788" s="15" t="str">
        <f t="shared" si="91"/>
        <v>12_1</v>
      </c>
      <c r="C788" s="20">
        <v>45776.479166666664</v>
      </c>
      <c r="D788" t="s">
        <v>175</v>
      </c>
      <c r="E788">
        <v>2</v>
      </c>
      <c r="F788" t="s">
        <v>127</v>
      </c>
      <c r="G788" t="str">
        <f t="shared" si="86"/>
        <v>Galaxias brevipinnis</v>
      </c>
      <c r="H788" t="str">
        <f t="shared" si="87"/>
        <v>Climbing_galaxias</v>
      </c>
      <c r="I788" t="str">
        <f t="shared" si="88"/>
        <v>Kōaro</v>
      </c>
      <c r="J788" t="str">
        <f t="shared" si="89"/>
        <v>Native</v>
      </c>
      <c r="K788" t="str">
        <f t="shared" si="90"/>
        <v>Yes</v>
      </c>
      <c r="L788">
        <v>1</v>
      </c>
      <c r="N788">
        <v>85</v>
      </c>
      <c r="O788">
        <v>12</v>
      </c>
      <c r="T788" t="str">
        <f t="shared" si="85"/>
        <v/>
      </c>
    </row>
    <row r="789" spans="1:20" x14ac:dyDescent="0.55000000000000004">
      <c r="A789">
        <v>12</v>
      </c>
      <c r="B789" s="15" t="str">
        <f t="shared" si="91"/>
        <v>12_1</v>
      </c>
      <c r="C789" s="20">
        <v>45776.479166666664</v>
      </c>
      <c r="D789" t="s">
        <v>175</v>
      </c>
      <c r="E789">
        <v>2</v>
      </c>
      <c r="F789" t="s">
        <v>127</v>
      </c>
      <c r="G789" t="str">
        <f t="shared" si="86"/>
        <v>Galaxias brevipinnis</v>
      </c>
      <c r="H789" t="str">
        <f t="shared" si="87"/>
        <v>Climbing_galaxias</v>
      </c>
      <c r="I789" t="str">
        <f t="shared" si="88"/>
        <v>Kōaro</v>
      </c>
      <c r="J789" t="str">
        <f t="shared" si="89"/>
        <v>Native</v>
      </c>
      <c r="K789" t="str">
        <f t="shared" si="90"/>
        <v>Yes</v>
      </c>
      <c r="L789">
        <v>1</v>
      </c>
      <c r="N789">
        <v>90</v>
      </c>
      <c r="O789">
        <v>7</v>
      </c>
      <c r="T789" t="str">
        <f t="shared" si="85"/>
        <v/>
      </c>
    </row>
    <row r="790" spans="1:20" x14ac:dyDescent="0.55000000000000004">
      <c r="A790">
        <v>12</v>
      </c>
      <c r="B790" s="15" t="str">
        <f t="shared" si="91"/>
        <v>12_1</v>
      </c>
      <c r="C790" s="20">
        <v>45776.479166666664</v>
      </c>
      <c r="D790" t="s">
        <v>175</v>
      </c>
      <c r="E790">
        <v>2</v>
      </c>
      <c r="F790" t="s">
        <v>127</v>
      </c>
      <c r="G790" t="str">
        <f t="shared" si="86"/>
        <v>Galaxias brevipinnis</v>
      </c>
      <c r="H790" t="str">
        <f t="shared" si="87"/>
        <v>Climbing_galaxias</v>
      </c>
      <c r="I790" t="str">
        <f t="shared" si="88"/>
        <v>Kōaro</v>
      </c>
      <c r="J790" t="str">
        <f t="shared" si="89"/>
        <v>Native</v>
      </c>
      <c r="K790" t="str">
        <f t="shared" si="90"/>
        <v>Yes</v>
      </c>
      <c r="L790">
        <v>1</v>
      </c>
      <c r="N790">
        <v>80</v>
      </c>
      <c r="O790">
        <v>4</v>
      </c>
      <c r="T790" t="str">
        <f t="shared" si="85"/>
        <v/>
      </c>
    </row>
    <row r="791" spans="1:20" x14ac:dyDescent="0.55000000000000004">
      <c r="A791">
        <v>12</v>
      </c>
      <c r="B791" s="15" t="str">
        <f t="shared" si="91"/>
        <v>12_1</v>
      </c>
      <c r="C791" s="20">
        <v>45776.479166666664</v>
      </c>
      <c r="D791" t="s">
        <v>175</v>
      </c>
      <c r="E791">
        <v>2</v>
      </c>
      <c r="F791" t="s">
        <v>127</v>
      </c>
      <c r="G791" t="str">
        <f t="shared" si="86"/>
        <v>Galaxias brevipinnis</v>
      </c>
      <c r="H791" t="str">
        <f t="shared" si="87"/>
        <v>Climbing_galaxias</v>
      </c>
      <c r="I791" t="str">
        <f t="shared" si="88"/>
        <v>Kōaro</v>
      </c>
      <c r="J791" t="str">
        <f t="shared" si="89"/>
        <v>Native</v>
      </c>
      <c r="K791" t="str">
        <f t="shared" si="90"/>
        <v>Yes</v>
      </c>
      <c r="L791">
        <v>1</v>
      </c>
      <c r="N791">
        <v>90</v>
      </c>
      <c r="O791">
        <v>5</v>
      </c>
      <c r="T791" t="str">
        <f t="shared" si="85"/>
        <v/>
      </c>
    </row>
    <row r="792" spans="1:20" x14ac:dyDescent="0.55000000000000004">
      <c r="A792">
        <v>12</v>
      </c>
      <c r="B792" s="15" t="str">
        <f t="shared" si="91"/>
        <v>12_1</v>
      </c>
      <c r="C792" s="20">
        <v>45776.479166666664</v>
      </c>
      <c r="D792" t="s">
        <v>175</v>
      </c>
      <c r="E792">
        <v>2</v>
      </c>
      <c r="F792" t="s">
        <v>127</v>
      </c>
      <c r="G792" t="str">
        <f t="shared" si="86"/>
        <v>Galaxias brevipinnis</v>
      </c>
      <c r="H792" t="str">
        <f t="shared" si="87"/>
        <v>Climbing_galaxias</v>
      </c>
      <c r="I792" t="str">
        <f t="shared" si="88"/>
        <v>Kōaro</v>
      </c>
      <c r="J792" t="str">
        <f t="shared" si="89"/>
        <v>Native</v>
      </c>
      <c r="K792" t="str">
        <f t="shared" si="90"/>
        <v>Yes</v>
      </c>
      <c r="L792">
        <v>1</v>
      </c>
      <c r="N792">
        <v>88</v>
      </c>
      <c r="O792">
        <v>6</v>
      </c>
      <c r="T792" t="str">
        <f t="shared" si="85"/>
        <v/>
      </c>
    </row>
    <row r="793" spans="1:20" x14ac:dyDescent="0.55000000000000004">
      <c r="A793">
        <v>12</v>
      </c>
      <c r="B793" s="15" t="str">
        <f t="shared" si="91"/>
        <v>12_1</v>
      </c>
      <c r="C793" s="20">
        <v>45776.479166666664</v>
      </c>
      <c r="D793" t="s">
        <v>175</v>
      </c>
      <c r="E793">
        <v>2</v>
      </c>
      <c r="F793" t="s">
        <v>127</v>
      </c>
      <c r="G793" t="str">
        <f t="shared" si="86"/>
        <v>Galaxias brevipinnis</v>
      </c>
      <c r="H793" t="str">
        <f t="shared" si="87"/>
        <v>Climbing_galaxias</v>
      </c>
      <c r="I793" t="str">
        <f t="shared" si="88"/>
        <v>Kōaro</v>
      </c>
      <c r="J793" t="str">
        <f t="shared" si="89"/>
        <v>Native</v>
      </c>
      <c r="K793" t="str">
        <f t="shared" si="90"/>
        <v>Yes</v>
      </c>
      <c r="L793">
        <v>1</v>
      </c>
      <c r="N793">
        <v>85</v>
      </c>
      <c r="O793">
        <v>5</v>
      </c>
      <c r="T793" t="str">
        <f t="shared" si="85"/>
        <v/>
      </c>
    </row>
    <row r="794" spans="1:20" x14ac:dyDescent="0.55000000000000004">
      <c r="A794">
        <v>12</v>
      </c>
      <c r="B794" s="15" t="str">
        <f t="shared" si="91"/>
        <v>12_1</v>
      </c>
      <c r="C794" s="20">
        <v>45776.479166666664</v>
      </c>
      <c r="D794" t="s">
        <v>175</v>
      </c>
      <c r="E794">
        <v>2</v>
      </c>
      <c r="F794" t="s">
        <v>127</v>
      </c>
      <c r="G794" t="str">
        <f t="shared" si="86"/>
        <v>Galaxias brevipinnis</v>
      </c>
      <c r="H794" t="str">
        <f t="shared" si="87"/>
        <v>Climbing_galaxias</v>
      </c>
      <c r="I794" t="str">
        <f t="shared" si="88"/>
        <v>Kōaro</v>
      </c>
      <c r="J794" t="str">
        <f t="shared" si="89"/>
        <v>Native</v>
      </c>
      <c r="K794" t="str">
        <f t="shared" si="90"/>
        <v>Yes</v>
      </c>
      <c r="L794">
        <v>1</v>
      </c>
      <c r="N794">
        <v>70</v>
      </c>
      <c r="O794">
        <v>2</v>
      </c>
      <c r="T794" t="str">
        <f t="shared" si="85"/>
        <v/>
      </c>
    </row>
    <row r="795" spans="1:20" x14ac:dyDescent="0.55000000000000004">
      <c r="A795">
        <v>12</v>
      </c>
      <c r="B795" s="15" t="str">
        <f t="shared" si="91"/>
        <v>12_1</v>
      </c>
      <c r="C795" s="20">
        <v>45776.479166666664</v>
      </c>
      <c r="D795" t="s">
        <v>175</v>
      </c>
      <c r="E795">
        <v>2</v>
      </c>
      <c r="F795" t="s">
        <v>127</v>
      </c>
      <c r="G795" t="str">
        <f t="shared" si="86"/>
        <v>Galaxias brevipinnis</v>
      </c>
      <c r="H795" t="str">
        <f t="shared" si="87"/>
        <v>Climbing_galaxias</v>
      </c>
      <c r="I795" t="str">
        <f t="shared" si="88"/>
        <v>Kōaro</v>
      </c>
      <c r="J795" t="str">
        <f t="shared" si="89"/>
        <v>Native</v>
      </c>
      <c r="K795" t="str">
        <f t="shared" si="90"/>
        <v>Yes</v>
      </c>
      <c r="L795">
        <v>1</v>
      </c>
      <c r="N795">
        <v>100</v>
      </c>
      <c r="O795">
        <v>9</v>
      </c>
      <c r="T795" t="str">
        <f t="shared" si="85"/>
        <v/>
      </c>
    </row>
    <row r="796" spans="1:20" x14ac:dyDescent="0.55000000000000004">
      <c r="A796">
        <v>12</v>
      </c>
      <c r="B796" s="15" t="str">
        <f t="shared" si="91"/>
        <v>12_1</v>
      </c>
      <c r="C796" s="20">
        <v>45776.479166666664</v>
      </c>
      <c r="D796" t="s">
        <v>175</v>
      </c>
      <c r="E796">
        <v>2</v>
      </c>
      <c r="F796" t="s">
        <v>127</v>
      </c>
      <c r="G796" t="str">
        <f t="shared" si="86"/>
        <v>Galaxias brevipinnis</v>
      </c>
      <c r="H796" t="str">
        <f t="shared" si="87"/>
        <v>Climbing_galaxias</v>
      </c>
      <c r="I796" t="str">
        <f t="shared" si="88"/>
        <v>Kōaro</v>
      </c>
      <c r="J796" t="str">
        <f t="shared" si="89"/>
        <v>Native</v>
      </c>
      <c r="K796" t="str">
        <f t="shared" si="90"/>
        <v>Yes</v>
      </c>
      <c r="L796">
        <v>1</v>
      </c>
      <c r="N796">
        <v>100</v>
      </c>
      <c r="O796">
        <v>7</v>
      </c>
      <c r="T796" t="str">
        <f t="shared" si="85"/>
        <v/>
      </c>
    </row>
    <row r="797" spans="1:20" x14ac:dyDescent="0.55000000000000004">
      <c r="A797">
        <v>12</v>
      </c>
      <c r="B797" s="15" t="str">
        <f t="shared" si="91"/>
        <v>12_1</v>
      </c>
      <c r="C797" s="20">
        <v>45776.479166666664</v>
      </c>
      <c r="D797" t="s">
        <v>175</v>
      </c>
      <c r="E797">
        <v>2</v>
      </c>
      <c r="F797" t="s">
        <v>127</v>
      </c>
      <c r="G797" t="str">
        <f t="shared" si="86"/>
        <v>Galaxias brevipinnis</v>
      </c>
      <c r="H797" t="str">
        <f t="shared" si="87"/>
        <v>Climbing_galaxias</v>
      </c>
      <c r="I797" t="str">
        <f t="shared" si="88"/>
        <v>Kōaro</v>
      </c>
      <c r="J797" t="str">
        <f t="shared" si="89"/>
        <v>Native</v>
      </c>
      <c r="K797" t="str">
        <f t="shared" si="90"/>
        <v>Yes</v>
      </c>
      <c r="L797">
        <v>1</v>
      </c>
      <c r="N797">
        <v>85</v>
      </c>
      <c r="O797">
        <v>4</v>
      </c>
      <c r="T797" t="str">
        <f t="shared" si="85"/>
        <v/>
      </c>
    </row>
    <row r="798" spans="1:20" x14ac:dyDescent="0.55000000000000004">
      <c r="A798">
        <v>12</v>
      </c>
      <c r="B798" s="15" t="str">
        <f t="shared" si="91"/>
        <v>12_1</v>
      </c>
      <c r="C798" s="20">
        <v>45776.479166666664</v>
      </c>
      <c r="D798" t="s">
        <v>175</v>
      </c>
      <c r="E798">
        <v>2</v>
      </c>
      <c r="F798" t="s">
        <v>127</v>
      </c>
      <c r="G798" t="str">
        <f t="shared" si="86"/>
        <v>Galaxias brevipinnis</v>
      </c>
      <c r="H798" t="str">
        <f t="shared" si="87"/>
        <v>Climbing_galaxias</v>
      </c>
      <c r="I798" t="str">
        <f t="shared" si="88"/>
        <v>Kōaro</v>
      </c>
      <c r="J798" t="str">
        <f t="shared" si="89"/>
        <v>Native</v>
      </c>
      <c r="K798" t="str">
        <f t="shared" si="90"/>
        <v>Yes</v>
      </c>
      <c r="L798">
        <v>1</v>
      </c>
      <c r="N798">
        <v>80</v>
      </c>
      <c r="O798">
        <v>4</v>
      </c>
      <c r="T798" t="str">
        <f t="shared" si="85"/>
        <v/>
      </c>
    </row>
    <row r="799" spans="1:20" x14ac:dyDescent="0.55000000000000004">
      <c r="A799">
        <v>12</v>
      </c>
      <c r="B799" s="15" t="str">
        <f t="shared" si="91"/>
        <v>12_1</v>
      </c>
      <c r="C799" s="20">
        <v>45776.479166666664</v>
      </c>
      <c r="D799" t="s">
        <v>175</v>
      </c>
      <c r="E799">
        <v>2</v>
      </c>
      <c r="F799" t="s">
        <v>127</v>
      </c>
      <c r="G799" t="str">
        <f t="shared" si="86"/>
        <v>Galaxias brevipinnis</v>
      </c>
      <c r="H799" t="str">
        <f t="shared" si="87"/>
        <v>Climbing_galaxias</v>
      </c>
      <c r="I799" t="str">
        <f t="shared" si="88"/>
        <v>Kōaro</v>
      </c>
      <c r="J799" t="str">
        <f t="shared" si="89"/>
        <v>Native</v>
      </c>
      <c r="K799" t="str">
        <f t="shared" si="90"/>
        <v>Yes</v>
      </c>
      <c r="L799">
        <v>1</v>
      </c>
      <c r="N799">
        <v>50</v>
      </c>
      <c r="O799">
        <v>1</v>
      </c>
      <c r="T799" t="str">
        <f t="shared" si="85"/>
        <v/>
      </c>
    </row>
    <row r="800" spans="1:20" x14ac:dyDescent="0.55000000000000004">
      <c r="A800">
        <v>12</v>
      </c>
      <c r="B800" s="15" t="str">
        <f t="shared" si="91"/>
        <v>12_1</v>
      </c>
      <c r="C800" s="20">
        <v>45776.479166666664</v>
      </c>
      <c r="D800" t="s">
        <v>175</v>
      </c>
      <c r="E800">
        <v>2</v>
      </c>
      <c r="F800" t="s">
        <v>127</v>
      </c>
      <c r="G800" t="str">
        <f t="shared" si="86"/>
        <v>Galaxias brevipinnis</v>
      </c>
      <c r="H800" t="str">
        <f t="shared" si="87"/>
        <v>Climbing_galaxias</v>
      </c>
      <c r="I800" t="str">
        <f t="shared" si="88"/>
        <v>Kōaro</v>
      </c>
      <c r="J800" t="str">
        <f t="shared" si="89"/>
        <v>Native</v>
      </c>
      <c r="K800" t="str">
        <f t="shared" si="90"/>
        <v>Yes</v>
      </c>
      <c r="L800">
        <v>1</v>
      </c>
      <c r="N800">
        <v>85</v>
      </c>
      <c r="O800">
        <v>4</v>
      </c>
      <c r="T800" t="str">
        <f t="shared" si="85"/>
        <v/>
      </c>
    </row>
    <row r="801" spans="1:21" x14ac:dyDescent="0.55000000000000004">
      <c r="A801">
        <v>12</v>
      </c>
      <c r="B801" s="15" t="str">
        <f t="shared" si="91"/>
        <v>12_1</v>
      </c>
      <c r="C801" s="20">
        <v>45776.479166666664</v>
      </c>
      <c r="D801" t="s">
        <v>175</v>
      </c>
      <c r="E801">
        <v>2</v>
      </c>
      <c r="F801" t="s">
        <v>115</v>
      </c>
      <c r="G801" t="str">
        <f t="shared" si="86"/>
        <v>Paranephrops planifrons</v>
      </c>
      <c r="H801" t="str">
        <f t="shared" si="87"/>
        <v>Freshwater_crayfish</v>
      </c>
      <c r="I801" t="str">
        <f t="shared" si="88"/>
        <v>Kōura</v>
      </c>
      <c r="J801" t="str">
        <f t="shared" si="89"/>
        <v>Native</v>
      </c>
      <c r="K801" t="str">
        <f t="shared" si="90"/>
        <v>Yes</v>
      </c>
      <c r="L801">
        <v>1</v>
      </c>
      <c r="M801" t="s">
        <v>177</v>
      </c>
      <c r="N801">
        <v>22</v>
      </c>
      <c r="O801">
        <v>8</v>
      </c>
      <c r="T801" t="str">
        <f t="shared" si="85"/>
        <v/>
      </c>
    </row>
    <row r="802" spans="1:21" x14ac:dyDescent="0.55000000000000004">
      <c r="A802">
        <v>12</v>
      </c>
      <c r="B802" s="15" t="str">
        <f t="shared" si="91"/>
        <v>12_1</v>
      </c>
      <c r="C802" s="20">
        <v>45776.479166666664</v>
      </c>
      <c r="D802" t="s">
        <v>175</v>
      </c>
      <c r="E802">
        <v>2</v>
      </c>
      <c r="F802" t="s">
        <v>115</v>
      </c>
      <c r="G802" t="str">
        <f t="shared" si="86"/>
        <v>Paranephrops planifrons</v>
      </c>
      <c r="H802" t="str">
        <f t="shared" si="87"/>
        <v>Freshwater_crayfish</v>
      </c>
      <c r="I802" t="str">
        <f t="shared" si="88"/>
        <v>Kōura</v>
      </c>
      <c r="J802" t="str">
        <f t="shared" si="89"/>
        <v>Native</v>
      </c>
      <c r="K802" t="str">
        <f t="shared" si="90"/>
        <v>Yes</v>
      </c>
      <c r="L802">
        <v>1</v>
      </c>
      <c r="M802" t="s">
        <v>176</v>
      </c>
      <c r="N802">
        <v>25</v>
      </c>
      <c r="O802">
        <v>13</v>
      </c>
      <c r="T802" t="str">
        <f t="shared" si="85"/>
        <v/>
      </c>
    </row>
    <row r="803" spans="1:21" x14ac:dyDescent="0.55000000000000004">
      <c r="A803">
        <v>12</v>
      </c>
      <c r="B803" s="15" t="str">
        <f t="shared" si="91"/>
        <v>12_1</v>
      </c>
      <c r="C803" s="20">
        <v>45776.479166666664</v>
      </c>
      <c r="D803" t="s">
        <v>175</v>
      </c>
      <c r="E803">
        <v>2</v>
      </c>
      <c r="F803" t="s">
        <v>133</v>
      </c>
      <c r="G803" t="str">
        <f t="shared" si="86"/>
        <v>Retropinna retropinna</v>
      </c>
      <c r="H803" t="str">
        <f t="shared" si="87"/>
        <v>Common_smelt</v>
      </c>
      <c r="I803" t="str">
        <f t="shared" si="88"/>
        <v>Common_smelt</v>
      </c>
      <c r="J803" t="str">
        <f t="shared" si="89"/>
        <v>Native</v>
      </c>
      <c r="K803" t="str">
        <f t="shared" si="90"/>
        <v>No</v>
      </c>
      <c r="L803">
        <v>52</v>
      </c>
      <c r="O803">
        <v>42</v>
      </c>
      <c r="T803" t="str">
        <f t="shared" si="85"/>
        <v/>
      </c>
    </row>
    <row r="804" spans="1:21" x14ac:dyDescent="0.55000000000000004">
      <c r="A804">
        <v>12</v>
      </c>
      <c r="B804" s="15" t="str">
        <f t="shared" si="91"/>
        <v>12_1</v>
      </c>
      <c r="C804" s="20">
        <v>45776.479166666664</v>
      </c>
      <c r="D804" t="s">
        <v>175</v>
      </c>
      <c r="E804">
        <v>2</v>
      </c>
      <c r="F804" t="s">
        <v>135</v>
      </c>
      <c r="G804" t="str">
        <f t="shared" si="86"/>
        <v>Gobiomorphus cotidianus</v>
      </c>
      <c r="H804" t="str">
        <f t="shared" si="87"/>
        <v>Common_bully</v>
      </c>
      <c r="I804" t="str">
        <f t="shared" si="88"/>
        <v>Toitoi</v>
      </c>
      <c r="J804" t="str">
        <f t="shared" si="89"/>
        <v>Native</v>
      </c>
      <c r="K804" t="str">
        <f t="shared" si="90"/>
        <v>No</v>
      </c>
      <c r="O804">
        <v>519</v>
      </c>
      <c r="S804">
        <v>2.5</v>
      </c>
      <c r="T804">
        <f t="shared" si="85"/>
        <v>591.47</v>
      </c>
    </row>
    <row r="805" spans="1:21" x14ac:dyDescent="0.55000000000000004">
      <c r="A805">
        <v>13</v>
      </c>
      <c r="B805" s="15" t="str">
        <f t="shared" si="91"/>
        <v>13_1</v>
      </c>
      <c r="C805" s="20">
        <v>45778.678472222222</v>
      </c>
      <c r="D805" t="s">
        <v>174</v>
      </c>
      <c r="E805">
        <v>2</v>
      </c>
      <c r="F805" t="s">
        <v>135</v>
      </c>
      <c r="G805" t="str">
        <f t="shared" si="86"/>
        <v>Gobiomorphus cotidianus</v>
      </c>
      <c r="H805" t="str">
        <f t="shared" si="87"/>
        <v>Common_bully</v>
      </c>
      <c r="I805" t="str">
        <f t="shared" si="88"/>
        <v>Toitoi</v>
      </c>
      <c r="J805" t="str">
        <f t="shared" si="89"/>
        <v>Native</v>
      </c>
      <c r="K805" t="str">
        <f t="shared" si="90"/>
        <v>No</v>
      </c>
      <c r="L805">
        <v>14</v>
      </c>
      <c r="T805" t="str">
        <f t="shared" si="85"/>
        <v/>
      </c>
    </row>
    <row r="806" spans="1:21" x14ac:dyDescent="0.55000000000000004">
      <c r="A806">
        <v>13</v>
      </c>
      <c r="B806" s="15" t="str">
        <f t="shared" si="91"/>
        <v>13_1</v>
      </c>
      <c r="C806" s="20">
        <v>45778.678472222222</v>
      </c>
      <c r="D806" t="s">
        <v>174</v>
      </c>
      <c r="E806">
        <v>2</v>
      </c>
      <c r="F806" t="s">
        <v>127</v>
      </c>
      <c r="G806" t="str">
        <f t="shared" si="86"/>
        <v>Galaxias brevipinnis</v>
      </c>
      <c r="H806" t="str">
        <f t="shared" si="87"/>
        <v>Climbing_galaxias</v>
      </c>
      <c r="I806" t="str">
        <f t="shared" si="88"/>
        <v>Kōaro</v>
      </c>
      <c r="J806" t="str">
        <f t="shared" si="89"/>
        <v>Native</v>
      </c>
      <c r="K806" t="str">
        <f t="shared" si="90"/>
        <v>Yes</v>
      </c>
      <c r="L806">
        <v>1</v>
      </c>
      <c r="T806" t="str">
        <f t="shared" si="85"/>
        <v/>
      </c>
    </row>
    <row r="807" spans="1:21" x14ac:dyDescent="0.55000000000000004">
      <c r="A807">
        <v>13</v>
      </c>
      <c r="B807" s="15" t="str">
        <f t="shared" si="91"/>
        <v>13_1</v>
      </c>
      <c r="C807" s="20">
        <v>45778.678472222222</v>
      </c>
      <c r="D807" t="s">
        <v>175</v>
      </c>
      <c r="E807">
        <v>2</v>
      </c>
      <c r="F807" t="s">
        <v>127</v>
      </c>
      <c r="G807" t="str">
        <f t="shared" si="86"/>
        <v>Galaxias brevipinnis</v>
      </c>
      <c r="H807" t="str">
        <f t="shared" si="87"/>
        <v>Climbing_galaxias</v>
      </c>
      <c r="I807" t="str">
        <f t="shared" si="88"/>
        <v>Kōaro</v>
      </c>
      <c r="J807" t="str">
        <f t="shared" si="89"/>
        <v>Native</v>
      </c>
      <c r="K807" t="str">
        <f t="shared" si="90"/>
        <v>Yes</v>
      </c>
      <c r="L807">
        <v>200</v>
      </c>
      <c r="O807">
        <f>(7000-900)/3</f>
        <v>2033.3333333333333</v>
      </c>
      <c r="T807" t="str">
        <f t="shared" si="85"/>
        <v/>
      </c>
      <c r="U807" t="s">
        <v>250</v>
      </c>
    </row>
    <row r="808" spans="1:21" x14ac:dyDescent="0.55000000000000004">
      <c r="A808">
        <v>13</v>
      </c>
      <c r="B808" s="15" t="str">
        <f t="shared" si="91"/>
        <v>13_1</v>
      </c>
      <c r="C808" s="20">
        <v>45778.678472222222</v>
      </c>
      <c r="D808" t="s">
        <v>175</v>
      </c>
      <c r="E808">
        <v>2</v>
      </c>
      <c r="F808" t="s">
        <v>133</v>
      </c>
      <c r="G808" t="str">
        <f t="shared" si="86"/>
        <v>Retropinna retropinna</v>
      </c>
      <c r="H808" t="str">
        <f t="shared" si="87"/>
        <v>Common_smelt</v>
      </c>
      <c r="I808" t="str">
        <f t="shared" si="88"/>
        <v>Common_smelt</v>
      </c>
      <c r="J808" t="str">
        <f t="shared" si="89"/>
        <v>Native</v>
      </c>
      <c r="K808" t="str">
        <f t="shared" si="90"/>
        <v>No</v>
      </c>
      <c r="O808">
        <f t="shared" ref="O808:O809" si="92">(7000-900)/3</f>
        <v>2033.3333333333333</v>
      </c>
      <c r="T808" t="str">
        <f t="shared" si="85"/>
        <v/>
      </c>
      <c r="U808" t="s">
        <v>250</v>
      </c>
    </row>
    <row r="809" spans="1:21" x14ac:dyDescent="0.55000000000000004">
      <c r="A809">
        <v>13</v>
      </c>
      <c r="B809" s="15" t="str">
        <f t="shared" si="91"/>
        <v>13_1</v>
      </c>
      <c r="C809" s="20">
        <v>45778.678472222222</v>
      </c>
      <c r="D809" t="s">
        <v>175</v>
      </c>
      <c r="E809">
        <v>2</v>
      </c>
      <c r="F809" t="s">
        <v>135</v>
      </c>
      <c r="G809" t="str">
        <f t="shared" si="86"/>
        <v>Gobiomorphus cotidianus</v>
      </c>
      <c r="H809" t="str">
        <f t="shared" si="87"/>
        <v>Common_bully</v>
      </c>
      <c r="I809" t="str">
        <f t="shared" si="88"/>
        <v>Toitoi</v>
      </c>
      <c r="J809" t="str">
        <f t="shared" si="89"/>
        <v>Native</v>
      </c>
      <c r="K809" t="str">
        <f t="shared" si="90"/>
        <v>No</v>
      </c>
      <c r="O809">
        <f t="shared" si="92"/>
        <v>2033.3333333333333</v>
      </c>
      <c r="T809" t="str">
        <f t="shared" si="85"/>
        <v/>
      </c>
      <c r="U809" t="s">
        <v>250</v>
      </c>
    </row>
    <row r="810" spans="1:21" x14ac:dyDescent="0.55000000000000004">
      <c r="A810">
        <v>13</v>
      </c>
      <c r="B810" s="15" t="str">
        <f t="shared" si="91"/>
        <v>13_1</v>
      </c>
      <c r="C810" s="20">
        <v>45778.678472222222</v>
      </c>
      <c r="D810" t="s">
        <v>175</v>
      </c>
      <c r="E810">
        <v>2</v>
      </c>
      <c r="F810" t="s">
        <v>115</v>
      </c>
      <c r="G810" t="str">
        <f t="shared" si="86"/>
        <v>Paranephrops planifrons</v>
      </c>
      <c r="H810" t="str">
        <f t="shared" si="87"/>
        <v>Freshwater_crayfish</v>
      </c>
      <c r="I810" t="str">
        <f t="shared" si="88"/>
        <v>Kōura</v>
      </c>
      <c r="J810" t="str">
        <f t="shared" si="89"/>
        <v>Native</v>
      </c>
      <c r="K810" t="str">
        <f t="shared" si="90"/>
        <v>Yes</v>
      </c>
      <c r="L810">
        <v>1</v>
      </c>
      <c r="M810" t="s">
        <v>177</v>
      </c>
      <c r="N810">
        <v>23</v>
      </c>
      <c r="O810">
        <v>11</v>
      </c>
      <c r="T810" t="str">
        <f t="shared" si="85"/>
        <v/>
      </c>
    </row>
    <row r="811" spans="1:21" x14ac:dyDescent="0.55000000000000004">
      <c r="A811">
        <v>13</v>
      </c>
      <c r="B811" s="15" t="str">
        <f t="shared" si="91"/>
        <v>13_1</v>
      </c>
      <c r="C811" s="20">
        <v>45778.678472164349</v>
      </c>
      <c r="D811" t="s">
        <v>175</v>
      </c>
      <c r="E811">
        <v>2</v>
      </c>
      <c r="F811" t="s">
        <v>115</v>
      </c>
      <c r="G811" t="str">
        <f t="shared" si="86"/>
        <v>Paranephrops planifrons</v>
      </c>
      <c r="H811" t="str">
        <f t="shared" si="87"/>
        <v>Freshwater_crayfish</v>
      </c>
      <c r="I811" t="str">
        <f t="shared" si="88"/>
        <v>Kōura</v>
      </c>
      <c r="J811" t="str">
        <f t="shared" si="89"/>
        <v>Native</v>
      </c>
      <c r="K811" t="str">
        <f t="shared" si="90"/>
        <v>Yes</v>
      </c>
      <c r="L811">
        <v>1</v>
      </c>
      <c r="M811" t="s">
        <v>177</v>
      </c>
      <c r="N811">
        <v>17</v>
      </c>
      <c r="O811">
        <v>4</v>
      </c>
      <c r="T811" t="str">
        <f t="shared" si="85"/>
        <v/>
      </c>
    </row>
    <row r="812" spans="1:21" x14ac:dyDescent="0.55000000000000004">
      <c r="A812">
        <v>13</v>
      </c>
      <c r="B812" s="15" t="str">
        <f t="shared" si="91"/>
        <v>13_1</v>
      </c>
      <c r="C812" s="20">
        <v>45778.678472164349</v>
      </c>
      <c r="D812" t="s">
        <v>175</v>
      </c>
      <c r="E812">
        <v>2</v>
      </c>
      <c r="F812" t="s">
        <v>115</v>
      </c>
      <c r="G812" t="str">
        <f t="shared" si="86"/>
        <v>Paranephrops planifrons</v>
      </c>
      <c r="H812" t="str">
        <f t="shared" si="87"/>
        <v>Freshwater_crayfish</v>
      </c>
      <c r="I812" t="str">
        <f t="shared" si="88"/>
        <v>Kōura</v>
      </c>
      <c r="J812" t="str">
        <f t="shared" si="89"/>
        <v>Native</v>
      </c>
      <c r="K812" t="str">
        <f t="shared" si="90"/>
        <v>Yes</v>
      </c>
      <c r="L812">
        <v>1</v>
      </c>
      <c r="M812" t="s">
        <v>177</v>
      </c>
      <c r="N812">
        <v>21</v>
      </c>
      <c r="O812">
        <v>5</v>
      </c>
      <c r="P812">
        <v>1</v>
      </c>
      <c r="T812" t="str">
        <f t="shared" si="85"/>
        <v/>
      </c>
      <c r="U812" t="s">
        <v>184</v>
      </c>
    </row>
    <row r="813" spans="1:21" x14ac:dyDescent="0.55000000000000004">
      <c r="A813">
        <v>13</v>
      </c>
      <c r="B813" s="15" t="str">
        <f t="shared" si="91"/>
        <v>13_1</v>
      </c>
      <c r="C813" s="20">
        <v>45778.678472164349</v>
      </c>
      <c r="D813" t="s">
        <v>175</v>
      </c>
      <c r="E813">
        <v>2</v>
      </c>
      <c r="F813" t="s">
        <v>127</v>
      </c>
      <c r="G813" t="str">
        <f t="shared" si="86"/>
        <v>Galaxias brevipinnis</v>
      </c>
      <c r="H813" t="str">
        <f t="shared" si="87"/>
        <v>Climbing_galaxias</v>
      </c>
      <c r="I813" t="str">
        <f t="shared" si="88"/>
        <v>Kōaro</v>
      </c>
      <c r="J813" t="str">
        <f t="shared" si="89"/>
        <v>Native</v>
      </c>
      <c r="K813" t="str">
        <f t="shared" si="90"/>
        <v>Yes</v>
      </c>
      <c r="L813">
        <v>70</v>
      </c>
      <c r="O813">
        <f>(3000-900)/3</f>
        <v>700</v>
      </c>
      <c r="T813" t="str">
        <f t="shared" si="85"/>
        <v/>
      </c>
    </row>
    <row r="814" spans="1:21" x14ac:dyDescent="0.55000000000000004">
      <c r="A814">
        <v>13</v>
      </c>
      <c r="B814" s="15" t="str">
        <f t="shared" si="91"/>
        <v>13_1</v>
      </c>
      <c r="C814" s="20">
        <v>45778.678472164349</v>
      </c>
      <c r="D814" t="s">
        <v>175</v>
      </c>
      <c r="E814">
        <v>2</v>
      </c>
      <c r="F814" t="s">
        <v>133</v>
      </c>
      <c r="G814" t="str">
        <f t="shared" si="86"/>
        <v>Retropinna retropinna</v>
      </c>
      <c r="H814" t="str">
        <f t="shared" si="87"/>
        <v>Common_smelt</v>
      </c>
      <c r="I814" t="str">
        <f t="shared" si="88"/>
        <v>Common_smelt</v>
      </c>
      <c r="J814" t="str">
        <f t="shared" si="89"/>
        <v>Native</v>
      </c>
      <c r="K814" t="str">
        <f t="shared" si="90"/>
        <v>No</v>
      </c>
      <c r="O814">
        <f t="shared" ref="O814:O815" si="93">(3000-900)/3</f>
        <v>700</v>
      </c>
      <c r="T814" t="str">
        <f t="shared" si="85"/>
        <v/>
      </c>
    </row>
    <row r="815" spans="1:21" x14ac:dyDescent="0.55000000000000004">
      <c r="A815">
        <v>13</v>
      </c>
      <c r="B815" s="15" t="str">
        <f t="shared" si="91"/>
        <v>13_1</v>
      </c>
      <c r="C815" s="20">
        <v>45778.678472164349</v>
      </c>
      <c r="D815" t="s">
        <v>175</v>
      </c>
      <c r="E815">
        <v>2</v>
      </c>
      <c r="F815" t="s">
        <v>135</v>
      </c>
      <c r="G815" t="str">
        <f t="shared" si="86"/>
        <v>Gobiomorphus cotidianus</v>
      </c>
      <c r="H815" t="str">
        <f t="shared" si="87"/>
        <v>Common_bully</v>
      </c>
      <c r="I815" t="str">
        <f t="shared" si="88"/>
        <v>Toitoi</v>
      </c>
      <c r="J815" t="str">
        <f t="shared" si="89"/>
        <v>Native</v>
      </c>
      <c r="K815" t="str">
        <f t="shared" si="90"/>
        <v>No</v>
      </c>
      <c r="O815">
        <f t="shared" si="93"/>
        <v>700</v>
      </c>
      <c r="T815" t="str">
        <f t="shared" si="85"/>
        <v/>
      </c>
    </row>
    <row r="816" spans="1:21" x14ac:dyDescent="0.55000000000000004">
      <c r="A816">
        <v>13</v>
      </c>
      <c r="B816" s="15" t="str">
        <f t="shared" si="91"/>
        <v>13_1</v>
      </c>
      <c r="C816" s="20">
        <v>45778.678472164349</v>
      </c>
      <c r="D816" t="s">
        <v>175</v>
      </c>
      <c r="E816">
        <v>2</v>
      </c>
      <c r="F816" t="s">
        <v>115</v>
      </c>
      <c r="G816" t="str">
        <f t="shared" si="86"/>
        <v>Paranephrops planifrons</v>
      </c>
      <c r="H816" t="str">
        <f t="shared" si="87"/>
        <v>Freshwater_crayfish</v>
      </c>
      <c r="I816" t="str">
        <f t="shared" si="88"/>
        <v>Kōura</v>
      </c>
      <c r="J816" t="str">
        <f t="shared" si="89"/>
        <v>Native</v>
      </c>
      <c r="K816" t="str">
        <f t="shared" si="90"/>
        <v>Yes</v>
      </c>
      <c r="L816">
        <v>1</v>
      </c>
      <c r="M816" t="s">
        <v>176</v>
      </c>
      <c r="N816">
        <v>34</v>
      </c>
      <c r="O816">
        <v>29</v>
      </c>
      <c r="Q816">
        <v>1</v>
      </c>
      <c r="T816" t="str">
        <f t="shared" si="85"/>
        <v/>
      </c>
    </row>
    <row r="817" spans="1:20" x14ac:dyDescent="0.55000000000000004">
      <c r="A817">
        <v>14</v>
      </c>
      <c r="B817" s="15" t="str">
        <f t="shared" si="91"/>
        <v>14_1</v>
      </c>
      <c r="C817" s="20">
        <v>45778.678472222222</v>
      </c>
      <c r="D817" t="s">
        <v>174</v>
      </c>
      <c r="E817">
        <v>2</v>
      </c>
      <c r="F817" t="s">
        <v>115</v>
      </c>
      <c r="G817" t="str">
        <f t="shared" si="86"/>
        <v>Paranephrops planifrons</v>
      </c>
      <c r="H817" t="str">
        <f t="shared" si="87"/>
        <v>Freshwater_crayfish</v>
      </c>
      <c r="I817" t="str">
        <f t="shared" si="88"/>
        <v>Kōura</v>
      </c>
      <c r="J817" t="str">
        <f t="shared" si="89"/>
        <v>Native</v>
      </c>
      <c r="K817" t="str">
        <f t="shared" si="90"/>
        <v>Yes</v>
      </c>
      <c r="L817">
        <v>1</v>
      </c>
      <c r="M817" t="s">
        <v>177</v>
      </c>
      <c r="N817">
        <v>18</v>
      </c>
      <c r="O817">
        <v>4</v>
      </c>
      <c r="T817" t="str">
        <f t="shared" si="85"/>
        <v/>
      </c>
    </row>
    <row r="818" spans="1:20" x14ac:dyDescent="0.55000000000000004">
      <c r="A818">
        <v>14</v>
      </c>
      <c r="B818" s="15" t="str">
        <f t="shared" si="91"/>
        <v>14_1</v>
      </c>
      <c r="C818" s="20">
        <v>45778.678472222222</v>
      </c>
      <c r="D818" t="s">
        <v>174</v>
      </c>
      <c r="E818">
        <v>2</v>
      </c>
      <c r="F818" t="s">
        <v>135</v>
      </c>
      <c r="G818" t="str">
        <f t="shared" si="86"/>
        <v>Gobiomorphus cotidianus</v>
      </c>
      <c r="H818" t="str">
        <f t="shared" si="87"/>
        <v>Common_bully</v>
      </c>
      <c r="I818" t="str">
        <f t="shared" si="88"/>
        <v>Toitoi</v>
      </c>
      <c r="J818" t="str">
        <f t="shared" si="89"/>
        <v>Native</v>
      </c>
      <c r="K818" t="str">
        <f t="shared" si="90"/>
        <v>No</v>
      </c>
      <c r="L818">
        <v>20</v>
      </c>
      <c r="T818" t="str">
        <f t="shared" si="85"/>
        <v/>
      </c>
    </row>
    <row r="819" spans="1:20" x14ac:dyDescent="0.55000000000000004">
      <c r="A819">
        <v>14</v>
      </c>
      <c r="B819" s="15" t="str">
        <f t="shared" si="91"/>
        <v>14_1</v>
      </c>
      <c r="C819" s="20">
        <v>45778.678472222222</v>
      </c>
      <c r="D819" t="s">
        <v>175</v>
      </c>
      <c r="E819">
        <v>2</v>
      </c>
      <c r="F819" t="s">
        <v>124</v>
      </c>
      <c r="G819" t="str">
        <f t="shared" si="86"/>
        <v>Carassius auratus</v>
      </c>
      <c r="H819" t="str">
        <f t="shared" si="87"/>
        <v>Goldfish</v>
      </c>
      <c r="I819" t="str">
        <f t="shared" si="88"/>
        <v>Morihana</v>
      </c>
      <c r="J819" t="str">
        <f t="shared" si="89"/>
        <v>Nonnative</v>
      </c>
      <c r="K819" t="str">
        <f t="shared" si="90"/>
        <v>No</v>
      </c>
      <c r="L819">
        <v>2</v>
      </c>
      <c r="T819" t="str">
        <f t="shared" si="85"/>
        <v/>
      </c>
    </row>
    <row r="820" spans="1:20" x14ac:dyDescent="0.55000000000000004">
      <c r="A820">
        <v>14</v>
      </c>
      <c r="B820" s="15" t="str">
        <f t="shared" si="91"/>
        <v>14_1</v>
      </c>
      <c r="C820" s="20">
        <v>45778.678472222222</v>
      </c>
      <c r="D820" t="s">
        <v>175</v>
      </c>
      <c r="E820">
        <v>2</v>
      </c>
      <c r="F820" t="s">
        <v>127</v>
      </c>
      <c r="G820" t="str">
        <f t="shared" si="86"/>
        <v>Galaxias brevipinnis</v>
      </c>
      <c r="H820" t="str">
        <f t="shared" si="87"/>
        <v>Climbing_galaxias</v>
      </c>
      <c r="I820" t="str">
        <f t="shared" si="88"/>
        <v>Kōaro</v>
      </c>
      <c r="J820" t="str">
        <f t="shared" si="89"/>
        <v>Native</v>
      </c>
      <c r="K820" t="str">
        <f t="shared" si="90"/>
        <v>Yes</v>
      </c>
      <c r="L820">
        <v>8</v>
      </c>
      <c r="T820" t="str">
        <f t="shared" si="85"/>
        <v/>
      </c>
    </row>
    <row r="821" spans="1:20" x14ac:dyDescent="0.55000000000000004">
      <c r="A821">
        <v>14</v>
      </c>
      <c r="B821" s="15" t="str">
        <f t="shared" si="91"/>
        <v>14_1</v>
      </c>
      <c r="C821" s="20">
        <v>45778.678472222222</v>
      </c>
      <c r="D821" t="s">
        <v>175</v>
      </c>
      <c r="E821">
        <v>2</v>
      </c>
      <c r="F821" t="s">
        <v>120</v>
      </c>
      <c r="G821" t="str">
        <f t="shared" si="86"/>
        <v>Ameiurus nebulosus</v>
      </c>
      <c r="H821" t="str">
        <f t="shared" si="87"/>
        <v>Catfish</v>
      </c>
      <c r="I821" t="str">
        <f t="shared" si="88"/>
        <v>Catfish</v>
      </c>
      <c r="J821" t="str">
        <f t="shared" si="89"/>
        <v>Nonnative</v>
      </c>
      <c r="K821" t="str">
        <f t="shared" si="90"/>
        <v>No</v>
      </c>
      <c r="L821">
        <v>1</v>
      </c>
      <c r="N821">
        <v>85</v>
      </c>
      <c r="O821">
        <v>7</v>
      </c>
      <c r="T821" t="str">
        <f t="shared" ref="T821:T884" si="94">IF(S821&lt;&gt;"", S821*236.588, "")</f>
        <v/>
      </c>
    </row>
    <row r="822" spans="1:20" x14ac:dyDescent="0.55000000000000004">
      <c r="A822">
        <v>14</v>
      </c>
      <c r="B822" s="15" t="str">
        <f t="shared" si="91"/>
        <v>14_1</v>
      </c>
      <c r="C822" s="20">
        <v>45778.678472222222</v>
      </c>
      <c r="D822" t="s">
        <v>175</v>
      </c>
      <c r="E822">
        <v>2</v>
      </c>
      <c r="F822" t="s">
        <v>133</v>
      </c>
      <c r="G822" t="str">
        <f t="shared" si="86"/>
        <v>Retropinna retropinna</v>
      </c>
      <c r="H822" t="str">
        <f t="shared" si="87"/>
        <v>Common_smelt</v>
      </c>
      <c r="I822" t="str">
        <f t="shared" si="88"/>
        <v>Common_smelt</v>
      </c>
      <c r="J822" t="str">
        <f t="shared" si="89"/>
        <v>Native</v>
      </c>
      <c r="K822" t="str">
        <f t="shared" si="90"/>
        <v>No</v>
      </c>
      <c r="O822">
        <v>491</v>
      </c>
      <c r="S822">
        <v>2.5</v>
      </c>
      <c r="T822">
        <f t="shared" si="94"/>
        <v>591.47</v>
      </c>
    </row>
    <row r="823" spans="1:20" x14ac:dyDescent="0.55000000000000004">
      <c r="A823">
        <v>14</v>
      </c>
      <c r="B823" s="15" t="str">
        <f t="shared" si="91"/>
        <v>14_1</v>
      </c>
      <c r="C823" s="20">
        <v>45778.678472164349</v>
      </c>
      <c r="D823" t="s">
        <v>175</v>
      </c>
      <c r="E823">
        <v>2</v>
      </c>
      <c r="F823" t="s">
        <v>135</v>
      </c>
      <c r="G823" t="str">
        <f t="shared" si="86"/>
        <v>Gobiomorphus cotidianus</v>
      </c>
      <c r="H823" t="str">
        <f t="shared" si="87"/>
        <v>Common_bully</v>
      </c>
      <c r="I823" t="str">
        <f t="shared" si="88"/>
        <v>Toitoi</v>
      </c>
      <c r="J823" t="str">
        <f t="shared" si="89"/>
        <v>Native</v>
      </c>
      <c r="K823" t="str">
        <f t="shared" si="90"/>
        <v>No</v>
      </c>
      <c r="O823">
        <v>426</v>
      </c>
      <c r="S823">
        <v>2.5</v>
      </c>
      <c r="T823">
        <f t="shared" si="94"/>
        <v>591.47</v>
      </c>
    </row>
    <row r="824" spans="1:20" x14ac:dyDescent="0.55000000000000004">
      <c r="A824">
        <v>14</v>
      </c>
      <c r="B824" s="15" t="str">
        <f t="shared" si="91"/>
        <v>14_1</v>
      </c>
      <c r="C824" s="20">
        <v>45778.678472164349</v>
      </c>
      <c r="D824" t="s">
        <v>175</v>
      </c>
      <c r="E824">
        <v>2</v>
      </c>
      <c r="F824" t="s">
        <v>127</v>
      </c>
      <c r="G824" t="str">
        <f t="shared" si="86"/>
        <v>Galaxias brevipinnis</v>
      </c>
      <c r="H824" t="str">
        <f t="shared" si="87"/>
        <v>Climbing_galaxias</v>
      </c>
      <c r="I824" t="str">
        <f t="shared" si="88"/>
        <v>Kōaro</v>
      </c>
      <c r="J824" t="str">
        <f t="shared" si="89"/>
        <v>Native</v>
      </c>
      <c r="K824" t="str">
        <f t="shared" si="90"/>
        <v>Yes</v>
      </c>
      <c r="L824">
        <v>1</v>
      </c>
      <c r="T824" t="str">
        <f t="shared" si="94"/>
        <v/>
      </c>
    </row>
    <row r="825" spans="1:20" x14ac:dyDescent="0.55000000000000004">
      <c r="A825">
        <v>14</v>
      </c>
      <c r="B825" s="15" t="str">
        <f t="shared" si="91"/>
        <v>14_1</v>
      </c>
      <c r="C825" s="20">
        <v>45778.678472164349</v>
      </c>
      <c r="D825" t="s">
        <v>175</v>
      </c>
      <c r="E825">
        <v>2</v>
      </c>
      <c r="F825" t="s">
        <v>115</v>
      </c>
      <c r="G825" t="str">
        <f t="shared" si="86"/>
        <v>Paranephrops planifrons</v>
      </c>
      <c r="H825" t="str">
        <f t="shared" si="87"/>
        <v>Freshwater_crayfish</v>
      </c>
      <c r="I825" t="str">
        <f t="shared" si="88"/>
        <v>Kōura</v>
      </c>
      <c r="J825" t="str">
        <f t="shared" si="89"/>
        <v>Native</v>
      </c>
      <c r="K825" t="str">
        <f t="shared" si="90"/>
        <v>Yes</v>
      </c>
      <c r="L825">
        <v>1</v>
      </c>
      <c r="M825" t="s">
        <v>176</v>
      </c>
      <c r="N825">
        <v>22</v>
      </c>
      <c r="O825">
        <v>10</v>
      </c>
      <c r="T825" t="str">
        <f t="shared" si="94"/>
        <v/>
      </c>
    </row>
    <row r="826" spans="1:20" x14ac:dyDescent="0.55000000000000004">
      <c r="A826">
        <v>14</v>
      </c>
      <c r="B826" s="15" t="str">
        <f t="shared" si="91"/>
        <v>14_1</v>
      </c>
      <c r="C826" s="20">
        <v>45778.678472164349</v>
      </c>
      <c r="D826" t="s">
        <v>175</v>
      </c>
      <c r="E826">
        <v>2</v>
      </c>
      <c r="F826" t="s">
        <v>115</v>
      </c>
      <c r="G826" t="str">
        <f t="shared" si="86"/>
        <v>Paranephrops planifrons</v>
      </c>
      <c r="H826" t="str">
        <f t="shared" si="87"/>
        <v>Freshwater_crayfish</v>
      </c>
      <c r="I826" t="str">
        <f t="shared" si="88"/>
        <v>Kōura</v>
      </c>
      <c r="J826" t="str">
        <f t="shared" si="89"/>
        <v>Native</v>
      </c>
      <c r="K826" t="str">
        <f t="shared" si="90"/>
        <v>Yes</v>
      </c>
      <c r="L826">
        <v>1</v>
      </c>
      <c r="M826" t="s">
        <v>177</v>
      </c>
      <c r="N826">
        <v>29</v>
      </c>
      <c r="O826">
        <v>21</v>
      </c>
      <c r="T826" t="str">
        <f t="shared" si="94"/>
        <v/>
      </c>
    </row>
    <row r="827" spans="1:20" x14ac:dyDescent="0.55000000000000004">
      <c r="A827">
        <v>14</v>
      </c>
      <c r="B827" s="15" t="str">
        <f t="shared" si="91"/>
        <v>14_1</v>
      </c>
      <c r="C827" s="20">
        <v>45778.678472164349</v>
      </c>
      <c r="D827" t="s">
        <v>175</v>
      </c>
      <c r="E827">
        <v>2</v>
      </c>
      <c r="F827" t="s">
        <v>115</v>
      </c>
      <c r="G827" t="str">
        <f t="shared" si="86"/>
        <v>Paranephrops planifrons</v>
      </c>
      <c r="H827" t="str">
        <f t="shared" si="87"/>
        <v>Freshwater_crayfish</v>
      </c>
      <c r="I827" t="str">
        <f t="shared" si="88"/>
        <v>Kōura</v>
      </c>
      <c r="J827" t="str">
        <f t="shared" si="89"/>
        <v>Native</v>
      </c>
      <c r="K827" t="str">
        <f t="shared" si="90"/>
        <v>Yes</v>
      </c>
      <c r="L827">
        <v>1</v>
      </c>
      <c r="M827" t="s">
        <v>177</v>
      </c>
      <c r="N827">
        <v>30</v>
      </c>
      <c r="O827">
        <v>27</v>
      </c>
      <c r="T827" t="str">
        <f t="shared" si="94"/>
        <v/>
      </c>
    </row>
    <row r="828" spans="1:20" x14ac:dyDescent="0.55000000000000004">
      <c r="A828">
        <v>14</v>
      </c>
      <c r="B828" s="15" t="str">
        <f t="shared" si="91"/>
        <v>14_1</v>
      </c>
      <c r="C828" s="20">
        <v>45778.678472164349</v>
      </c>
      <c r="D828" t="s">
        <v>175</v>
      </c>
      <c r="E828">
        <v>2</v>
      </c>
      <c r="F828" t="s">
        <v>133</v>
      </c>
      <c r="G828" t="str">
        <f t="shared" si="86"/>
        <v>Retropinna retropinna</v>
      </c>
      <c r="H828" t="str">
        <f t="shared" si="87"/>
        <v>Common_smelt</v>
      </c>
      <c r="I828" t="str">
        <f t="shared" si="88"/>
        <v>Common_smelt</v>
      </c>
      <c r="J828" t="str">
        <f t="shared" si="89"/>
        <v>Native</v>
      </c>
      <c r="K828" t="str">
        <f t="shared" si="90"/>
        <v>No</v>
      </c>
      <c r="O828">
        <v>499</v>
      </c>
      <c r="S828">
        <v>2.5</v>
      </c>
      <c r="T828">
        <f t="shared" si="94"/>
        <v>591.47</v>
      </c>
    </row>
    <row r="829" spans="1:20" x14ac:dyDescent="0.55000000000000004">
      <c r="A829">
        <v>14</v>
      </c>
      <c r="B829" s="15" t="str">
        <f t="shared" si="91"/>
        <v>14_1</v>
      </c>
      <c r="C829" s="20">
        <v>45778.678472106483</v>
      </c>
      <c r="D829" t="s">
        <v>175</v>
      </c>
      <c r="E829">
        <v>2</v>
      </c>
      <c r="F829" t="s">
        <v>133</v>
      </c>
      <c r="G829" t="str">
        <f t="shared" si="86"/>
        <v>Retropinna retropinna</v>
      </c>
      <c r="H829" t="str">
        <f t="shared" si="87"/>
        <v>Common_smelt</v>
      </c>
      <c r="I829" t="str">
        <f t="shared" si="88"/>
        <v>Common_smelt</v>
      </c>
      <c r="J829" t="str">
        <f t="shared" si="89"/>
        <v>Native</v>
      </c>
      <c r="K829" t="str">
        <f t="shared" si="90"/>
        <v>No</v>
      </c>
      <c r="O829">
        <v>527</v>
      </c>
      <c r="S829">
        <v>2.5</v>
      </c>
      <c r="T829">
        <f t="shared" si="94"/>
        <v>591.47</v>
      </c>
    </row>
    <row r="830" spans="1:20" x14ac:dyDescent="0.55000000000000004">
      <c r="A830">
        <v>17</v>
      </c>
      <c r="B830" s="15" t="str">
        <f t="shared" si="91"/>
        <v>17_1</v>
      </c>
      <c r="C830" s="20">
        <v>45778.541666666664</v>
      </c>
      <c r="D830" t="s">
        <v>174</v>
      </c>
      <c r="E830">
        <v>2</v>
      </c>
      <c r="F830" t="s">
        <v>135</v>
      </c>
      <c r="G830" t="str">
        <f t="shared" si="86"/>
        <v>Gobiomorphus cotidianus</v>
      </c>
      <c r="H830" t="str">
        <f t="shared" si="87"/>
        <v>Common_bully</v>
      </c>
      <c r="I830" t="str">
        <f t="shared" si="88"/>
        <v>Toitoi</v>
      </c>
      <c r="J830" t="str">
        <f t="shared" si="89"/>
        <v>Native</v>
      </c>
      <c r="K830" t="str">
        <f t="shared" si="90"/>
        <v>No</v>
      </c>
      <c r="L830">
        <v>8</v>
      </c>
      <c r="T830" t="str">
        <f t="shared" si="94"/>
        <v/>
      </c>
    </row>
    <row r="831" spans="1:20" x14ac:dyDescent="0.55000000000000004">
      <c r="A831">
        <v>17</v>
      </c>
      <c r="B831" s="15" t="str">
        <f t="shared" si="91"/>
        <v>17_1</v>
      </c>
      <c r="C831" s="20">
        <v>45778.541666666664</v>
      </c>
      <c r="D831" t="s">
        <v>175</v>
      </c>
      <c r="E831">
        <v>2</v>
      </c>
      <c r="F831" t="s">
        <v>124</v>
      </c>
      <c r="G831" t="str">
        <f t="shared" si="86"/>
        <v>Carassius auratus</v>
      </c>
      <c r="H831" t="str">
        <f t="shared" si="87"/>
        <v>Goldfish</v>
      </c>
      <c r="I831" t="str">
        <f t="shared" si="88"/>
        <v>Morihana</v>
      </c>
      <c r="J831" t="str">
        <f t="shared" si="89"/>
        <v>Nonnative</v>
      </c>
      <c r="K831" t="str">
        <f t="shared" si="90"/>
        <v>No</v>
      </c>
      <c r="L831">
        <v>1</v>
      </c>
      <c r="N831">
        <v>155</v>
      </c>
      <c r="O831">
        <v>60</v>
      </c>
      <c r="T831" t="str">
        <f t="shared" si="94"/>
        <v/>
      </c>
    </row>
    <row r="832" spans="1:20" x14ac:dyDescent="0.55000000000000004">
      <c r="A832">
        <v>17</v>
      </c>
      <c r="B832" s="15" t="str">
        <f t="shared" si="91"/>
        <v>17_1</v>
      </c>
      <c r="C832" s="20">
        <v>45778.541666666664</v>
      </c>
      <c r="D832" t="s">
        <v>175</v>
      </c>
      <c r="E832">
        <v>2</v>
      </c>
      <c r="F832" t="s">
        <v>115</v>
      </c>
      <c r="G832" t="str">
        <f t="shared" si="86"/>
        <v>Paranephrops planifrons</v>
      </c>
      <c r="H832" t="str">
        <f t="shared" si="87"/>
        <v>Freshwater_crayfish</v>
      </c>
      <c r="I832" t="str">
        <f t="shared" si="88"/>
        <v>Kōura</v>
      </c>
      <c r="J832" t="str">
        <f t="shared" si="89"/>
        <v>Native</v>
      </c>
      <c r="K832" t="str">
        <f t="shared" si="90"/>
        <v>Yes</v>
      </c>
      <c r="L832">
        <v>1</v>
      </c>
      <c r="M832" t="s">
        <v>177</v>
      </c>
      <c r="N832">
        <v>45</v>
      </c>
      <c r="O832">
        <v>66</v>
      </c>
      <c r="T832" t="str">
        <f t="shared" si="94"/>
        <v/>
      </c>
    </row>
    <row r="833" spans="1:20" x14ac:dyDescent="0.55000000000000004">
      <c r="A833">
        <v>17</v>
      </c>
      <c r="B833" s="15" t="str">
        <f t="shared" si="91"/>
        <v>17_1</v>
      </c>
      <c r="C833" s="20">
        <v>45778.541666666664</v>
      </c>
      <c r="D833" t="s">
        <v>175</v>
      </c>
      <c r="E833">
        <v>2</v>
      </c>
      <c r="F833" t="s">
        <v>115</v>
      </c>
      <c r="G833" t="str">
        <f t="shared" si="86"/>
        <v>Paranephrops planifrons</v>
      </c>
      <c r="H833" t="str">
        <f t="shared" si="87"/>
        <v>Freshwater_crayfish</v>
      </c>
      <c r="I833" t="str">
        <f t="shared" si="88"/>
        <v>Kōura</v>
      </c>
      <c r="J833" t="str">
        <f t="shared" si="89"/>
        <v>Native</v>
      </c>
      <c r="K833" t="str">
        <f t="shared" si="90"/>
        <v>Yes</v>
      </c>
      <c r="L833">
        <v>1</v>
      </c>
      <c r="M833" t="s">
        <v>177</v>
      </c>
      <c r="N833">
        <v>44</v>
      </c>
      <c r="O833">
        <v>63</v>
      </c>
      <c r="T833" t="str">
        <f t="shared" si="94"/>
        <v/>
      </c>
    </row>
    <row r="834" spans="1:20" x14ac:dyDescent="0.55000000000000004">
      <c r="A834">
        <v>17</v>
      </c>
      <c r="B834" s="15" t="str">
        <f t="shared" si="91"/>
        <v>17_1</v>
      </c>
      <c r="C834" s="20">
        <v>45778.541666666664</v>
      </c>
      <c r="D834" t="s">
        <v>175</v>
      </c>
      <c r="E834">
        <v>2</v>
      </c>
      <c r="F834" t="s">
        <v>115</v>
      </c>
      <c r="G834" t="str">
        <f t="shared" ref="G834:G897" si="95">VLOOKUP($F834, $W$1:$AB$10, 2, FALSE)</f>
        <v>Paranephrops planifrons</v>
      </c>
      <c r="H834" t="str">
        <f t="shared" ref="H834:H897" si="96">VLOOKUP($F834, $W$1:$AB$10, 3, FALSE)</f>
        <v>Freshwater_crayfish</v>
      </c>
      <c r="I834" t="str">
        <f t="shared" ref="I834:I897" si="97">VLOOKUP($F834, $W$1:$AB$10, 4, FALSE)</f>
        <v>Kōura</v>
      </c>
      <c r="J834" t="str">
        <f t="shared" ref="J834:J897" si="98">VLOOKUP($F834, $W$1:$AC$10, 5, FALSE)</f>
        <v>Native</v>
      </c>
      <c r="K834" t="str">
        <f t="shared" ref="K834:K897" si="99">VLOOKUP($F834, $W$1:$AB$10, 6, FALSE)</f>
        <v>Yes</v>
      </c>
      <c r="L834">
        <v>1</v>
      </c>
      <c r="M834" t="s">
        <v>177</v>
      </c>
      <c r="N834">
        <v>43</v>
      </c>
      <c r="O834">
        <v>60</v>
      </c>
      <c r="T834" t="str">
        <f t="shared" si="94"/>
        <v/>
      </c>
    </row>
    <row r="835" spans="1:20" x14ac:dyDescent="0.55000000000000004">
      <c r="A835">
        <v>17</v>
      </c>
      <c r="B835" s="15" t="str">
        <f t="shared" si="91"/>
        <v>17_1</v>
      </c>
      <c r="C835" s="20">
        <v>45778.541666666664</v>
      </c>
      <c r="D835" t="s">
        <v>175</v>
      </c>
      <c r="E835">
        <v>2</v>
      </c>
      <c r="F835" t="s">
        <v>115</v>
      </c>
      <c r="G835" t="str">
        <f t="shared" si="95"/>
        <v>Paranephrops planifrons</v>
      </c>
      <c r="H835" t="str">
        <f t="shared" si="96"/>
        <v>Freshwater_crayfish</v>
      </c>
      <c r="I835" t="str">
        <f t="shared" si="97"/>
        <v>Kōura</v>
      </c>
      <c r="J835" t="str">
        <f t="shared" si="98"/>
        <v>Native</v>
      </c>
      <c r="K835" t="str">
        <f t="shared" si="99"/>
        <v>Yes</v>
      </c>
      <c r="L835">
        <v>1</v>
      </c>
      <c r="M835" t="s">
        <v>177</v>
      </c>
      <c r="N835">
        <v>30</v>
      </c>
      <c r="O835">
        <v>21</v>
      </c>
      <c r="T835" t="str">
        <f t="shared" si="94"/>
        <v/>
      </c>
    </row>
    <row r="836" spans="1:20" x14ac:dyDescent="0.55000000000000004">
      <c r="A836">
        <v>17</v>
      </c>
      <c r="B836" s="15" t="str">
        <f t="shared" si="91"/>
        <v>17_1</v>
      </c>
      <c r="C836" s="20">
        <v>45778.541666666664</v>
      </c>
      <c r="D836" t="s">
        <v>175</v>
      </c>
      <c r="E836">
        <v>2</v>
      </c>
      <c r="F836" t="s">
        <v>115</v>
      </c>
      <c r="G836" t="str">
        <f t="shared" si="95"/>
        <v>Paranephrops planifrons</v>
      </c>
      <c r="H836" t="str">
        <f t="shared" si="96"/>
        <v>Freshwater_crayfish</v>
      </c>
      <c r="I836" t="str">
        <f t="shared" si="97"/>
        <v>Kōura</v>
      </c>
      <c r="J836" t="str">
        <f t="shared" si="98"/>
        <v>Native</v>
      </c>
      <c r="K836" t="str">
        <f t="shared" si="99"/>
        <v>Yes</v>
      </c>
      <c r="L836">
        <v>1</v>
      </c>
      <c r="M836" t="s">
        <v>176</v>
      </c>
      <c r="N836">
        <v>30</v>
      </c>
      <c r="O836">
        <v>21</v>
      </c>
      <c r="T836" t="str">
        <f t="shared" si="94"/>
        <v/>
      </c>
    </row>
    <row r="837" spans="1:20" x14ac:dyDescent="0.55000000000000004">
      <c r="A837">
        <v>17</v>
      </c>
      <c r="B837" s="15" t="str">
        <f t="shared" si="91"/>
        <v>17_1</v>
      </c>
      <c r="C837" s="20">
        <v>45778.541666666664</v>
      </c>
      <c r="D837" t="s">
        <v>175</v>
      </c>
      <c r="E837">
        <v>2</v>
      </c>
      <c r="F837" t="s">
        <v>115</v>
      </c>
      <c r="G837" t="str">
        <f t="shared" si="95"/>
        <v>Paranephrops planifrons</v>
      </c>
      <c r="H837" t="str">
        <f t="shared" si="96"/>
        <v>Freshwater_crayfish</v>
      </c>
      <c r="I837" t="str">
        <f t="shared" si="97"/>
        <v>Kōura</v>
      </c>
      <c r="J837" t="str">
        <f t="shared" si="98"/>
        <v>Native</v>
      </c>
      <c r="K837" t="str">
        <f t="shared" si="99"/>
        <v>Yes</v>
      </c>
      <c r="L837">
        <v>1</v>
      </c>
      <c r="M837" t="s">
        <v>177</v>
      </c>
      <c r="N837">
        <v>27</v>
      </c>
      <c r="O837">
        <v>18</v>
      </c>
      <c r="T837" t="str">
        <f t="shared" si="94"/>
        <v/>
      </c>
    </row>
    <row r="838" spans="1:20" x14ac:dyDescent="0.55000000000000004">
      <c r="A838">
        <v>17</v>
      </c>
      <c r="B838" s="15" t="str">
        <f t="shared" si="91"/>
        <v>17_1</v>
      </c>
      <c r="C838" s="20">
        <v>45778.541666666664</v>
      </c>
      <c r="D838" t="s">
        <v>175</v>
      </c>
      <c r="E838">
        <v>2</v>
      </c>
      <c r="F838" t="s">
        <v>115</v>
      </c>
      <c r="G838" t="str">
        <f t="shared" si="95"/>
        <v>Paranephrops planifrons</v>
      </c>
      <c r="H838" t="str">
        <f t="shared" si="96"/>
        <v>Freshwater_crayfish</v>
      </c>
      <c r="I838" t="str">
        <f t="shared" si="97"/>
        <v>Kōura</v>
      </c>
      <c r="J838" t="str">
        <f t="shared" si="98"/>
        <v>Native</v>
      </c>
      <c r="K838" t="str">
        <f t="shared" si="99"/>
        <v>Yes</v>
      </c>
      <c r="L838">
        <v>1</v>
      </c>
      <c r="M838" t="s">
        <v>177</v>
      </c>
      <c r="N838">
        <v>29</v>
      </c>
      <c r="O838">
        <v>22</v>
      </c>
      <c r="T838" t="str">
        <f t="shared" si="94"/>
        <v/>
      </c>
    </row>
    <row r="839" spans="1:20" x14ac:dyDescent="0.55000000000000004">
      <c r="A839">
        <v>17</v>
      </c>
      <c r="B839" s="15" t="str">
        <f t="shared" ref="B839:B902" si="100">A839 &amp; "_1"</f>
        <v>17_1</v>
      </c>
      <c r="C839" s="20">
        <v>45778.541666666664</v>
      </c>
      <c r="D839" t="s">
        <v>175</v>
      </c>
      <c r="E839">
        <v>2</v>
      </c>
      <c r="F839" t="s">
        <v>127</v>
      </c>
      <c r="G839" t="str">
        <f t="shared" si="95"/>
        <v>Galaxias brevipinnis</v>
      </c>
      <c r="H839" t="str">
        <f t="shared" si="96"/>
        <v>Climbing_galaxias</v>
      </c>
      <c r="I839" t="str">
        <f t="shared" si="97"/>
        <v>Kōaro</v>
      </c>
      <c r="J839" t="str">
        <f t="shared" si="98"/>
        <v>Native</v>
      </c>
      <c r="K839" t="str">
        <f t="shared" si="99"/>
        <v>Yes</v>
      </c>
      <c r="L839">
        <v>14</v>
      </c>
      <c r="O839">
        <v>95</v>
      </c>
      <c r="T839" t="str">
        <f t="shared" si="94"/>
        <v/>
      </c>
    </row>
    <row r="840" spans="1:20" x14ac:dyDescent="0.55000000000000004">
      <c r="A840">
        <v>17</v>
      </c>
      <c r="B840" s="15" t="str">
        <f t="shared" si="100"/>
        <v>17_1</v>
      </c>
      <c r="C840" s="20">
        <v>45778.541666666664</v>
      </c>
      <c r="D840" t="s">
        <v>175</v>
      </c>
      <c r="E840">
        <v>2</v>
      </c>
      <c r="F840" t="s">
        <v>133</v>
      </c>
      <c r="G840" t="str">
        <f t="shared" si="95"/>
        <v>Retropinna retropinna</v>
      </c>
      <c r="H840" t="str">
        <f t="shared" si="96"/>
        <v>Common_smelt</v>
      </c>
      <c r="I840" t="str">
        <f t="shared" si="97"/>
        <v>Common_smelt</v>
      </c>
      <c r="J840" t="str">
        <f t="shared" si="98"/>
        <v>Native</v>
      </c>
      <c r="K840" t="str">
        <f t="shared" si="99"/>
        <v>No</v>
      </c>
      <c r="L840">
        <v>20</v>
      </c>
      <c r="T840" t="str">
        <f t="shared" si="94"/>
        <v/>
      </c>
    </row>
    <row r="841" spans="1:20" x14ac:dyDescent="0.55000000000000004">
      <c r="A841">
        <v>17</v>
      </c>
      <c r="B841" s="15" t="str">
        <f t="shared" si="100"/>
        <v>17_1</v>
      </c>
      <c r="C841" s="20">
        <v>45778.541666666664</v>
      </c>
      <c r="D841" t="s">
        <v>175</v>
      </c>
      <c r="E841">
        <v>2</v>
      </c>
      <c r="F841" t="s">
        <v>135</v>
      </c>
      <c r="G841" t="str">
        <f t="shared" si="95"/>
        <v>Gobiomorphus cotidianus</v>
      </c>
      <c r="H841" t="str">
        <f t="shared" si="96"/>
        <v>Common_bully</v>
      </c>
      <c r="I841" t="str">
        <f t="shared" si="97"/>
        <v>Toitoi</v>
      </c>
      <c r="J841" t="str">
        <f t="shared" si="98"/>
        <v>Native</v>
      </c>
      <c r="K841" t="str">
        <f t="shared" si="99"/>
        <v>No</v>
      </c>
      <c r="O841">
        <v>213</v>
      </c>
      <c r="S841">
        <v>1</v>
      </c>
      <c r="T841">
        <f t="shared" si="94"/>
        <v>236.58799999999999</v>
      </c>
    </row>
    <row r="842" spans="1:20" x14ac:dyDescent="0.55000000000000004">
      <c r="A842">
        <v>17</v>
      </c>
      <c r="B842" s="15" t="str">
        <f t="shared" si="100"/>
        <v>17_1</v>
      </c>
      <c r="C842" s="20">
        <v>45778.541666666664</v>
      </c>
      <c r="D842" t="s">
        <v>175</v>
      </c>
      <c r="E842">
        <v>2</v>
      </c>
      <c r="F842" t="s">
        <v>135</v>
      </c>
      <c r="G842" t="str">
        <f t="shared" si="95"/>
        <v>Gobiomorphus cotidianus</v>
      </c>
      <c r="H842" t="str">
        <f t="shared" si="96"/>
        <v>Common_bully</v>
      </c>
      <c r="I842" t="str">
        <f t="shared" si="97"/>
        <v>Toitoi</v>
      </c>
      <c r="J842" t="str">
        <f t="shared" si="98"/>
        <v>Native</v>
      </c>
      <c r="K842" t="str">
        <f t="shared" si="99"/>
        <v>No</v>
      </c>
      <c r="O842">
        <v>276</v>
      </c>
      <c r="S842">
        <v>1.5</v>
      </c>
      <c r="T842">
        <f t="shared" si="94"/>
        <v>354.88200000000001</v>
      </c>
    </row>
    <row r="843" spans="1:20" x14ac:dyDescent="0.55000000000000004">
      <c r="A843">
        <v>18</v>
      </c>
      <c r="B843" s="15" t="str">
        <f t="shared" si="100"/>
        <v>18_1</v>
      </c>
      <c r="C843" s="20">
        <v>45778.541666666664</v>
      </c>
      <c r="D843" t="s">
        <v>174</v>
      </c>
      <c r="E843">
        <v>2</v>
      </c>
      <c r="F843" t="s">
        <v>135</v>
      </c>
      <c r="G843" t="str">
        <f t="shared" si="95"/>
        <v>Gobiomorphus cotidianus</v>
      </c>
      <c r="H843" t="str">
        <f t="shared" si="96"/>
        <v>Common_bully</v>
      </c>
      <c r="I843" t="str">
        <f t="shared" si="97"/>
        <v>Toitoi</v>
      </c>
      <c r="J843" t="str">
        <f t="shared" si="98"/>
        <v>Native</v>
      </c>
      <c r="K843" t="str">
        <f t="shared" si="99"/>
        <v>No</v>
      </c>
      <c r="L843">
        <v>16</v>
      </c>
      <c r="O843">
        <v>6</v>
      </c>
      <c r="T843" t="str">
        <f t="shared" si="94"/>
        <v/>
      </c>
    </row>
    <row r="844" spans="1:20" x14ac:dyDescent="0.55000000000000004">
      <c r="A844">
        <v>18</v>
      </c>
      <c r="B844" s="15" t="str">
        <f t="shared" si="100"/>
        <v>18_1</v>
      </c>
      <c r="C844" s="20">
        <v>45778.541666666664</v>
      </c>
      <c r="D844" t="s">
        <v>175</v>
      </c>
      <c r="E844">
        <v>2</v>
      </c>
      <c r="F844" t="s">
        <v>124</v>
      </c>
      <c r="G844" t="str">
        <f t="shared" si="95"/>
        <v>Carassius auratus</v>
      </c>
      <c r="H844" t="str">
        <f t="shared" si="96"/>
        <v>Goldfish</v>
      </c>
      <c r="I844" t="str">
        <f t="shared" si="97"/>
        <v>Morihana</v>
      </c>
      <c r="J844" t="str">
        <f t="shared" si="98"/>
        <v>Nonnative</v>
      </c>
      <c r="K844" t="str">
        <f t="shared" si="99"/>
        <v>No</v>
      </c>
      <c r="L844">
        <v>1</v>
      </c>
      <c r="N844">
        <v>189</v>
      </c>
      <c r="O844">
        <v>191</v>
      </c>
      <c r="T844" t="str">
        <f t="shared" si="94"/>
        <v/>
      </c>
    </row>
    <row r="845" spans="1:20" x14ac:dyDescent="0.55000000000000004">
      <c r="A845">
        <v>18</v>
      </c>
      <c r="B845" s="15" t="str">
        <f t="shared" si="100"/>
        <v>18_1</v>
      </c>
      <c r="C845" s="20">
        <v>45778.541666666664</v>
      </c>
      <c r="D845" t="s">
        <v>175</v>
      </c>
      <c r="E845">
        <v>2</v>
      </c>
      <c r="F845" t="s">
        <v>124</v>
      </c>
      <c r="G845" t="str">
        <f t="shared" si="95"/>
        <v>Carassius auratus</v>
      </c>
      <c r="H845" t="str">
        <f t="shared" si="96"/>
        <v>Goldfish</v>
      </c>
      <c r="I845" t="str">
        <f t="shared" si="97"/>
        <v>Morihana</v>
      </c>
      <c r="J845" t="str">
        <f t="shared" si="98"/>
        <v>Nonnative</v>
      </c>
      <c r="K845" t="str">
        <f t="shared" si="99"/>
        <v>No</v>
      </c>
      <c r="L845">
        <v>1</v>
      </c>
      <c r="N845">
        <v>180</v>
      </c>
      <c r="O845">
        <v>162</v>
      </c>
      <c r="T845" t="str">
        <f t="shared" si="94"/>
        <v/>
      </c>
    </row>
    <row r="846" spans="1:20" x14ac:dyDescent="0.55000000000000004">
      <c r="A846">
        <v>18</v>
      </c>
      <c r="B846" s="15" t="str">
        <f t="shared" si="100"/>
        <v>18_1</v>
      </c>
      <c r="C846" s="20">
        <v>45778.541666666664</v>
      </c>
      <c r="D846" t="s">
        <v>175</v>
      </c>
      <c r="E846">
        <v>2</v>
      </c>
      <c r="F846" t="s">
        <v>124</v>
      </c>
      <c r="G846" t="str">
        <f t="shared" si="95"/>
        <v>Carassius auratus</v>
      </c>
      <c r="H846" t="str">
        <f t="shared" si="96"/>
        <v>Goldfish</v>
      </c>
      <c r="I846" t="str">
        <f t="shared" si="97"/>
        <v>Morihana</v>
      </c>
      <c r="J846" t="str">
        <f t="shared" si="98"/>
        <v>Nonnative</v>
      </c>
      <c r="K846" t="str">
        <f t="shared" si="99"/>
        <v>No</v>
      </c>
      <c r="L846">
        <v>1</v>
      </c>
      <c r="N846">
        <v>205</v>
      </c>
      <c r="O846">
        <v>245</v>
      </c>
      <c r="T846" t="str">
        <f t="shared" si="94"/>
        <v/>
      </c>
    </row>
    <row r="847" spans="1:20" x14ac:dyDescent="0.55000000000000004">
      <c r="A847">
        <v>18</v>
      </c>
      <c r="B847" s="15" t="str">
        <f t="shared" si="100"/>
        <v>18_1</v>
      </c>
      <c r="C847" s="20">
        <v>45778.541666666664</v>
      </c>
      <c r="D847" t="s">
        <v>175</v>
      </c>
      <c r="E847">
        <v>2</v>
      </c>
      <c r="F847" t="s">
        <v>124</v>
      </c>
      <c r="G847" t="str">
        <f t="shared" si="95"/>
        <v>Carassius auratus</v>
      </c>
      <c r="H847" t="str">
        <f t="shared" si="96"/>
        <v>Goldfish</v>
      </c>
      <c r="I847" t="str">
        <f t="shared" si="97"/>
        <v>Morihana</v>
      </c>
      <c r="J847" t="str">
        <f t="shared" si="98"/>
        <v>Nonnative</v>
      </c>
      <c r="K847" t="str">
        <f t="shared" si="99"/>
        <v>No</v>
      </c>
      <c r="L847">
        <v>1</v>
      </c>
      <c r="N847">
        <v>162</v>
      </c>
      <c r="O847">
        <v>112</v>
      </c>
      <c r="T847" t="str">
        <f t="shared" si="94"/>
        <v/>
      </c>
    </row>
    <row r="848" spans="1:20" x14ac:dyDescent="0.55000000000000004">
      <c r="A848">
        <v>18</v>
      </c>
      <c r="B848" s="15" t="str">
        <f t="shared" si="100"/>
        <v>18_1</v>
      </c>
      <c r="C848" s="20">
        <v>45778.541666666664</v>
      </c>
      <c r="D848" t="s">
        <v>175</v>
      </c>
      <c r="E848">
        <v>2</v>
      </c>
      <c r="F848" t="s">
        <v>124</v>
      </c>
      <c r="G848" t="str">
        <f t="shared" si="95"/>
        <v>Carassius auratus</v>
      </c>
      <c r="H848" t="str">
        <f t="shared" si="96"/>
        <v>Goldfish</v>
      </c>
      <c r="I848" t="str">
        <f t="shared" si="97"/>
        <v>Morihana</v>
      </c>
      <c r="J848" t="str">
        <f t="shared" si="98"/>
        <v>Nonnative</v>
      </c>
      <c r="K848" t="str">
        <f t="shared" si="99"/>
        <v>No</v>
      </c>
      <c r="L848">
        <v>1</v>
      </c>
      <c r="N848">
        <v>95</v>
      </c>
      <c r="O848">
        <v>21</v>
      </c>
      <c r="T848" t="str">
        <f t="shared" si="94"/>
        <v/>
      </c>
    </row>
    <row r="849" spans="1:20" x14ac:dyDescent="0.55000000000000004">
      <c r="A849">
        <v>18</v>
      </c>
      <c r="B849" s="15" t="str">
        <f t="shared" si="100"/>
        <v>18_1</v>
      </c>
      <c r="C849" s="20">
        <v>45778.541666666664</v>
      </c>
      <c r="D849" t="s">
        <v>175</v>
      </c>
      <c r="E849">
        <v>2</v>
      </c>
      <c r="F849" t="s">
        <v>124</v>
      </c>
      <c r="G849" t="str">
        <f t="shared" si="95"/>
        <v>Carassius auratus</v>
      </c>
      <c r="H849" t="str">
        <f t="shared" si="96"/>
        <v>Goldfish</v>
      </c>
      <c r="I849" t="str">
        <f t="shared" si="97"/>
        <v>Morihana</v>
      </c>
      <c r="J849" t="str">
        <f t="shared" si="98"/>
        <v>Nonnative</v>
      </c>
      <c r="K849" t="str">
        <f t="shared" si="99"/>
        <v>No</v>
      </c>
      <c r="L849">
        <v>1</v>
      </c>
      <c r="N849">
        <v>110</v>
      </c>
      <c r="O849">
        <v>36</v>
      </c>
      <c r="T849" t="str">
        <f t="shared" si="94"/>
        <v/>
      </c>
    </row>
    <row r="850" spans="1:20" x14ac:dyDescent="0.55000000000000004">
      <c r="A850">
        <v>18</v>
      </c>
      <c r="B850" s="15" t="str">
        <f t="shared" si="100"/>
        <v>18_1</v>
      </c>
      <c r="C850" s="20">
        <v>45778.541666666664</v>
      </c>
      <c r="D850" t="s">
        <v>175</v>
      </c>
      <c r="E850">
        <v>2</v>
      </c>
      <c r="F850" t="s">
        <v>124</v>
      </c>
      <c r="G850" t="str">
        <f t="shared" si="95"/>
        <v>Carassius auratus</v>
      </c>
      <c r="H850" t="str">
        <f t="shared" si="96"/>
        <v>Goldfish</v>
      </c>
      <c r="I850" t="str">
        <f t="shared" si="97"/>
        <v>Morihana</v>
      </c>
      <c r="J850" t="str">
        <f t="shared" si="98"/>
        <v>Nonnative</v>
      </c>
      <c r="K850" t="str">
        <f t="shared" si="99"/>
        <v>No</v>
      </c>
      <c r="L850">
        <v>1</v>
      </c>
      <c r="N850">
        <v>144</v>
      </c>
      <c r="O850">
        <v>83</v>
      </c>
      <c r="T850" t="str">
        <f t="shared" si="94"/>
        <v/>
      </c>
    </row>
    <row r="851" spans="1:20" x14ac:dyDescent="0.55000000000000004">
      <c r="A851">
        <v>18</v>
      </c>
      <c r="B851" s="15" t="str">
        <f t="shared" si="100"/>
        <v>18_1</v>
      </c>
      <c r="C851" s="20">
        <v>45778.541666666664</v>
      </c>
      <c r="D851" t="s">
        <v>175</v>
      </c>
      <c r="E851">
        <v>2</v>
      </c>
      <c r="F851" t="s">
        <v>124</v>
      </c>
      <c r="G851" t="str">
        <f t="shared" si="95"/>
        <v>Carassius auratus</v>
      </c>
      <c r="H851" t="str">
        <f t="shared" si="96"/>
        <v>Goldfish</v>
      </c>
      <c r="I851" t="str">
        <f t="shared" si="97"/>
        <v>Morihana</v>
      </c>
      <c r="J851" t="str">
        <f t="shared" si="98"/>
        <v>Nonnative</v>
      </c>
      <c r="K851" t="str">
        <f t="shared" si="99"/>
        <v>No</v>
      </c>
      <c r="L851">
        <v>1</v>
      </c>
      <c r="N851">
        <v>122</v>
      </c>
      <c r="O851">
        <v>46</v>
      </c>
      <c r="T851" t="str">
        <f t="shared" si="94"/>
        <v/>
      </c>
    </row>
    <row r="852" spans="1:20" x14ac:dyDescent="0.55000000000000004">
      <c r="A852">
        <v>18</v>
      </c>
      <c r="B852" s="15" t="str">
        <f t="shared" si="100"/>
        <v>18_1</v>
      </c>
      <c r="C852" s="20">
        <v>45778.541666608799</v>
      </c>
      <c r="D852" t="s">
        <v>175</v>
      </c>
      <c r="E852">
        <v>2</v>
      </c>
      <c r="F852" t="s">
        <v>124</v>
      </c>
      <c r="G852" t="str">
        <f t="shared" si="95"/>
        <v>Carassius auratus</v>
      </c>
      <c r="H852" t="str">
        <f t="shared" si="96"/>
        <v>Goldfish</v>
      </c>
      <c r="I852" t="str">
        <f t="shared" si="97"/>
        <v>Morihana</v>
      </c>
      <c r="J852" t="str">
        <f t="shared" si="98"/>
        <v>Nonnative</v>
      </c>
      <c r="K852" t="str">
        <f t="shared" si="99"/>
        <v>No</v>
      </c>
      <c r="L852">
        <v>1</v>
      </c>
      <c r="N852">
        <v>124</v>
      </c>
      <c r="O852">
        <v>61</v>
      </c>
      <c r="T852" t="str">
        <f t="shared" si="94"/>
        <v/>
      </c>
    </row>
    <row r="853" spans="1:20" x14ac:dyDescent="0.55000000000000004">
      <c r="A853">
        <v>18</v>
      </c>
      <c r="B853" s="15" t="str">
        <f t="shared" si="100"/>
        <v>18_1</v>
      </c>
      <c r="C853" s="20">
        <v>45778.541666608799</v>
      </c>
      <c r="D853" t="s">
        <v>175</v>
      </c>
      <c r="E853">
        <v>2</v>
      </c>
      <c r="F853" t="s">
        <v>124</v>
      </c>
      <c r="G853" t="str">
        <f t="shared" si="95"/>
        <v>Carassius auratus</v>
      </c>
      <c r="H853" t="str">
        <f t="shared" si="96"/>
        <v>Goldfish</v>
      </c>
      <c r="I853" t="str">
        <f t="shared" si="97"/>
        <v>Morihana</v>
      </c>
      <c r="J853" t="str">
        <f t="shared" si="98"/>
        <v>Nonnative</v>
      </c>
      <c r="K853" t="str">
        <f t="shared" si="99"/>
        <v>No</v>
      </c>
      <c r="L853">
        <v>1</v>
      </c>
      <c r="N853">
        <v>150</v>
      </c>
      <c r="O853">
        <v>96</v>
      </c>
      <c r="T853" t="str">
        <f t="shared" si="94"/>
        <v/>
      </c>
    </row>
    <row r="854" spans="1:20" x14ac:dyDescent="0.55000000000000004">
      <c r="A854">
        <v>18</v>
      </c>
      <c r="B854" s="15" t="str">
        <f t="shared" si="100"/>
        <v>18_1</v>
      </c>
      <c r="C854" s="20">
        <v>45778.541666608799</v>
      </c>
      <c r="D854" t="s">
        <v>175</v>
      </c>
      <c r="E854">
        <v>2</v>
      </c>
      <c r="F854" t="s">
        <v>124</v>
      </c>
      <c r="G854" t="str">
        <f t="shared" si="95"/>
        <v>Carassius auratus</v>
      </c>
      <c r="H854" t="str">
        <f t="shared" si="96"/>
        <v>Goldfish</v>
      </c>
      <c r="I854" t="str">
        <f t="shared" si="97"/>
        <v>Morihana</v>
      </c>
      <c r="J854" t="str">
        <f t="shared" si="98"/>
        <v>Nonnative</v>
      </c>
      <c r="K854" t="str">
        <f t="shared" si="99"/>
        <v>No</v>
      </c>
      <c r="L854">
        <v>1</v>
      </c>
      <c r="N854">
        <v>105</v>
      </c>
      <c r="O854">
        <v>27</v>
      </c>
      <c r="T854" t="str">
        <f t="shared" si="94"/>
        <v/>
      </c>
    </row>
    <row r="855" spans="1:20" x14ac:dyDescent="0.55000000000000004">
      <c r="A855">
        <v>18</v>
      </c>
      <c r="B855" s="15" t="str">
        <f t="shared" si="100"/>
        <v>18_1</v>
      </c>
      <c r="C855" s="20">
        <v>45778.541666608799</v>
      </c>
      <c r="D855" t="s">
        <v>175</v>
      </c>
      <c r="E855">
        <v>2</v>
      </c>
      <c r="F855" t="s">
        <v>124</v>
      </c>
      <c r="G855" t="str">
        <f t="shared" si="95"/>
        <v>Carassius auratus</v>
      </c>
      <c r="H855" t="str">
        <f t="shared" si="96"/>
        <v>Goldfish</v>
      </c>
      <c r="I855" t="str">
        <f t="shared" si="97"/>
        <v>Morihana</v>
      </c>
      <c r="J855" t="str">
        <f t="shared" si="98"/>
        <v>Nonnative</v>
      </c>
      <c r="K855" t="str">
        <f t="shared" si="99"/>
        <v>No</v>
      </c>
      <c r="L855">
        <v>1</v>
      </c>
      <c r="N855">
        <v>122</v>
      </c>
      <c r="O855">
        <v>52</v>
      </c>
      <c r="T855" t="str">
        <f t="shared" si="94"/>
        <v/>
      </c>
    </row>
    <row r="856" spans="1:20" x14ac:dyDescent="0.55000000000000004">
      <c r="A856">
        <v>18</v>
      </c>
      <c r="B856" s="15" t="str">
        <f t="shared" si="100"/>
        <v>18_1</v>
      </c>
      <c r="C856" s="20">
        <v>45778.541666608799</v>
      </c>
      <c r="D856" t="s">
        <v>175</v>
      </c>
      <c r="E856">
        <v>2</v>
      </c>
      <c r="F856" t="s">
        <v>124</v>
      </c>
      <c r="G856" t="str">
        <f t="shared" si="95"/>
        <v>Carassius auratus</v>
      </c>
      <c r="H856" t="str">
        <f t="shared" si="96"/>
        <v>Goldfish</v>
      </c>
      <c r="I856" t="str">
        <f t="shared" si="97"/>
        <v>Morihana</v>
      </c>
      <c r="J856" t="str">
        <f t="shared" si="98"/>
        <v>Nonnative</v>
      </c>
      <c r="K856" t="str">
        <f t="shared" si="99"/>
        <v>No</v>
      </c>
      <c r="L856">
        <v>1</v>
      </c>
      <c r="N856">
        <v>105</v>
      </c>
      <c r="O856">
        <v>22</v>
      </c>
      <c r="T856" t="str">
        <f t="shared" si="94"/>
        <v/>
      </c>
    </row>
    <row r="857" spans="1:20" x14ac:dyDescent="0.55000000000000004">
      <c r="A857">
        <v>18</v>
      </c>
      <c r="B857" s="15" t="str">
        <f t="shared" si="100"/>
        <v>18_1</v>
      </c>
      <c r="C857" s="20">
        <v>45778.541666608799</v>
      </c>
      <c r="D857" t="s">
        <v>175</v>
      </c>
      <c r="E857">
        <v>2</v>
      </c>
      <c r="F857" t="s">
        <v>124</v>
      </c>
      <c r="G857" t="str">
        <f t="shared" si="95"/>
        <v>Carassius auratus</v>
      </c>
      <c r="H857" t="str">
        <f t="shared" si="96"/>
        <v>Goldfish</v>
      </c>
      <c r="I857" t="str">
        <f t="shared" si="97"/>
        <v>Morihana</v>
      </c>
      <c r="J857" t="str">
        <f t="shared" si="98"/>
        <v>Nonnative</v>
      </c>
      <c r="K857" t="str">
        <f t="shared" si="99"/>
        <v>No</v>
      </c>
      <c r="L857">
        <v>1</v>
      </c>
      <c r="N857">
        <v>95</v>
      </c>
      <c r="O857">
        <v>17</v>
      </c>
      <c r="T857" t="str">
        <f t="shared" si="94"/>
        <v/>
      </c>
    </row>
    <row r="858" spans="1:20" x14ac:dyDescent="0.55000000000000004">
      <c r="A858">
        <v>18</v>
      </c>
      <c r="B858" s="15" t="str">
        <f t="shared" si="100"/>
        <v>18_1</v>
      </c>
      <c r="C858" s="20">
        <v>45778.541666608799</v>
      </c>
      <c r="D858" t="s">
        <v>175</v>
      </c>
      <c r="E858">
        <v>2</v>
      </c>
      <c r="F858" t="s">
        <v>124</v>
      </c>
      <c r="G858" t="str">
        <f t="shared" si="95"/>
        <v>Carassius auratus</v>
      </c>
      <c r="H858" t="str">
        <f t="shared" si="96"/>
        <v>Goldfish</v>
      </c>
      <c r="I858" t="str">
        <f t="shared" si="97"/>
        <v>Morihana</v>
      </c>
      <c r="J858" t="str">
        <f t="shared" si="98"/>
        <v>Nonnative</v>
      </c>
      <c r="K858" t="str">
        <f t="shared" si="99"/>
        <v>No</v>
      </c>
      <c r="L858">
        <v>1</v>
      </c>
      <c r="N858">
        <v>80</v>
      </c>
      <c r="O858">
        <v>12</v>
      </c>
      <c r="T858" t="str">
        <f t="shared" si="94"/>
        <v/>
      </c>
    </row>
    <row r="859" spans="1:20" x14ac:dyDescent="0.55000000000000004">
      <c r="A859">
        <v>18</v>
      </c>
      <c r="B859" s="15" t="str">
        <f t="shared" si="100"/>
        <v>18_1</v>
      </c>
      <c r="C859" s="20">
        <v>45778.541666608799</v>
      </c>
      <c r="D859" t="s">
        <v>175</v>
      </c>
      <c r="E859">
        <v>2</v>
      </c>
      <c r="F859" t="s">
        <v>115</v>
      </c>
      <c r="G859" t="str">
        <f t="shared" si="95"/>
        <v>Paranephrops planifrons</v>
      </c>
      <c r="H859" t="str">
        <f t="shared" si="96"/>
        <v>Freshwater_crayfish</v>
      </c>
      <c r="I859" t="str">
        <f t="shared" si="97"/>
        <v>Kōura</v>
      </c>
      <c r="J859" t="str">
        <f t="shared" si="98"/>
        <v>Native</v>
      </c>
      <c r="K859" t="str">
        <f t="shared" si="99"/>
        <v>Yes</v>
      </c>
      <c r="L859">
        <v>1</v>
      </c>
      <c r="M859" t="s">
        <v>176</v>
      </c>
      <c r="N859">
        <v>58</v>
      </c>
      <c r="O859">
        <v>108</v>
      </c>
      <c r="T859" t="str">
        <f t="shared" si="94"/>
        <v/>
      </c>
    </row>
    <row r="860" spans="1:20" x14ac:dyDescent="0.55000000000000004">
      <c r="A860">
        <v>18</v>
      </c>
      <c r="B860" s="15" t="str">
        <f t="shared" si="100"/>
        <v>18_1</v>
      </c>
      <c r="C860" s="20">
        <v>45778.541666608799</v>
      </c>
      <c r="D860" t="s">
        <v>175</v>
      </c>
      <c r="E860">
        <v>2</v>
      </c>
      <c r="F860" t="s">
        <v>115</v>
      </c>
      <c r="G860" t="str">
        <f t="shared" si="95"/>
        <v>Paranephrops planifrons</v>
      </c>
      <c r="H860" t="str">
        <f t="shared" si="96"/>
        <v>Freshwater_crayfish</v>
      </c>
      <c r="I860" t="str">
        <f t="shared" si="97"/>
        <v>Kōura</v>
      </c>
      <c r="J860" t="str">
        <f t="shared" si="98"/>
        <v>Native</v>
      </c>
      <c r="K860" t="str">
        <f t="shared" si="99"/>
        <v>Yes</v>
      </c>
      <c r="L860">
        <v>1</v>
      </c>
      <c r="M860" t="s">
        <v>177</v>
      </c>
      <c r="N860">
        <v>44</v>
      </c>
      <c r="O860">
        <v>64</v>
      </c>
      <c r="T860" t="str">
        <f t="shared" si="94"/>
        <v/>
      </c>
    </row>
    <row r="861" spans="1:20" x14ac:dyDescent="0.55000000000000004">
      <c r="A861">
        <v>18</v>
      </c>
      <c r="B861" s="15" t="str">
        <f t="shared" si="100"/>
        <v>18_1</v>
      </c>
      <c r="C861" s="20">
        <v>45778.541666608799</v>
      </c>
      <c r="D861" t="s">
        <v>175</v>
      </c>
      <c r="E861">
        <v>2</v>
      </c>
      <c r="F861" t="s">
        <v>115</v>
      </c>
      <c r="G861" t="str">
        <f t="shared" si="95"/>
        <v>Paranephrops planifrons</v>
      </c>
      <c r="H861" t="str">
        <f t="shared" si="96"/>
        <v>Freshwater_crayfish</v>
      </c>
      <c r="I861" t="str">
        <f t="shared" si="97"/>
        <v>Kōura</v>
      </c>
      <c r="J861" t="str">
        <f t="shared" si="98"/>
        <v>Native</v>
      </c>
      <c r="K861" t="str">
        <f t="shared" si="99"/>
        <v>Yes</v>
      </c>
      <c r="L861">
        <v>1</v>
      </c>
      <c r="M861" t="s">
        <v>177</v>
      </c>
      <c r="N861">
        <v>50</v>
      </c>
      <c r="O861">
        <v>88</v>
      </c>
      <c r="T861" t="str">
        <f t="shared" si="94"/>
        <v/>
      </c>
    </row>
    <row r="862" spans="1:20" x14ac:dyDescent="0.55000000000000004">
      <c r="A862">
        <v>18</v>
      </c>
      <c r="B862" s="15" t="str">
        <f t="shared" si="100"/>
        <v>18_1</v>
      </c>
      <c r="C862" s="20">
        <v>45778.541666608799</v>
      </c>
      <c r="D862" t="s">
        <v>175</v>
      </c>
      <c r="E862">
        <v>2</v>
      </c>
      <c r="F862" t="s">
        <v>115</v>
      </c>
      <c r="G862" t="str">
        <f t="shared" si="95"/>
        <v>Paranephrops planifrons</v>
      </c>
      <c r="H862" t="str">
        <f t="shared" si="96"/>
        <v>Freshwater_crayfish</v>
      </c>
      <c r="I862" t="str">
        <f t="shared" si="97"/>
        <v>Kōura</v>
      </c>
      <c r="J862" t="str">
        <f t="shared" si="98"/>
        <v>Native</v>
      </c>
      <c r="K862" t="str">
        <f t="shared" si="99"/>
        <v>Yes</v>
      </c>
      <c r="L862">
        <v>1</v>
      </c>
      <c r="M862" t="s">
        <v>177</v>
      </c>
      <c r="N862">
        <v>49</v>
      </c>
      <c r="O862">
        <v>81</v>
      </c>
      <c r="T862" t="str">
        <f t="shared" si="94"/>
        <v/>
      </c>
    </row>
    <row r="863" spans="1:20" x14ac:dyDescent="0.55000000000000004">
      <c r="A863">
        <v>18</v>
      </c>
      <c r="B863" s="15" t="str">
        <f t="shared" si="100"/>
        <v>18_1</v>
      </c>
      <c r="C863" s="20">
        <v>45778.541666608799</v>
      </c>
      <c r="D863" t="s">
        <v>175</v>
      </c>
      <c r="E863">
        <v>2</v>
      </c>
      <c r="F863" t="s">
        <v>115</v>
      </c>
      <c r="G863" t="str">
        <f t="shared" si="95"/>
        <v>Paranephrops planifrons</v>
      </c>
      <c r="H863" t="str">
        <f t="shared" si="96"/>
        <v>Freshwater_crayfish</v>
      </c>
      <c r="I863" t="str">
        <f t="shared" si="97"/>
        <v>Kōura</v>
      </c>
      <c r="J863" t="str">
        <f t="shared" si="98"/>
        <v>Native</v>
      </c>
      <c r="K863" t="str">
        <f t="shared" si="99"/>
        <v>Yes</v>
      </c>
      <c r="L863">
        <v>1</v>
      </c>
      <c r="M863" t="s">
        <v>177</v>
      </c>
      <c r="N863">
        <v>30</v>
      </c>
      <c r="O863">
        <v>26</v>
      </c>
      <c r="T863" t="str">
        <f t="shared" si="94"/>
        <v/>
      </c>
    </row>
    <row r="864" spans="1:20" x14ac:dyDescent="0.55000000000000004">
      <c r="A864">
        <v>18</v>
      </c>
      <c r="B864" s="15" t="str">
        <f t="shared" si="100"/>
        <v>18_1</v>
      </c>
      <c r="C864" s="20">
        <v>45778.541666608799</v>
      </c>
      <c r="D864" t="s">
        <v>175</v>
      </c>
      <c r="E864">
        <v>2</v>
      </c>
      <c r="F864" t="s">
        <v>115</v>
      </c>
      <c r="G864" t="str">
        <f t="shared" si="95"/>
        <v>Paranephrops planifrons</v>
      </c>
      <c r="H864" t="str">
        <f t="shared" si="96"/>
        <v>Freshwater_crayfish</v>
      </c>
      <c r="I864" t="str">
        <f t="shared" si="97"/>
        <v>Kōura</v>
      </c>
      <c r="J864" t="str">
        <f t="shared" si="98"/>
        <v>Native</v>
      </c>
      <c r="K864" t="str">
        <f t="shared" si="99"/>
        <v>Yes</v>
      </c>
      <c r="L864">
        <v>1</v>
      </c>
      <c r="M864" t="s">
        <v>177</v>
      </c>
      <c r="N864">
        <v>29</v>
      </c>
      <c r="O864">
        <v>13</v>
      </c>
      <c r="T864" t="str">
        <f t="shared" si="94"/>
        <v/>
      </c>
    </row>
    <row r="865" spans="1:20" x14ac:dyDescent="0.55000000000000004">
      <c r="A865">
        <v>18</v>
      </c>
      <c r="B865" s="15" t="str">
        <f t="shared" si="100"/>
        <v>18_1</v>
      </c>
      <c r="C865" s="20">
        <v>45778.541666608799</v>
      </c>
      <c r="D865" t="s">
        <v>175</v>
      </c>
      <c r="E865">
        <v>2</v>
      </c>
      <c r="F865" t="s">
        <v>115</v>
      </c>
      <c r="G865" t="str">
        <f t="shared" si="95"/>
        <v>Paranephrops planifrons</v>
      </c>
      <c r="H865" t="str">
        <f t="shared" si="96"/>
        <v>Freshwater_crayfish</v>
      </c>
      <c r="I865" t="str">
        <f t="shared" si="97"/>
        <v>Kōura</v>
      </c>
      <c r="J865" t="str">
        <f t="shared" si="98"/>
        <v>Native</v>
      </c>
      <c r="K865" t="str">
        <f t="shared" si="99"/>
        <v>Yes</v>
      </c>
      <c r="L865">
        <v>1</v>
      </c>
      <c r="M865" t="s">
        <v>176</v>
      </c>
      <c r="N865">
        <v>19</v>
      </c>
      <c r="O865">
        <v>8</v>
      </c>
      <c r="T865" t="str">
        <f t="shared" si="94"/>
        <v/>
      </c>
    </row>
    <row r="866" spans="1:20" x14ac:dyDescent="0.55000000000000004">
      <c r="A866">
        <v>18</v>
      </c>
      <c r="B866" s="15" t="str">
        <f t="shared" si="100"/>
        <v>18_1</v>
      </c>
      <c r="C866" s="20">
        <v>45778.541666608799</v>
      </c>
      <c r="D866" t="s">
        <v>175</v>
      </c>
      <c r="E866">
        <v>2</v>
      </c>
      <c r="F866" t="s">
        <v>115</v>
      </c>
      <c r="G866" t="str">
        <f t="shared" si="95"/>
        <v>Paranephrops planifrons</v>
      </c>
      <c r="H866" t="str">
        <f t="shared" si="96"/>
        <v>Freshwater_crayfish</v>
      </c>
      <c r="I866" t="str">
        <f t="shared" si="97"/>
        <v>Kōura</v>
      </c>
      <c r="J866" t="str">
        <f t="shared" si="98"/>
        <v>Native</v>
      </c>
      <c r="K866" t="str">
        <f t="shared" si="99"/>
        <v>Yes</v>
      </c>
      <c r="L866">
        <v>1</v>
      </c>
      <c r="M866" t="s">
        <v>177</v>
      </c>
      <c r="N866">
        <v>21</v>
      </c>
      <c r="O866">
        <v>10</v>
      </c>
      <c r="T866" t="str">
        <f t="shared" si="94"/>
        <v/>
      </c>
    </row>
    <row r="867" spans="1:20" x14ac:dyDescent="0.55000000000000004">
      <c r="A867">
        <v>18</v>
      </c>
      <c r="B867" s="15" t="str">
        <f t="shared" si="100"/>
        <v>18_1</v>
      </c>
      <c r="C867" s="20">
        <v>45778.541666608799</v>
      </c>
      <c r="D867" t="s">
        <v>175</v>
      </c>
      <c r="E867">
        <v>2</v>
      </c>
      <c r="F867" t="s">
        <v>133</v>
      </c>
      <c r="G867" t="str">
        <f t="shared" si="95"/>
        <v>Retropinna retropinna</v>
      </c>
      <c r="H867" t="str">
        <f t="shared" si="96"/>
        <v>Common_smelt</v>
      </c>
      <c r="I867" t="str">
        <f t="shared" si="97"/>
        <v>Common_smelt</v>
      </c>
      <c r="J867" t="str">
        <f t="shared" si="98"/>
        <v>Native</v>
      </c>
      <c r="K867" t="str">
        <f t="shared" si="99"/>
        <v>No</v>
      </c>
      <c r="L867">
        <v>30</v>
      </c>
      <c r="T867" t="str">
        <f t="shared" si="94"/>
        <v/>
      </c>
    </row>
    <row r="868" spans="1:20" x14ac:dyDescent="0.55000000000000004">
      <c r="A868">
        <v>18</v>
      </c>
      <c r="B868" s="15" t="str">
        <f t="shared" si="100"/>
        <v>18_1</v>
      </c>
      <c r="C868" s="20">
        <v>45778.541666608799</v>
      </c>
      <c r="D868" t="s">
        <v>175</v>
      </c>
      <c r="E868">
        <v>2</v>
      </c>
      <c r="F868" t="s">
        <v>127</v>
      </c>
      <c r="G868" t="str">
        <f t="shared" si="95"/>
        <v>Galaxias brevipinnis</v>
      </c>
      <c r="H868" t="str">
        <f t="shared" si="96"/>
        <v>Climbing_galaxias</v>
      </c>
      <c r="I868" t="str">
        <f t="shared" si="97"/>
        <v>Kōaro</v>
      </c>
      <c r="J868" t="str">
        <f t="shared" si="98"/>
        <v>Native</v>
      </c>
      <c r="K868" t="str">
        <f t="shared" si="99"/>
        <v>Yes</v>
      </c>
      <c r="L868">
        <v>4</v>
      </c>
      <c r="O868">
        <v>60</v>
      </c>
      <c r="T868" t="str">
        <f t="shared" si="94"/>
        <v/>
      </c>
    </row>
    <row r="869" spans="1:20" x14ac:dyDescent="0.55000000000000004">
      <c r="A869">
        <v>18</v>
      </c>
      <c r="B869" s="15" t="str">
        <f t="shared" si="100"/>
        <v>18_1</v>
      </c>
      <c r="C869" s="20">
        <v>45778.541666608799</v>
      </c>
      <c r="D869" t="s">
        <v>175</v>
      </c>
      <c r="E869">
        <v>2</v>
      </c>
      <c r="F869" t="s">
        <v>135</v>
      </c>
      <c r="G869" t="str">
        <f t="shared" si="95"/>
        <v>Gobiomorphus cotidianus</v>
      </c>
      <c r="H869" t="str">
        <f t="shared" si="96"/>
        <v>Common_bully</v>
      </c>
      <c r="I869" t="str">
        <f t="shared" si="97"/>
        <v>Toitoi</v>
      </c>
      <c r="J869" t="str">
        <f t="shared" si="98"/>
        <v>Native</v>
      </c>
      <c r="K869" t="str">
        <f t="shared" si="99"/>
        <v>No</v>
      </c>
      <c r="O869">
        <v>169</v>
      </c>
      <c r="T869" t="str">
        <f t="shared" si="94"/>
        <v/>
      </c>
    </row>
    <row r="870" spans="1:20" x14ac:dyDescent="0.55000000000000004">
      <c r="A870">
        <v>18</v>
      </c>
      <c r="B870" s="15" t="str">
        <f t="shared" si="100"/>
        <v>18_1</v>
      </c>
      <c r="C870" s="20">
        <v>45778.541666608799</v>
      </c>
      <c r="D870" t="s">
        <v>175</v>
      </c>
      <c r="E870">
        <v>2</v>
      </c>
      <c r="F870" t="s">
        <v>135</v>
      </c>
      <c r="G870" t="str">
        <f t="shared" si="95"/>
        <v>Gobiomorphus cotidianus</v>
      </c>
      <c r="H870" t="str">
        <f t="shared" si="96"/>
        <v>Common_bully</v>
      </c>
      <c r="I870" t="str">
        <f t="shared" si="97"/>
        <v>Toitoi</v>
      </c>
      <c r="J870" t="str">
        <f t="shared" si="98"/>
        <v>Native</v>
      </c>
      <c r="K870" t="str">
        <f t="shared" si="99"/>
        <v>No</v>
      </c>
      <c r="O870">
        <v>261</v>
      </c>
      <c r="S870">
        <v>0.75</v>
      </c>
      <c r="T870">
        <f t="shared" si="94"/>
        <v>177.441</v>
      </c>
    </row>
    <row r="871" spans="1:20" x14ac:dyDescent="0.55000000000000004">
      <c r="A871">
        <v>18</v>
      </c>
      <c r="B871" s="15" t="str">
        <f t="shared" si="100"/>
        <v>18_1</v>
      </c>
      <c r="C871" s="20">
        <v>45778.541666608799</v>
      </c>
      <c r="D871" t="s">
        <v>175</v>
      </c>
      <c r="E871">
        <v>2</v>
      </c>
      <c r="F871" t="s">
        <v>127</v>
      </c>
      <c r="G871" t="str">
        <f t="shared" si="95"/>
        <v>Galaxias brevipinnis</v>
      </c>
      <c r="H871" t="str">
        <f t="shared" si="96"/>
        <v>Climbing_galaxias</v>
      </c>
      <c r="I871" t="str">
        <f t="shared" si="97"/>
        <v>Kōaro</v>
      </c>
      <c r="J871" t="str">
        <f t="shared" si="98"/>
        <v>Native</v>
      </c>
      <c r="K871" t="str">
        <f t="shared" si="99"/>
        <v>Yes</v>
      </c>
      <c r="L871">
        <v>1</v>
      </c>
      <c r="N871">
        <v>50</v>
      </c>
      <c r="O871">
        <v>1</v>
      </c>
      <c r="S871">
        <v>1</v>
      </c>
      <c r="T871">
        <f t="shared" si="94"/>
        <v>236.58799999999999</v>
      </c>
    </row>
    <row r="872" spans="1:20" x14ac:dyDescent="0.55000000000000004">
      <c r="A872">
        <v>18</v>
      </c>
      <c r="B872" s="15" t="str">
        <f t="shared" si="100"/>
        <v>18_1</v>
      </c>
      <c r="C872" s="20">
        <v>45778.541666608799</v>
      </c>
      <c r="D872" t="s">
        <v>175</v>
      </c>
      <c r="E872">
        <v>2</v>
      </c>
      <c r="F872" t="s">
        <v>127</v>
      </c>
      <c r="G872" t="str">
        <f t="shared" si="95"/>
        <v>Galaxias brevipinnis</v>
      </c>
      <c r="H872" t="str">
        <f t="shared" si="96"/>
        <v>Climbing_galaxias</v>
      </c>
      <c r="I872" t="str">
        <f t="shared" si="97"/>
        <v>Kōaro</v>
      </c>
      <c r="J872" t="str">
        <f t="shared" si="98"/>
        <v>Native</v>
      </c>
      <c r="K872" t="str">
        <f t="shared" si="99"/>
        <v>Yes</v>
      </c>
      <c r="L872">
        <v>4</v>
      </c>
      <c r="O872">
        <v>29</v>
      </c>
      <c r="T872" t="str">
        <f t="shared" si="94"/>
        <v/>
      </c>
    </row>
    <row r="873" spans="1:20" x14ac:dyDescent="0.55000000000000004">
      <c r="A873">
        <v>18</v>
      </c>
      <c r="B873" s="15" t="str">
        <f t="shared" si="100"/>
        <v>18_1</v>
      </c>
      <c r="C873" s="20">
        <v>45778.541666608799</v>
      </c>
      <c r="D873" t="s">
        <v>175</v>
      </c>
      <c r="E873">
        <v>2</v>
      </c>
      <c r="F873" t="s">
        <v>135</v>
      </c>
      <c r="G873" t="str">
        <f t="shared" si="95"/>
        <v>Gobiomorphus cotidianus</v>
      </c>
      <c r="H873" t="str">
        <f t="shared" si="96"/>
        <v>Common_bully</v>
      </c>
      <c r="I873" t="str">
        <f t="shared" si="97"/>
        <v>Toitoi</v>
      </c>
      <c r="J873" t="str">
        <f t="shared" si="98"/>
        <v>Native</v>
      </c>
      <c r="K873" t="str">
        <f t="shared" si="99"/>
        <v>No</v>
      </c>
      <c r="O873">
        <v>440</v>
      </c>
      <c r="S873">
        <v>2.25</v>
      </c>
      <c r="T873">
        <f t="shared" si="94"/>
        <v>532.32299999999998</v>
      </c>
    </row>
    <row r="874" spans="1:20" x14ac:dyDescent="0.55000000000000004">
      <c r="A874">
        <v>19</v>
      </c>
      <c r="B874" s="15" t="str">
        <f t="shared" si="100"/>
        <v>19_1</v>
      </c>
      <c r="C874" s="20">
        <v>45778.583333333336</v>
      </c>
      <c r="D874" t="s">
        <v>174</v>
      </c>
      <c r="E874">
        <v>2</v>
      </c>
      <c r="F874" t="s">
        <v>115</v>
      </c>
      <c r="G874" t="str">
        <f t="shared" si="95"/>
        <v>Paranephrops planifrons</v>
      </c>
      <c r="H874" t="str">
        <f t="shared" si="96"/>
        <v>Freshwater_crayfish</v>
      </c>
      <c r="I874" t="str">
        <f t="shared" si="97"/>
        <v>Kōura</v>
      </c>
      <c r="J874" t="str">
        <f t="shared" si="98"/>
        <v>Native</v>
      </c>
      <c r="K874" t="str">
        <f t="shared" si="99"/>
        <v>Yes</v>
      </c>
      <c r="L874">
        <v>1</v>
      </c>
      <c r="M874" t="s">
        <v>176</v>
      </c>
      <c r="N874">
        <v>31</v>
      </c>
      <c r="O874">
        <v>24</v>
      </c>
      <c r="Q874">
        <v>1</v>
      </c>
      <c r="T874" t="str">
        <f t="shared" si="94"/>
        <v/>
      </c>
    </row>
    <row r="875" spans="1:20" x14ac:dyDescent="0.55000000000000004">
      <c r="A875">
        <v>19</v>
      </c>
      <c r="B875" s="15" t="str">
        <f t="shared" si="100"/>
        <v>19_1</v>
      </c>
      <c r="C875" s="20">
        <v>45778.583333333336</v>
      </c>
      <c r="D875" t="s">
        <v>174</v>
      </c>
      <c r="E875">
        <v>2</v>
      </c>
      <c r="F875" t="s">
        <v>115</v>
      </c>
      <c r="G875" t="str">
        <f t="shared" si="95"/>
        <v>Paranephrops planifrons</v>
      </c>
      <c r="H875" t="str">
        <f t="shared" si="96"/>
        <v>Freshwater_crayfish</v>
      </c>
      <c r="I875" t="str">
        <f t="shared" si="97"/>
        <v>Kōura</v>
      </c>
      <c r="J875" t="str">
        <f t="shared" si="98"/>
        <v>Native</v>
      </c>
      <c r="K875" t="str">
        <f t="shared" si="99"/>
        <v>Yes</v>
      </c>
      <c r="L875">
        <v>1</v>
      </c>
      <c r="M875" t="s">
        <v>177</v>
      </c>
      <c r="N875">
        <v>35</v>
      </c>
      <c r="O875">
        <v>32</v>
      </c>
      <c r="T875" t="str">
        <f t="shared" si="94"/>
        <v/>
      </c>
    </row>
    <row r="876" spans="1:20" x14ac:dyDescent="0.55000000000000004">
      <c r="A876">
        <v>19</v>
      </c>
      <c r="B876" s="15" t="str">
        <f t="shared" si="100"/>
        <v>19_1</v>
      </c>
      <c r="C876" s="20">
        <v>45778.583333333336</v>
      </c>
      <c r="D876" t="s">
        <v>174</v>
      </c>
      <c r="E876">
        <v>2</v>
      </c>
      <c r="F876" t="s">
        <v>115</v>
      </c>
      <c r="G876" t="str">
        <f t="shared" si="95"/>
        <v>Paranephrops planifrons</v>
      </c>
      <c r="H876" t="str">
        <f t="shared" si="96"/>
        <v>Freshwater_crayfish</v>
      </c>
      <c r="I876" t="str">
        <f t="shared" si="97"/>
        <v>Kōura</v>
      </c>
      <c r="J876" t="str">
        <f t="shared" si="98"/>
        <v>Native</v>
      </c>
      <c r="K876" t="str">
        <f t="shared" si="99"/>
        <v>Yes</v>
      </c>
      <c r="L876">
        <v>1</v>
      </c>
      <c r="M876" t="s">
        <v>177</v>
      </c>
      <c r="N876">
        <v>38</v>
      </c>
      <c r="O876">
        <v>41</v>
      </c>
      <c r="T876" t="str">
        <f t="shared" si="94"/>
        <v/>
      </c>
    </row>
    <row r="877" spans="1:20" x14ac:dyDescent="0.55000000000000004">
      <c r="A877">
        <v>19</v>
      </c>
      <c r="B877" s="15" t="str">
        <f t="shared" si="100"/>
        <v>19_1</v>
      </c>
      <c r="C877" s="20">
        <v>45778.583333333336</v>
      </c>
      <c r="D877" t="s">
        <v>174</v>
      </c>
      <c r="E877">
        <v>2</v>
      </c>
      <c r="F877" t="s">
        <v>115</v>
      </c>
      <c r="G877" t="str">
        <f t="shared" si="95"/>
        <v>Paranephrops planifrons</v>
      </c>
      <c r="H877" t="str">
        <f t="shared" si="96"/>
        <v>Freshwater_crayfish</v>
      </c>
      <c r="I877" t="str">
        <f t="shared" si="97"/>
        <v>Kōura</v>
      </c>
      <c r="J877" t="str">
        <f t="shared" si="98"/>
        <v>Native</v>
      </c>
      <c r="K877" t="str">
        <f t="shared" si="99"/>
        <v>Yes</v>
      </c>
      <c r="L877">
        <v>1</v>
      </c>
      <c r="M877" t="s">
        <v>177</v>
      </c>
      <c r="N877">
        <v>24</v>
      </c>
      <c r="O877">
        <v>12</v>
      </c>
      <c r="T877" t="str">
        <f t="shared" si="94"/>
        <v/>
      </c>
    </row>
    <row r="878" spans="1:20" x14ac:dyDescent="0.55000000000000004">
      <c r="A878">
        <v>19</v>
      </c>
      <c r="B878" s="15" t="str">
        <f t="shared" si="100"/>
        <v>19_1</v>
      </c>
      <c r="C878" s="20">
        <v>45778.583333333336</v>
      </c>
      <c r="D878" t="s">
        <v>174</v>
      </c>
      <c r="E878">
        <v>2</v>
      </c>
      <c r="F878" t="s">
        <v>115</v>
      </c>
      <c r="G878" t="str">
        <f t="shared" si="95"/>
        <v>Paranephrops planifrons</v>
      </c>
      <c r="H878" t="str">
        <f t="shared" si="96"/>
        <v>Freshwater_crayfish</v>
      </c>
      <c r="I878" t="str">
        <f t="shared" si="97"/>
        <v>Kōura</v>
      </c>
      <c r="J878" t="str">
        <f t="shared" si="98"/>
        <v>Native</v>
      </c>
      <c r="K878" t="str">
        <f t="shared" si="99"/>
        <v>Yes</v>
      </c>
      <c r="L878">
        <v>1</v>
      </c>
      <c r="M878" t="s">
        <v>177</v>
      </c>
      <c r="N878">
        <v>26</v>
      </c>
      <c r="O878">
        <v>17</v>
      </c>
      <c r="T878" t="str">
        <f t="shared" si="94"/>
        <v/>
      </c>
    </row>
    <row r="879" spans="1:20" x14ac:dyDescent="0.55000000000000004">
      <c r="A879">
        <v>19</v>
      </c>
      <c r="B879" s="15" t="str">
        <f t="shared" si="100"/>
        <v>19_1</v>
      </c>
      <c r="C879" s="20">
        <v>45778.583333333336</v>
      </c>
      <c r="D879" t="s">
        <v>174</v>
      </c>
      <c r="E879">
        <v>2</v>
      </c>
      <c r="F879" t="s">
        <v>115</v>
      </c>
      <c r="G879" t="str">
        <f t="shared" si="95"/>
        <v>Paranephrops planifrons</v>
      </c>
      <c r="H879" t="str">
        <f t="shared" si="96"/>
        <v>Freshwater_crayfish</v>
      </c>
      <c r="I879" t="str">
        <f t="shared" si="97"/>
        <v>Kōura</v>
      </c>
      <c r="J879" t="str">
        <f t="shared" si="98"/>
        <v>Native</v>
      </c>
      <c r="K879" t="str">
        <f t="shared" si="99"/>
        <v>Yes</v>
      </c>
      <c r="L879">
        <v>1</v>
      </c>
      <c r="M879" t="s">
        <v>176</v>
      </c>
      <c r="N879">
        <v>27</v>
      </c>
      <c r="O879">
        <v>18</v>
      </c>
      <c r="P879">
        <v>1</v>
      </c>
      <c r="T879" t="str">
        <f t="shared" si="94"/>
        <v/>
      </c>
    </row>
    <row r="880" spans="1:20" x14ac:dyDescent="0.55000000000000004">
      <c r="A880">
        <v>19</v>
      </c>
      <c r="B880" s="15" t="str">
        <f t="shared" si="100"/>
        <v>19_1</v>
      </c>
      <c r="C880" s="20">
        <v>45778.583333333336</v>
      </c>
      <c r="D880" t="s">
        <v>174</v>
      </c>
      <c r="E880">
        <v>2</v>
      </c>
      <c r="F880" t="s">
        <v>115</v>
      </c>
      <c r="G880" t="str">
        <f t="shared" si="95"/>
        <v>Paranephrops planifrons</v>
      </c>
      <c r="H880" t="str">
        <f t="shared" si="96"/>
        <v>Freshwater_crayfish</v>
      </c>
      <c r="I880" t="str">
        <f t="shared" si="97"/>
        <v>Kōura</v>
      </c>
      <c r="J880" t="str">
        <f t="shared" si="98"/>
        <v>Native</v>
      </c>
      <c r="K880" t="str">
        <f t="shared" si="99"/>
        <v>Yes</v>
      </c>
      <c r="L880">
        <v>1</v>
      </c>
      <c r="M880" t="s">
        <v>176</v>
      </c>
      <c r="N880">
        <v>25</v>
      </c>
      <c r="O880">
        <v>16</v>
      </c>
      <c r="Q880">
        <v>1</v>
      </c>
      <c r="T880" t="str">
        <f t="shared" si="94"/>
        <v/>
      </c>
    </row>
    <row r="881" spans="1:20" x14ac:dyDescent="0.55000000000000004">
      <c r="A881">
        <v>19</v>
      </c>
      <c r="B881" s="15" t="str">
        <f t="shared" si="100"/>
        <v>19_1</v>
      </c>
      <c r="C881" s="20">
        <v>45778.583333333336</v>
      </c>
      <c r="D881" t="s">
        <v>174</v>
      </c>
      <c r="E881">
        <v>2</v>
      </c>
      <c r="F881" t="s">
        <v>115</v>
      </c>
      <c r="G881" t="str">
        <f t="shared" si="95"/>
        <v>Paranephrops planifrons</v>
      </c>
      <c r="H881" t="str">
        <f t="shared" si="96"/>
        <v>Freshwater_crayfish</v>
      </c>
      <c r="I881" t="str">
        <f t="shared" si="97"/>
        <v>Kōura</v>
      </c>
      <c r="J881" t="str">
        <f t="shared" si="98"/>
        <v>Native</v>
      </c>
      <c r="K881" t="str">
        <f t="shared" si="99"/>
        <v>Yes</v>
      </c>
      <c r="L881">
        <v>1</v>
      </c>
      <c r="M881" t="s">
        <v>176</v>
      </c>
      <c r="N881">
        <v>23</v>
      </c>
      <c r="O881">
        <v>14</v>
      </c>
      <c r="Q881">
        <v>1</v>
      </c>
      <c r="T881" t="str">
        <f t="shared" si="94"/>
        <v/>
      </c>
    </row>
    <row r="882" spans="1:20" x14ac:dyDescent="0.55000000000000004">
      <c r="A882">
        <v>19</v>
      </c>
      <c r="B882" s="15" t="str">
        <f t="shared" si="100"/>
        <v>19_1</v>
      </c>
      <c r="C882" s="20">
        <v>45778.583333333336</v>
      </c>
      <c r="D882" t="s">
        <v>174</v>
      </c>
      <c r="E882">
        <v>2</v>
      </c>
      <c r="F882" t="s">
        <v>135</v>
      </c>
      <c r="G882" t="str">
        <f t="shared" si="95"/>
        <v>Gobiomorphus cotidianus</v>
      </c>
      <c r="H882" t="str">
        <f t="shared" si="96"/>
        <v>Common_bully</v>
      </c>
      <c r="I882" t="str">
        <f t="shared" si="97"/>
        <v>Toitoi</v>
      </c>
      <c r="J882" t="str">
        <f t="shared" si="98"/>
        <v>Native</v>
      </c>
      <c r="K882" t="str">
        <f t="shared" si="99"/>
        <v>No</v>
      </c>
      <c r="L882">
        <v>10</v>
      </c>
      <c r="T882" t="str">
        <f t="shared" si="94"/>
        <v/>
      </c>
    </row>
    <row r="883" spans="1:20" x14ac:dyDescent="0.55000000000000004">
      <c r="A883">
        <v>19</v>
      </c>
      <c r="B883" s="15" t="str">
        <f t="shared" si="100"/>
        <v>19_1</v>
      </c>
      <c r="C883" s="20">
        <v>45778.583333333336</v>
      </c>
      <c r="D883" t="s">
        <v>175</v>
      </c>
      <c r="E883">
        <v>2</v>
      </c>
      <c r="F883" t="s">
        <v>124</v>
      </c>
      <c r="G883" t="str">
        <f t="shared" si="95"/>
        <v>Carassius auratus</v>
      </c>
      <c r="H883" t="str">
        <f t="shared" si="96"/>
        <v>Goldfish</v>
      </c>
      <c r="I883" t="str">
        <f t="shared" si="97"/>
        <v>Morihana</v>
      </c>
      <c r="J883" t="str">
        <f t="shared" si="98"/>
        <v>Nonnative</v>
      </c>
      <c r="K883" t="str">
        <f t="shared" si="99"/>
        <v>No</v>
      </c>
      <c r="L883">
        <v>1</v>
      </c>
      <c r="N883">
        <v>164</v>
      </c>
      <c r="O883">
        <v>106</v>
      </c>
      <c r="T883" t="str">
        <f t="shared" si="94"/>
        <v/>
      </c>
    </row>
    <row r="884" spans="1:20" x14ac:dyDescent="0.55000000000000004">
      <c r="A884">
        <v>19</v>
      </c>
      <c r="B884" s="15" t="str">
        <f t="shared" si="100"/>
        <v>19_1</v>
      </c>
      <c r="C884" s="20">
        <v>45778.583333333336</v>
      </c>
      <c r="D884" t="s">
        <v>175</v>
      </c>
      <c r="E884">
        <v>2</v>
      </c>
      <c r="F884" t="s">
        <v>124</v>
      </c>
      <c r="G884" t="str">
        <f t="shared" si="95"/>
        <v>Carassius auratus</v>
      </c>
      <c r="H884" t="str">
        <f t="shared" si="96"/>
        <v>Goldfish</v>
      </c>
      <c r="I884" t="str">
        <f t="shared" si="97"/>
        <v>Morihana</v>
      </c>
      <c r="J884" t="str">
        <f t="shared" si="98"/>
        <v>Nonnative</v>
      </c>
      <c r="K884" t="str">
        <f t="shared" si="99"/>
        <v>No</v>
      </c>
      <c r="L884">
        <v>1</v>
      </c>
      <c r="N884">
        <v>150</v>
      </c>
      <c r="O884">
        <v>77</v>
      </c>
      <c r="T884" t="str">
        <f t="shared" si="94"/>
        <v/>
      </c>
    </row>
    <row r="885" spans="1:20" x14ac:dyDescent="0.55000000000000004">
      <c r="A885">
        <v>19</v>
      </c>
      <c r="B885" s="15" t="str">
        <f t="shared" si="100"/>
        <v>19_1</v>
      </c>
      <c r="C885" s="20">
        <v>45778.583333333336</v>
      </c>
      <c r="D885" t="s">
        <v>175</v>
      </c>
      <c r="E885">
        <v>2</v>
      </c>
      <c r="F885" t="s">
        <v>124</v>
      </c>
      <c r="G885" t="str">
        <f t="shared" si="95"/>
        <v>Carassius auratus</v>
      </c>
      <c r="H885" t="str">
        <f t="shared" si="96"/>
        <v>Goldfish</v>
      </c>
      <c r="I885" t="str">
        <f t="shared" si="97"/>
        <v>Morihana</v>
      </c>
      <c r="J885" t="str">
        <f t="shared" si="98"/>
        <v>Nonnative</v>
      </c>
      <c r="K885" t="str">
        <f t="shared" si="99"/>
        <v>No</v>
      </c>
      <c r="L885">
        <v>1</v>
      </c>
      <c r="N885">
        <v>100</v>
      </c>
      <c r="O885">
        <v>21</v>
      </c>
      <c r="T885" t="str">
        <f t="shared" ref="T885:T947" si="101">IF(S885&lt;&gt;"", S885*236.588, "")</f>
        <v/>
      </c>
    </row>
    <row r="886" spans="1:20" x14ac:dyDescent="0.55000000000000004">
      <c r="A886">
        <v>19</v>
      </c>
      <c r="B886" s="15" t="str">
        <f t="shared" si="100"/>
        <v>19_1</v>
      </c>
      <c r="C886" s="20">
        <v>45778.583333333336</v>
      </c>
      <c r="D886" t="s">
        <v>175</v>
      </c>
      <c r="E886">
        <v>2</v>
      </c>
      <c r="F886" t="s">
        <v>115</v>
      </c>
      <c r="G886" t="str">
        <f t="shared" si="95"/>
        <v>Paranephrops planifrons</v>
      </c>
      <c r="H886" t="str">
        <f t="shared" si="96"/>
        <v>Freshwater_crayfish</v>
      </c>
      <c r="I886" t="str">
        <f t="shared" si="97"/>
        <v>Kōura</v>
      </c>
      <c r="J886" t="str">
        <f t="shared" si="98"/>
        <v>Native</v>
      </c>
      <c r="K886" t="str">
        <f t="shared" si="99"/>
        <v>Yes</v>
      </c>
      <c r="L886">
        <v>1</v>
      </c>
      <c r="M886" t="s">
        <v>176</v>
      </c>
      <c r="N886">
        <v>37</v>
      </c>
      <c r="O886">
        <v>31</v>
      </c>
      <c r="T886" t="str">
        <f t="shared" si="101"/>
        <v/>
      </c>
    </row>
    <row r="887" spans="1:20" x14ac:dyDescent="0.55000000000000004">
      <c r="A887">
        <v>19</v>
      </c>
      <c r="B887" s="15" t="str">
        <f t="shared" si="100"/>
        <v>19_1</v>
      </c>
      <c r="C887" s="20">
        <v>45778.583333333336</v>
      </c>
      <c r="D887" t="s">
        <v>175</v>
      </c>
      <c r="E887">
        <v>2</v>
      </c>
      <c r="F887" t="s">
        <v>115</v>
      </c>
      <c r="G887" t="str">
        <f t="shared" si="95"/>
        <v>Paranephrops planifrons</v>
      </c>
      <c r="H887" t="str">
        <f t="shared" si="96"/>
        <v>Freshwater_crayfish</v>
      </c>
      <c r="I887" t="str">
        <f t="shared" si="97"/>
        <v>Kōura</v>
      </c>
      <c r="J887" t="str">
        <f t="shared" si="98"/>
        <v>Native</v>
      </c>
      <c r="K887" t="str">
        <f t="shared" si="99"/>
        <v>Yes</v>
      </c>
      <c r="L887">
        <v>1</v>
      </c>
      <c r="M887" t="s">
        <v>177</v>
      </c>
      <c r="N887">
        <v>20</v>
      </c>
      <c r="O887">
        <v>7</v>
      </c>
      <c r="T887" t="str">
        <f t="shared" si="101"/>
        <v/>
      </c>
    </row>
    <row r="888" spans="1:20" x14ac:dyDescent="0.55000000000000004">
      <c r="A888">
        <v>19</v>
      </c>
      <c r="B888" s="15" t="str">
        <f t="shared" si="100"/>
        <v>19_1</v>
      </c>
      <c r="C888" s="20">
        <v>45778.583333333336</v>
      </c>
      <c r="D888" t="s">
        <v>175</v>
      </c>
      <c r="E888">
        <v>2</v>
      </c>
      <c r="F888" t="s">
        <v>115</v>
      </c>
      <c r="G888" t="str">
        <f t="shared" si="95"/>
        <v>Paranephrops planifrons</v>
      </c>
      <c r="H888" t="str">
        <f t="shared" si="96"/>
        <v>Freshwater_crayfish</v>
      </c>
      <c r="I888" t="str">
        <f t="shared" si="97"/>
        <v>Kōura</v>
      </c>
      <c r="J888" t="str">
        <f t="shared" si="98"/>
        <v>Native</v>
      </c>
      <c r="K888" t="str">
        <f t="shared" si="99"/>
        <v>Yes</v>
      </c>
      <c r="L888">
        <v>1</v>
      </c>
      <c r="M888" t="s">
        <v>177</v>
      </c>
      <c r="N888">
        <v>20</v>
      </c>
      <c r="O888">
        <v>8</v>
      </c>
      <c r="T888" t="str">
        <f t="shared" si="101"/>
        <v/>
      </c>
    </row>
    <row r="889" spans="1:20" x14ac:dyDescent="0.55000000000000004">
      <c r="A889">
        <v>19</v>
      </c>
      <c r="B889" s="15" t="str">
        <f t="shared" si="100"/>
        <v>19_1</v>
      </c>
      <c r="C889" s="20">
        <v>45778.583333333336</v>
      </c>
      <c r="D889" t="s">
        <v>175</v>
      </c>
      <c r="E889">
        <v>2</v>
      </c>
      <c r="F889" t="s">
        <v>133</v>
      </c>
      <c r="G889" t="str">
        <f t="shared" si="95"/>
        <v>Retropinna retropinna</v>
      </c>
      <c r="H889" t="str">
        <f t="shared" si="96"/>
        <v>Common_smelt</v>
      </c>
      <c r="I889" t="str">
        <f t="shared" si="97"/>
        <v>Common_smelt</v>
      </c>
      <c r="J889" t="str">
        <f t="shared" si="98"/>
        <v>Native</v>
      </c>
      <c r="K889" t="str">
        <f t="shared" si="99"/>
        <v>No</v>
      </c>
      <c r="L889">
        <v>10</v>
      </c>
      <c r="T889" t="str">
        <f t="shared" si="101"/>
        <v/>
      </c>
    </row>
    <row r="890" spans="1:20" x14ac:dyDescent="0.55000000000000004">
      <c r="A890">
        <v>19</v>
      </c>
      <c r="B890" s="15" t="str">
        <f t="shared" si="100"/>
        <v>19_1</v>
      </c>
      <c r="C890" s="20">
        <v>45778.583333333336</v>
      </c>
      <c r="D890" t="s">
        <v>175</v>
      </c>
      <c r="E890">
        <v>2</v>
      </c>
      <c r="F890" t="s">
        <v>127</v>
      </c>
      <c r="G890" t="str">
        <f t="shared" si="95"/>
        <v>Galaxias brevipinnis</v>
      </c>
      <c r="H890" t="str">
        <f t="shared" si="96"/>
        <v>Climbing_galaxias</v>
      </c>
      <c r="I890" t="str">
        <f t="shared" si="97"/>
        <v>Kōaro</v>
      </c>
      <c r="J890" t="str">
        <f t="shared" si="98"/>
        <v>Native</v>
      </c>
      <c r="K890" t="str">
        <f t="shared" si="99"/>
        <v>Yes</v>
      </c>
      <c r="L890">
        <v>3</v>
      </c>
      <c r="O890">
        <v>10</v>
      </c>
      <c r="T890" t="str">
        <f t="shared" si="101"/>
        <v/>
      </c>
    </row>
    <row r="891" spans="1:20" x14ac:dyDescent="0.55000000000000004">
      <c r="A891">
        <v>19</v>
      </c>
      <c r="B891" s="15" t="str">
        <f t="shared" si="100"/>
        <v>19_1</v>
      </c>
      <c r="C891" s="20">
        <v>45778.583333333336</v>
      </c>
      <c r="D891" t="s">
        <v>175</v>
      </c>
      <c r="E891">
        <v>2</v>
      </c>
      <c r="F891" t="s">
        <v>127</v>
      </c>
      <c r="G891" t="str">
        <f t="shared" si="95"/>
        <v>Galaxias brevipinnis</v>
      </c>
      <c r="H891" t="str">
        <f t="shared" si="96"/>
        <v>Climbing_galaxias</v>
      </c>
      <c r="I891" t="str">
        <f t="shared" si="97"/>
        <v>Kōaro</v>
      </c>
      <c r="J891" t="str">
        <f t="shared" si="98"/>
        <v>Native</v>
      </c>
      <c r="K891" t="str">
        <f t="shared" si="99"/>
        <v>Yes</v>
      </c>
      <c r="L891">
        <v>1</v>
      </c>
      <c r="O891">
        <v>9</v>
      </c>
      <c r="T891" t="str">
        <f t="shared" si="101"/>
        <v/>
      </c>
    </row>
    <row r="892" spans="1:20" x14ac:dyDescent="0.55000000000000004">
      <c r="A892">
        <v>19</v>
      </c>
      <c r="B892" s="15" t="str">
        <f t="shared" si="100"/>
        <v>19_1</v>
      </c>
      <c r="C892" s="20">
        <v>45778.583333333336</v>
      </c>
      <c r="D892" t="s">
        <v>175</v>
      </c>
      <c r="E892">
        <v>2</v>
      </c>
      <c r="F892" t="s">
        <v>135</v>
      </c>
      <c r="G892" t="str">
        <f t="shared" si="95"/>
        <v>Gobiomorphus cotidianus</v>
      </c>
      <c r="H892" t="str">
        <f t="shared" si="96"/>
        <v>Common_bully</v>
      </c>
      <c r="I892" t="str">
        <f t="shared" si="97"/>
        <v>Toitoi</v>
      </c>
      <c r="J892" t="str">
        <f t="shared" si="98"/>
        <v>Native</v>
      </c>
      <c r="K892" t="str">
        <f t="shared" si="99"/>
        <v>No</v>
      </c>
      <c r="O892">
        <v>510</v>
      </c>
      <c r="S892">
        <v>2.5</v>
      </c>
      <c r="T892">
        <f t="shared" si="101"/>
        <v>591.47</v>
      </c>
    </row>
    <row r="893" spans="1:20" x14ac:dyDescent="0.55000000000000004">
      <c r="A893">
        <v>19</v>
      </c>
      <c r="B893" s="15" t="str">
        <f t="shared" si="100"/>
        <v>19_1</v>
      </c>
      <c r="C893" s="20">
        <v>45778.583333333336</v>
      </c>
      <c r="D893" t="s">
        <v>175</v>
      </c>
      <c r="E893">
        <v>2</v>
      </c>
      <c r="F893" t="s">
        <v>135</v>
      </c>
      <c r="G893" t="str">
        <f t="shared" si="95"/>
        <v>Gobiomorphus cotidianus</v>
      </c>
      <c r="H893" t="str">
        <f t="shared" si="96"/>
        <v>Common_bully</v>
      </c>
      <c r="I893" t="str">
        <f t="shared" si="97"/>
        <v>Toitoi</v>
      </c>
      <c r="J893" t="str">
        <f t="shared" si="98"/>
        <v>Native</v>
      </c>
      <c r="K893" t="str">
        <f t="shared" si="99"/>
        <v>No</v>
      </c>
      <c r="O893">
        <v>188</v>
      </c>
      <c r="S893">
        <v>0.5</v>
      </c>
      <c r="T893">
        <f t="shared" si="101"/>
        <v>118.294</v>
      </c>
    </row>
    <row r="894" spans="1:20" x14ac:dyDescent="0.55000000000000004">
      <c r="A894">
        <v>19</v>
      </c>
      <c r="B894" s="15" t="str">
        <f t="shared" si="100"/>
        <v>19_1</v>
      </c>
      <c r="C894" s="20">
        <v>45778.583333333336</v>
      </c>
      <c r="D894" t="s">
        <v>175</v>
      </c>
      <c r="E894">
        <v>2</v>
      </c>
      <c r="F894" t="s">
        <v>120</v>
      </c>
      <c r="G894" t="str">
        <f t="shared" si="95"/>
        <v>Ameiurus nebulosus</v>
      </c>
      <c r="H894" t="str">
        <f t="shared" si="96"/>
        <v>Catfish</v>
      </c>
      <c r="I894" t="str">
        <f t="shared" si="97"/>
        <v>Catfish</v>
      </c>
      <c r="J894" t="str">
        <f t="shared" si="98"/>
        <v>Nonnative</v>
      </c>
      <c r="K894" t="str">
        <f t="shared" si="99"/>
        <v>No</v>
      </c>
      <c r="L894">
        <v>1</v>
      </c>
      <c r="N894">
        <v>325</v>
      </c>
      <c r="O894">
        <v>489</v>
      </c>
      <c r="T894" t="str">
        <f t="shared" si="101"/>
        <v/>
      </c>
    </row>
    <row r="895" spans="1:20" x14ac:dyDescent="0.55000000000000004">
      <c r="A895">
        <v>19</v>
      </c>
      <c r="B895" s="15" t="str">
        <f t="shared" si="100"/>
        <v>19_1</v>
      </c>
      <c r="C895" s="20">
        <v>45778.583333333336</v>
      </c>
      <c r="D895" t="s">
        <v>175</v>
      </c>
      <c r="E895">
        <v>2</v>
      </c>
      <c r="F895" t="s">
        <v>120</v>
      </c>
      <c r="G895" t="str">
        <f t="shared" si="95"/>
        <v>Ameiurus nebulosus</v>
      </c>
      <c r="H895" t="str">
        <f t="shared" si="96"/>
        <v>Catfish</v>
      </c>
      <c r="I895" t="str">
        <f t="shared" si="97"/>
        <v>Catfish</v>
      </c>
      <c r="J895" t="str">
        <f t="shared" si="98"/>
        <v>Nonnative</v>
      </c>
      <c r="K895" t="str">
        <f t="shared" si="99"/>
        <v>No</v>
      </c>
      <c r="L895">
        <v>1</v>
      </c>
      <c r="N895">
        <v>290</v>
      </c>
      <c r="O895">
        <v>308</v>
      </c>
      <c r="T895" t="str">
        <f t="shared" si="101"/>
        <v/>
      </c>
    </row>
    <row r="896" spans="1:20" x14ac:dyDescent="0.55000000000000004">
      <c r="A896">
        <v>19</v>
      </c>
      <c r="B896" s="15" t="str">
        <f t="shared" si="100"/>
        <v>19_1</v>
      </c>
      <c r="C896" s="20">
        <v>45778.583333333336</v>
      </c>
      <c r="D896" t="s">
        <v>175</v>
      </c>
      <c r="E896">
        <v>2</v>
      </c>
      <c r="F896" t="s">
        <v>120</v>
      </c>
      <c r="G896" t="str">
        <f t="shared" si="95"/>
        <v>Ameiurus nebulosus</v>
      </c>
      <c r="H896" t="str">
        <f t="shared" si="96"/>
        <v>Catfish</v>
      </c>
      <c r="I896" t="str">
        <f t="shared" si="97"/>
        <v>Catfish</v>
      </c>
      <c r="J896" t="str">
        <f t="shared" si="98"/>
        <v>Nonnative</v>
      </c>
      <c r="K896" t="str">
        <f t="shared" si="99"/>
        <v>No</v>
      </c>
      <c r="L896">
        <v>1</v>
      </c>
      <c r="N896">
        <v>105</v>
      </c>
      <c r="O896">
        <v>14</v>
      </c>
      <c r="T896" t="str">
        <f t="shared" si="101"/>
        <v/>
      </c>
    </row>
    <row r="897" spans="1:21" x14ac:dyDescent="0.55000000000000004">
      <c r="A897">
        <v>19</v>
      </c>
      <c r="B897" s="15" t="str">
        <f t="shared" si="100"/>
        <v>19_1</v>
      </c>
      <c r="C897" s="20">
        <v>45778.583333333336</v>
      </c>
      <c r="D897" t="s">
        <v>175</v>
      </c>
      <c r="E897">
        <v>2</v>
      </c>
      <c r="F897" t="s">
        <v>120</v>
      </c>
      <c r="G897" t="str">
        <f t="shared" si="95"/>
        <v>Ameiurus nebulosus</v>
      </c>
      <c r="H897" t="str">
        <f t="shared" si="96"/>
        <v>Catfish</v>
      </c>
      <c r="I897" t="str">
        <f t="shared" si="97"/>
        <v>Catfish</v>
      </c>
      <c r="J897" t="str">
        <f t="shared" si="98"/>
        <v>Nonnative</v>
      </c>
      <c r="K897" t="str">
        <f t="shared" si="99"/>
        <v>No</v>
      </c>
      <c r="L897">
        <v>1</v>
      </c>
      <c r="N897">
        <v>90</v>
      </c>
      <c r="O897">
        <v>9</v>
      </c>
      <c r="T897" t="str">
        <f t="shared" si="101"/>
        <v/>
      </c>
    </row>
    <row r="898" spans="1:21" x14ac:dyDescent="0.55000000000000004">
      <c r="A898">
        <v>19</v>
      </c>
      <c r="B898" s="15" t="str">
        <f t="shared" si="100"/>
        <v>19_1</v>
      </c>
      <c r="C898" s="20">
        <v>45778.583333333336</v>
      </c>
      <c r="D898" t="s">
        <v>175</v>
      </c>
      <c r="E898">
        <v>2</v>
      </c>
      <c r="F898" t="s">
        <v>120</v>
      </c>
      <c r="G898" t="str">
        <f t="shared" ref="G898:G960" si="102">VLOOKUP($F898, $W$1:$AB$10, 2, FALSE)</f>
        <v>Ameiurus nebulosus</v>
      </c>
      <c r="H898" t="str">
        <f t="shared" ref="H898:H960" si="103">VLOOKUP($F898, $W$1:$AB$10, 3, FALSE)</f>
        <v>Catfish</v>
      </c>
      <c r="I898" t="str">
        <f t="shared" ref="I898:I960" si="104">VLOOKUP($F898, $W$1:$AB$10, 4, FALSE)</f>
        <v>Catfish</v>
      </c>
      <c r="J898" t="str">
        <f t="shared" ref="J898:J960" si="105">VLOOKUP($F898, $W$1:$AC$10, 5, FALSE)</f>
        <v>Nonnative</v>
      </c>
      <c r="K898" t="str">
        <f t="shared" ref="K898:K960" si="106">VLOOKUP($F898, $W$1:$AB$10, 6, FALSE)</f>
        <v>No</v>
      </c>
      <c r="L898">
        <v>1</v>
      </c>
      <c r="N898">
        <v>85</v>
      </c>
      <c r="O898">
        <v>7</v>
      </c>
      <c r="T898" t="str">
        <f t="shared" si="101"/>
        <v/>
      </c>
    </row>
    <row r="899" spans="1:21" x14ac:dyDescent="0.55000000000000004">
      <c r="A899">
        <v>20</v>
      </c>
      <c r="B899" s="15" t="str">
        <f t="shared" si="100"/>
        <v>20_1</v>
      </c>
      <c r="C899" s="20">
        <v>45778.583333333336</v>
      </c>
      <c r="D899" t="s">
        <v>174</v>
      </c>
      <c r="E899">
        <v>2</v>
      </c>
      <c r="F899" t="s">
        <v>115</v>
      </c>
      <c r="G899" t="str">
        <f t="shared" si="102"/>
        <v>Paranephrops planifrons</v>
      </c>
      <c r="H899" t="str">
        <f t="shared" si="103"/>
        <v>Freshwater_crayfish</v>
      </c>
      <c r="I899" t="str">
        <f t="shared" si="104"/>
        <v>Kōura</v>
      </c>
      <c r="J899" t="str">
        <f t="shared" si="105"/>
        <v>Native</v>
      </c>
      <c r="K899" t="str">
        <f t="shared" si="106"/>
        <v>Yes</v>
      </c>
      <c r="L899">
        <v>1</v>
      </c>
      <c r="M899" t="s">
        <v>177</v>
      </c>
      <c r="N899">
        <v>30</v>
      </c>
      <c r="O899">
        <v>26</v>
      </c>
      <c r="T899" t="str">
        <f t="shared" si="101"/>
        <v/>
      </c>
    </row>
    <row r="900" spans="1:21" x14ac:dyDescent="0.55000000000000004">
      <c r="A900">
        <v>20</v>
      </c>
      <c r="B900" s="15" t="str">
        <f t="shared" si="100"/>
        <v>20_1</v>
      </c>
      <c r="C900" s="20">
        <v>45778.583333333336</v>
      </c>
      <c r="D900" t="s">
        <v>174</v>
      </c>
      <c r="E900">
        <v>2</v>
      </c>
      <c r="F900" t="s">
        <v>115</v>
      </c>
      <c r="G900" t="str">
        <f t="shared" si="102"/>
        <v>Paranephrops planifrons</v>
      </c>
      <c r="H900" t="str">
        <f t="shared" si="103"/>
        <v>Freshwater_crayfish</v>
      </c>
      <c r="I900" t="str">
        <f t="shared" si="104"/>
        <v>Kōura</v>
      </c>
      <c r="J900" t="str">
        <f t="shared" si="105"/>
        <v>Native</v>
      </c>
      <c r="K900" t="str">
        <f t="shared" si="106"/>
        <v>Yes</v>
      </c>
      <c r="L900">
        <v>1</v>
      </c>
      <c r="M900" t="s">
        <v>177</v>
      </c>
      <c r="N900">
        <v>20</v>
      </c>
      <c r="O900">
        <v>16</v>
      </c>
      <c r="T900" t="str">
        <f t="shared" si="101"/>
        <v/>
      </c>
    </row>
    <row r="901" spans="1:21" x14ac:dyDescent="0.55000000000000004">
      <c r="A901">
        <v>20</v>
      </c>
      <c r="B901" s="15" t="str">
        <f t="shared" si="100"/>
        <v>20_1</v>
      </c>
      <c r="C901" s="20">
        <v>45778.583333333336</v>
      </c>
      <c r="D901" t="s">
        <v>174</v>
      </c>
      <c r="E901">
        <v>2</v>
      </c>
      <c r="F901" t="s">
        <v>115</v>
      </c>
      <c r="G901" t="str">
        <f t="shared" si="102"/>
        <v>Paranephrops planifrons</v>
      </c>
      <c r="H901" t="str">
        <f t="shared" si="103"/>
        <v>Freshwater_crayfish</v>
      </c>
      <c r="I901" t="str">
        <f t="shared" si="104"/>
        <v>Kōura</v>
      </c>
      <c r="J901" t="str">
        <f t="shared" si="105"/>
        <v>Native</v>
      </c>
      <c r="K901" t="str">
        <f t="shared" si="106"/>
        <v>Yes</v>
      </c>
      <c r="L901">
        <v>1</v>
      </c>
      <c r="M901" t="s">
        <v>177</v>
      </c>
      <c r="N901">
        <v>29</v>
      </c>
      <c r="O901">
        <v>24</v>
      </c>
      <c r="T901" t="str">
        <f t="shared" si="101"/>
        <v/>
      </c>
    </row>
    <row r="902" spans="1:21" x14ac:dyDescent="0.55000000000000004">
      <c r="A902">
        <v>20</v>
      </c>
      <c r="B902" s="15" t="str">
        <f t="shared" si="100"/>
        <v>20_1</v>
      </c>
      <c r="C902" s="20">
        <v>45778.583333333336</v>
      </c>
      <c r="D902" t="s">
        <v>174</v>
      </c>
      <c r="E902">
        <v>2</v>
      </c>
      <c r="F902" t="s">
        <v>135</v>
      </c>
      <c r="G902" t="str">
        <f t="shared" si="102"/>
        <v>Gobiomorphus cotidianus</v>
      </c>
      <c r="H902" t="str">
        <f t="shared" si="103"/>
        <v>Common_bully</v>
      </c>
      <c r="I902" t="str">
        <f t="shared" si="104"/>
        <v>Toitoi</v>
      </c>
      <c r="J902" t="str">
        <f t="shared" si="105"/>
        <v>Native</v>
      </c>
      <c r="K902" t="str">
        <f t="shared" si="106"/>
        <v>No</v>
      </c>
      <c r="L902">
        <v>20</v>
      </c>
      <c r="O902">
        <v>15</v>
      </c>
      <c r="T902" t="str">
        <f t="shared" si="101"/>
        <v/>
      </c>
    </row>
    <row r="903" spans="1:21" x14ac:dyDescent="0.55000000000000004">
      <c r="A903">
        <v>20</v>
      </c>
      <c r="B903" s="15" t="str">
        <f t="shared" ref="B903:B966" si="107">A903 &amp; "_1"</f>
        <v>20_1</v>
      </c>
      <c r="C903" s="20">
        <v>45778.583333333336</v>
      </c>
      <c r="D903" t="s">
        <v>175</v>
      </c>
      <c r="E903">
        <v>2</v>
      </c>
      <c r="F903" t="s">
        <v>115</v>
      </c>
      <c r="G903" t="str">
        <f t="shared" si="102"/>
        <v>Paranephrops planifrons</v>
      </c>
      <c r="H903" t="str">
        <f t="shared" si="103"/>
        <v>Freshwater_crayfish</v>
      </c>
      <c r="I903" t="str">
        <f t="shared" si="104"/>
        <v>Kōura</v>
      </c>
      <c r="J903" t="str">
        <f t="shared" si="105"/>
        <v>Native</v>
      </c>
      <c r="K903" t="str">
        <f t="shared" si="106"/>
        <v>Yes</v>
      </c>
      <c r="L903">
        <v>1</v>
      </c>
      <c r="M903" t="s">
        <v>177</v>
      </c>
      <c r="N903">
        <v>22</v>
      </c>
      <c r="O903">
        <v>8</v>
      </c>
      <c r="T903" t="str">
        <f t="shared" si="101"/>
        <v/>
      </c>
    </row>
    <row r="904" spans="1:21" x14ac:dyDescent="0.55000000000000004">
      <c r="A904">
        <v>20</v>
      </c>
      <c r="B904" s="15" t="str">
        <f t="shared" si="107"/>
        <v>20_1</v>
      </c>
      <c r="C904" s="20">
        <v>45778.583333333336</v>
      </c>
      <c r="D904" t="s">
        <v>175</v>
      </c>
      <c r="E904">
        <v>2</v>
      </c>
      <c r="F904" t="s">
        <v>115</v>
      </c>
      <c r="G904" t="str">
        <f t="shared" si="102"/>
        <v>Paranephrops planifrons</v>
      </c>
      <c r="H904" t="str">
        <f t="shared" si="103"/>
        <v>Freshwater_crayfish</v>
      </c>
      <c r="I904" t="str">
        <f t="shared" si="104"/>
        <v>Kōura</v>
      </c>
      <c r="J904" t="str">
        <f t="shared" si="105"/>
        <v>Native</v>
      </c>
      <c r="K904" t="str">
        <f t="shared" si="106"/>
        <v>Yes</v>
      </c>
      <c r="L904">
        <v>1</v>
      </c>
      <c r="N904">
        <v>20</v>
      </c>
      <c r="O904">
        <v>4</v>
      </c>
      <c r="T904" t="str">
        <f t="shared" si="101"/>
        <v/>
      </c>
      <c r="U904" t="s">
        <v>253</v>
      </c>
    </row>
    <row r="905" spans="1:21" x14ac:dyDescent="0.55000000000000004">
      <c r="A905">
        <v>20</v>
      </c>
      <c r="B905" s="15" t="str">
        <f t="shared" si="107"/>
        <v>20_1</v>
      </c>
      <c r="C905" s="20">
        <v>45778.583333333336</v>
      </c>
      <c r="D905" t="s">
        <v>175</v>
      </c>
      <c r="E905">
        <v>2</v>
      </c>
      <c r="F905" t="s">
        <v>127</v>
      </c>
      <c r="G905" t="str">
        <f t="shared" si="102"/>
        <v>Galaxias brevipinnis</v>
      </c>
      <c r="H905" t="str">
        <f t="shared" si="103"/>
        <v>Climbing_galaxias</v>
      </c>
      <c r="I905" t="str">
        <f t="shared" si="104"/>
        <v>Kōaro</v>
      </c>
      <c r="J905" t="str">
        <f t="shared" si="105"/>
        <v>Native</v>
      </c>
      <c r="K905" t="str">
        <f t="shared" si="106"/>
        <v>Yes</v>
      </c>
      <c r="L905">
        <v>1</v>
      </c>
      <c r="N905">
        <v>90</v>
      </c>
      <c r="O905">
        <v>12</v>
      </c>
      <c r="T905" t="str">
        <f t="shared" si="101"/>
        <v/>
      </c>
    </row>
    <row r="906" spans="1:21" x14ac:dyDescent="0.55000000000000004">
      <c r="A906">
        <v>20</v>
      </c>
      <c r="B906" s="15" t="str">
        <f t="shared" si="107"/>
        <v>20_1</v>
      </c>
      <c r="C906" s="20">
        <v>45778.583333333336</v>
      </c>
      <c r="D906" t="s">
        <v>175</v>
      </c>
      <c r="E906">
        <v>2</v>
      </c>
      <c r="F906" t="s">
        <v>127</v>
      </c>
      <c r="G906" t="str">
        <f t="shared" si="102"/>
        <v>Galaxias brevipinnis</v>
      </c>
      <c r="H906" t="str">
        <f t="shared" si="103"/>
        <v>Climbing_galaxias</v>
      </c>
      <c r="I906" t="str">
        <f t="shared" si="104"/>
        <v>Kōaro</v>
      </c>
      <c r="J906" t="str">
        <f t="shared" si="105"/>
        <v>Native</v>
      </c>
      <c r="K906" t="str">
        <f t="shared" si="106"/>
        <v>Yes</v>
      </c>
      <c r="L906">
        <v>1</v>
      </c>
      <c r="N906">
        <v>120</v>
      </c>
      <c r="O906">
        <v>21</v>
      </c>
      <c r="T906" t="str">
        <f t="shared" si="101"/>
        <v/>
      </c>
    </row>
    <row r="907" spans="1:21" x14ac:dyDescent="0.55000000000000004">
      <c r="A907">
        <v>20</v>
      </c>
      <c r="B907" s="15" t="str">
        <f t="shared" si="107"/>
        <v>20_1</v>
      </c>
      <c r="C907" s="20">
        <v>45778.583333333336</v>
      </c>
      <c r="D907" t="s">
        <v>175</v>
      </c>
      <c r="E907">
        <v>2</v>
      </c>
      <c r="F907" t="s">
        <v>127</v>
      </c>
      <c r="G907" t="str">
        <f t="shared" si="102"/>
        <v>Galaxias brevipinnis</v>
      </c>
      <c r="H907" t="str">
        <f t="shared" si="103"/>
        <v>Climbing_galaxias</v>
      </c>
      <c r="I907" t="str">
        <f t="shared" si="104"/>
        <v>Kōaro</v>
      </c>
      <c r="J907" t="str">
        <f t="shared" si="105"/>
        <v>Native</v>
      </c>
      <c r="K907" t="str">
        <f t="shared" si="106"/>
        <v>Yes</v>
      </c>
      <c r="L907">
        <v>1</v>
      </c>
      <c r="N907">
        <v>95</v>
      </c>
      <c r="O907">
        <v>18</v>
      </c>
      <c r="T907" t="str">
        <f t="shared" si="101"/>
        <v/>
      </c>
    </row>
    <row r="908" spans="1:21" x14ac:dyDescent="0.55000000000000004">
      <c r="A908">
        <v>20</v>
      </c>
      <c r="B908" s="15" t="str">
        <f t="shared" si="107"/>
        <v>20_1</v>
      </c>
      <c r="C908" s="20">
        <v>45778.583333333336</v>
      </c>
      <c r="D908" t="s">
        <v>175</v>
      </c>
      <c r="E908">
        <v>2</v>
      </c>
      <c r="F908" t="s">
        <v>133</v>
      </c>
      <c r="G908" t="str">
        <f t="shared" si="102"/>
        <v>Retropinna retropinna</v>
      </c>
      <c r="H908" t="str">
        <f t="shared" si="103"/>
        <v>Common_smelt</v>
      </c>
      <c r="I908" t="str">
        <f t="shared" si="104"/>
        <v>Common_smelt</v>
      </c>
      <c r="J908" t="str">
        <f t="shared" si="105"/>
        <v>Native</v>
      </c>
      <c r="K908" t="str">
        <f t="shared" si="106"/>
        <v>No</v>
      </c>
      <c r="L908">
        <v>1</v>
      </c>
      <c r="T908" t="str">
        <f t="shared" si="101"/>
        <v/>
      </c>
    </row>
    <row r="909" spans="1:21" x14ac:dyDescent="0.55000000000000004">
      <c r="A909">
        <v>20</v>
      </c>
      <c r="B909" s="15" t="str">
        <f t="shared" si="107"/>
        <v>20_1</v>
      </c>
      <c r="C909" s="20">
        <v>45778.583333333336</v>
      </c>
      <c r="D909" t="s">
        <v>175</v>
      </c>
      <c r="E909">
        <v>2</v>
      </c>
      <c r="F909" t="s">
        <v>135</v>
      </c>
      <c r="G909" t="str">
        <f t="shared" si="102"/>
        <v>Gobiomorphus cotidianus</v>
      </c>
      <c r="H909" t="str">
        <f t="shared" si="103"/>
        <v>Common_bully</v>
      </c>
      <c r="I909" t="str">
        <f t="shared" si="104"/>
        <v>Toitoi</v>
      </c>
      <c r="J909" t="str">
        <f t="shared" si="105"/>
        <v>Native</v>
      </c>
      <c r="K909" t="str">
        <f t="shared" si="106"/>
        <v>No</v>
      </c>
      <c r="O909">
        <v>144</v>
      </c>
      <c r="S909">
        <v>0.75</v>
      </c>
      <c r="T909">
        <f t="shared" si="101"/>
        <v>177.441</v>
      </c>
    </row>
    <row r="910" spans="1:21" x14ac:dyDescent="0.55000000000000004">
      <c r="A910">
        <v>20</v>
      </c>
      <c r="B910" s="15" t="str">
        <f t="shared" si="107"/>
        <v>20_1</v>
      </c>
      <c r="C910" s="20">
        <v>45778.583333333336</v>
      </c>
      <c r="D910" t="s">
        <v>175</v>
      </c>
      <c r="E910">
        <v>2</v>
      </c>
      <c r="F910" t="s">
        <v>124</v>
      </c>
      <c r="G910" t="str">
        <f t="shared" si="102"/>
        <v>Carassius auratus</v>
      </c>
      <c r="H910" t="str">
        <f t="shared" si="103"/>
        <v>Goldfish</v>
      </c>
      <c r="I910" t="str">
        <f t="shared" si="104"/>
        <v>Morihana</v>
      </c>
      <c r="J910" t="str">
        <f t="shared" si="105"/>
        <v>Nonnative</v>
      </c>
      <c r="K910" t="str">
        <f t="shared" si="106"/>
        <v>No</v>
      </c>
      <c r="L910">
        <v>1</v>
      </c>
      <c r="N910">
        <v>105</v>
      </c>
      <c r="O910">
        <v>21</v>
      </c>
      <c r="T910" t="str">
        <f t="shared" si="101"/>
        <v/>
      </c>
    </row>
    <row r="911" spans="1:21" x14ac:dyDescent="0.55000000000000004">
      <c r="A911">
        <v>20</v>
      </c>
      <c r="B911" s="15" t="str">
        <f t="shared" si="107"/>
        <v>20_1</v>
      </c>
      <c r="C911" s="20">
        <v>45778.583333333336</v>
      </c>
      <c r="D911" t="s">
        <v>175</v>
      </c>
      <c r="E911">
        <v>2</v>
      </c>
      <c r="F911" t="s">
        <v>124</v>
      </c>
      <c r="G911" t="str">
        <f t="shared" si="102"/>
        <v>Carassius auratus</v>
      </c>
      <c r="H911" t="str">
        <f t="shared" si="103"/>
        <v>Goldfish</v>
      </c>
      <c r="I911" t="str">
        <f t="shared" si="104"/>
        <v>Morihana</v>
      </c>
      <c r="J911" t="str">
        <f t="shared" si="105"/>
        <v>Nonnative</v>
      </c>
      <c r="K911" t="str">
        <f t="shared" si="106"/>
        <v>No</v>
      </c>
      <c r="L911">
        <v>1</v>
      </c>
      <c r="N911">
        <v>200</v>
      </c>
      <c r="O911">
        <v>209</v>
      </c>
      <c r="T911" t="str">
        <f t="shared" si="101"/>
        <v/>
      </c>
    </row>
    <row r="912" spans="1:21" x14ac:dyDescent="0.55000000000000004">
      <c r="A912">
        <v>20</v>
      </c>
      <c r="B912" s="15" t="str">
        <f t="shared" si="107"/>
        <v>20_1</v>
      </c>
      <c r="C912" s="20">
        <v>45778.583333333336</v>
      </c>
      <c r="D912" t="s">
        <v>175</v>
      </c>
      <c r="E912">
        <v>2</v>
      </c>
      <c r="F912" t="s">
        <v>124</v>
      </c>
      <c r="G912" t="str">
        <f t="shared" si="102"/>
        <v>Carassius auratus</v>
      </c>
      <c r="H912" t="str">
        <f t="shared" si="103"/>
        <v>Goldfish</v>
      </c>
      <c r="I912" t="str">
        <f t="shared" si="104"/>
        <v>Morihana</v>
      </c>
      <c r="J912" t="str">
        <f t="shared" si="105"/>
        <v>Nonnative</v>
      </c>
      <c r="K912" t="str">
        <f t="shared" si="106"/>
        <v>No</v>
      </c>
      <c r="L912">
        <v>1</v>
      </c>
      <c r="N912">
        <v>203</v>
      </c>
      <c r="O912">
        <v>232</v>
      </c>
      <c r="T912" t="str">
        <f t="shared" si="101"/>
        <v/>
      </c>
    </row>
    <row r="913" spans="1:20" x14ac:dyDescent="0.55000000000000004">
      <c r="A913">
        <v>20</v>
      </c>
      <c r="B913" s="15" t="str">
        <f t="shared" si="107"/>
        <v>20_1</v>
      </c>
      <c r="C913" s="20">
        <v>45778.583333333336</v>
      </c>
      <c r="D913" t="s">
        <v>175</v>
      </c>
      <c r="E913">
        <v>2</v>
      </c>
      <c r="F913" t="s">
        <v>124</v>
      </c>
      <c r="G913" t="str">
        <f t="shared" si="102"/>
        <v>Carassius auratus</v>
      </c>
      <c r="H913" t="str">
        <f t="shared" si="103"/>
        <v>Goldfish</v>
      </c>
      <c r="I913" t="str">
        <f t="shared" si="104"/>
        <v>Morihana</v>
      </c>
      <c r="J913" t="str">
        <f t="shared" si="105"/>
        <v>Nonnative</v>
      </c>
      <c r="K913" t="str">
        <f t="shared" si="106"/>
        <v>No</v>
      </c>
      <c r="L913">
        <v>1</v>
      </c>
      <c r="N913">
        <v>105</v>
      </c>
      <c r="O913">
        <v>106</v>
      </c>
      <c r="T913" t="str">
        <f t="shared" si="101"/>
        <v/>
      </c>
    </row>
    <row r="914" spans="1:20" x14ac:dyDescent="0.55000000000000004">
      <c r="A914">
        <v>20</v>
      </c>
      <c r="B914" s="15" t="str">
        <f t="shared" si="107"/>
        <v>20_1</v>
      </c>
      <c r="C914" s="20">
        <v>45778.583333333336</v>
      </c>
      <c r="D914" t="s">
        <v>175</v>
      </c>
      <c r="E914">
        <v>2</v>
      </c>
      <c r="F914" t="s">
        <v>120</v>
      </c>
      <c r="G914" t="str">
        <f t="shared" si="102"/>
        <v>Ameiurus nebulosus</v>
      </c>
      <c r="H914" t="str">
        <f t="shared" si="103"/>
        <v>Catfish</v>
      </c>
      <c r="I914" t="str">
        <f t="shared" si="104"/>
        <v>Catfish</v>
      </c>
      <c r="J914" t="str">
        <f t="shared" si="105"/>
        <v>Nonnative</v>
      </c>
      <c r="K914" t="str">
        <f t="shared" si="106"/>
        <v>No</v>
      </c>
      <c r="L914">
        <v>1</v>
      </c>
      <c r="N914">
        <v>335</v>
      </c>
      <c r="O914">
        <v>550</v>
      </c>
      <c r="T914" t="str">
        <f t="shared" si="101"/>
        <v/>
      </c>
    </row>
    <row r="915" spans="1:20" x14ac:dyDescent="0.55000000000000004">
      <c r="A915">
        <v>20</v>
      </c>
      <c r="B915" s="15" t="str">
        <f t="shared" si="107"/>
        <v>20_1</v>
      </c>
      <c r="C915" s="20">
        <v>45778.583333333336</v>
      </c>
      <c r="D915" t="s">
        <v>175</v>
      </c>
      <c r="E915">
        <v>2</v>
      </c>
      <c r="F915" t="s">
        <v>120</v>
      </c>
      <c r="G915" t="str">
        <f t="shared" si="102"/>
        <v>Ameiurus nebulosus</v>
      </c>
      <c r="H915" t="str">
        <f t="shared" si="103"/>
        <v>Catfish</v>
      </c>
      <c r="I915" t="str">
        <f t="shared" si="104"/>
        <v>Catfish</v>
      </c>
      <c r="J915" t="str">
        <f t="shared" si="105"/>
        <v>Nonnative</v>
      </c>
      <c r="K915" t="str">
        <f t="shared" si="106"/>
        <v>No</v>
      </c>
      <c r="L915">
        <v>1</v>
      </c>
      <c r="N915">
        <v>142</v>
      </c>
      <c r="O915">
        <v>36</v>
      </c>
      <c r="T915" t="str">
        <f t="shared" si="101"/>
        <v/>
      </c>
    </row>
    <row r="916" spans="1:20" x14ac:dyDescent="0.55000000000000004">
      <c r="A916">
        <v>20</v>
      </c>
      <c r="B916" s="15" t="str">
        <f t="shared" si="107"/>
        <v>20_1</v>
      </c>
      <c r="C916" s="20">
        <v>45778.583333333336</v>
      </c>
      <c r="D916" t="s">
        <v>175</v>
      </c>
      <c r="E916">
        <v>2</v>
      </c>
      <c r="F916" t="s">
        <v>120</v>
      </c>
      <c r="G916" t="str">
        <f t="shared" si="102"/>
        <v>Ameiurus nebulosus</v>
      </c>
      <c r="H916" t="str">
        <f t="shared" si="103"/>
        <v>Catfish</v>
      </c>
      <c r="I916" t="str">
        <f t="shared" si="104"/>
        <v>Catfish</v>
      </c>
      <c r="J916" t="str">
        <f t="shared" si="105"/>
        <v>Nonnative</v>
      </c>
      <c r="K916" t="str">
        <f t="shared" si="106"/>
        <v>No</v>
      </c>
      <c r="L916">
        <v>1</v>
      </c>
      <c r="N916">
        <v>95</v>
      </c>
      <c r="O916">
        <v>11</v>
      </c>
      <c r="T916" t="str">
        <f t="shared" si="101"/>
        <v/>
      </c>
    </row>
    <row r="917" spans="1:20" x14ac:dyDescent="0.55000000000000004">
      <c r="A917">
        <v>20</v>
      </c>
      <c r="B917" s="15" t="str">
        <f t="shared" si="107"/>
        <v>20_1</v>
      </c>
      <c r="C917" s="20">
        <v>45778.583333333336</v>
      </c>
      <c r="D917" t="s">
        <v>175</v>
      </c>
      <c r="E917">
        <v>2</v>
      </c>
      <c r="F917" t="s">
        <v>120</v>
      </c>
      <c r="G917" t="str">
        <f t="shared" si="102"/>
        <v>Ameiurus nebulosus</v>
      </c>
      <c r="H917" t="str">
        <f t="shared" si="103"/>
        <v>Catfish</v>
      </c>
      <c r="I917" t="str">
        <f t="shared" si="104"/>
        <v>Catfish</v>
      </c>
      <c r="J917" t="str">
        <f t="shared" si="105"/>
        <v>Nonnative</v>
      </c>
      <c r="K917" t="str">
        <f t="shared" si="106"/>
        <v>No</v>
      </c>
      <c r="L917">
        <v>1</v>
      </c>
      <c r="N917">
        <v>95</v>
      </c>
      <c r="O917">
        <v>11</v>
      </c>
      <c r="T917" t="str">
        <f t="shared" si="101"/>
        <v/>
      </c>
    </row>
    <row r="918" spans="1:20" x14ac:dyDescent="0.55000000000000004">
      <c r="A918">
        <v>20</v>
      </c>
      <c r="B918" s="15" t="str">
        <f t="shared" si="107"/>
        <v>20_1</v>
      </c>
      <c r="C918" s="20">
        <v>45778.583333333336</v>
      </c>
      <c r="D918" t="s">
        <v>175</v>
      </c>
      <c r="E918">
        <v>2</v>
      </c>
      <c r="F918" t="s">
        <v>120</v>
      </c>
      <c r="G918" t="str">
        <f t="shared" si="102"/>
        <v>Ameiurus nebulosus</v>
      </c>
      <c r="H918" t="str">
        <f t="shared" si="103"/>
        <v>Catfish</v>
      </c>
      <c r="I918" t="str">
        <f t="shared" si="104"/>
        <v>Catfish</v>
      </c>
      <c r="J918" t="str">
        <f t="shared" si="105"/>
        <v>Nonnative</v>
      </c>
      <c r="K918" t="str">
        <f t="shared" si="106"/>
        <v>No</v>
      </c>
      <c r="L918">
        <v>1</v>
      </c>
      <c r="N918">
        <v>85</v>
      </c>
      <c r="O918">
        <v>8</v>
      </c>
      <c r="T918" t="str">
        <f t="shared" si="101"/>
        <v/>
      </c>
    </row>
    <row r="919" spans="1:20" x14ac:dyDescent="0.55000000000000004">
      <c r="A919">
        <v>20</v>
      </c>
      <c r="B919" s="15" t="str">
        <f t="shared" si="107"/>
        <v>20_1</v>
      </c>
      <c r="C919" s="20">
        <v>45778.583333333336</v>
      </c>
      <c r="D919" t="s">
        <v>175</v>
      </c>
      <c r="E919">
        <v>2</v>
      </c>
      <c r="F919" t="s">
        <v>120</v>
      </c>
      <c r="G919" t="str">
        <f t="shared" si="102"/>
        <v>Ameiurus nebulosus</v>
      </c>
      <c r="H919" t="str">
        <f t="shared" si="103"/>
        <v>Catfish</v>
      </c>
      <c r="I919" t="str">
        <f t="shared" si="104"/>
        <v>Catfish</v>
      </c>
      <c r="J919" t="str">
        <f t="shared" si="105"/>
        <v>Nonnative</v>
      </c>
      <c r="K919" t="str">
        <f t="shared" si="106"/>
        <v>No</v>
      </c>
      <c r="L919">
        <v>1</v>
      </c>
      <c r="N919">
        <v>80</v>
      </c>
      <c r="O919">
        <v>8</v>
      </c>
      <c r="T919" t="str">
        <f t="shared" si="101"/>
        <v/>
      </c>
    </row>
    <row r="920" spans="1:20" x14ac:dyDescent="0.55000000000000004">
      <c r="A920">
        <v>20</v>
      </c>
      <c r="B920" s="15" t="str">
        <f t="shared" si="107"/>
        <v>20_1</v>
      </c>
      <c r="C920" s="20">
        <v>45778.583333333336</v>
      </c>
      <c r="D920" t="s">
        <v>175</v>
      </c>
      <c r="E920">
        <v>2</v>
      </c>
      <c r="F920" t="s">
        <v>120</v>
      </c>
      <c r="G920" t="str">
        <f t="shared" si="102"/>
        <v>Ameiurus nebulosus</v>
      </c>
      <c r="H920" t="str">
        <f t="shared" si="103"/>
        <v>Catfish</v>
      </c>
      <c r="I920" t="str">
        <f t="shared" si="104"/>
        <v>Catfish</v>
      </c>
      <c r="J920" t="str">
        <f t="shared" si="105"/>
        <v>Nonnative</v>
      </c>
      <c r="K920" t="str">
        <f t="shared" si="106"/>
        <v>No</v>
      </c>
      <c r="L920">
        <v>1</v>
      </c>
      <c r="N920">
        <v>75</v>
      </c>
      <c r="O920">
        <v>5</v>
      </c>
      <c r="T920" t="str">
        <f t="shared" si="101"/>
        <v/>
      </c>
    </row>
    <row r="921" spans="1:20" x14ac:dyDescent="0.55000000000000004">
      <c r="A921">
        <v>21</v>
      </c>
      <c r="B921" s="15" t="str">
        <f t="shared" si="107"/>
        <v>21_1</v>
      </c>
      <c r="C921" s="20">
        <v>45778.625</v>
      </c>
      <c r="D921" t="s">
        <v>174</v>
      </c>
      <c r="E921">
        <v>2</v>
      </c>
      <c r="F921" t="s">
        <v>115</v>
      </c>
      <c r="G921" t="str">
        <f t="shared" si="102"/>
        <v>Paranephrops planifrons</v>
      </c>
      <c r="H921" t="str">
        <f t="shared" si="103"/>
        <v>Freshwater_crayfish</v>
      </c>
      <c r="I921" t="str">
        <f t="shared" si="104"/>
        <v>Kōura</v>
      </c>
      <c r="J921" t="str">
        <f t="shared" si="105"/>
        <v>Native</v>
      </c>
      <c r="K921" t="str">
        <f t="shared" si="106"/>
        <v>Yes</v>
      </c>
      <c r="L921">
        <v>1</v>
      </c>
      <c r="M921" t="s">
        <v>177</v>
      </c>
      <c r="N921">
        <v>35</v>
      </c>
      <c r="O921">
        <v>33</v>
      </c>
      <c r="P921">
        <v>1</v>
      </c>
      <c r="T921" t="str">
        <f t="shared" si="101"/>
        <v/>
      </c>
    </row>
    <row r="922" spans="1:20" x14ac:dyDescent="0.55000000000000004">
      <c r="A922">
        <v>21</v>
      </c>
      <c r="B922" s="15" t="str">
        <f t="shared" si="107"/>
        <v>21_1</v>
      </c>
      <c r="C922" s="20">
        <v>45778.625</v>
      </c>
      <c r="D922" t="s">
        <v>174</v>
      </c>
      <c r="E922">
        <v>2</v>
      </c>
      <c r="F922" t="s">
        <v>115</v>
      </c>
      <c r="G922" t="str">
        <f t="shared" si="102"/>
        <v>Paranephrops planifrons</v>
      </c>
      <c r="H922" t="str">
        <f t="shared" si="103"/>
        <v>Freshwater_crayfish</v>
      </c>
      <c r="I922" t="str">
        <f t="shared" si="104"/>
        <v>Kōura</v>
      </c>
      <c r="J922" t="str">
        <f t="shared" si="105"/>
        <v>Native</v>
      </c>
      <c r="K922" t="str">
        <f t="shared" si="106"/>
        <v>Yes</v>
      </c>
      <c r="L922">
        <v>1</v>
      </c>
      <c r="M922" t="s">
        <v>177</v>
      </c>
      <c r="N922">
        <v>32</v>
      </c>
      <c r="O922">
        <v>26</v>
      </c>
      <c r="T922" t="str">
        <f t="shared" si="101"/>
        <v/>
      </c>
    </row>
    <row r="923" spans="1:20" x14ac:dyDescent="0.55000000000000004">
      <c r="A923">
        <v>21</v>
      </c>
      <c r="B923" s="15" t="str">
        <f t="shared" si="107"/>
        <v>21_1</v>
      </c>
      <c r="C923" s="20">
        <v>45778.625</v>
      </c>
      <c r="D923" t="s">
        <v>174</v>
      </c>
      <c r="E923">
        <v>2</v>
      </c>
      <c r="F923" t="s">
        <v>115</v>
      </c>
      <c r="G923" t="str">
        <f t="shared" si="102"/>
        <v>Paranephrops planifrons</v>
      </c>
      <c r="H923" t="str">
        <f t="shared" si="103"/>
        <v>Freshwater_crayfish</v>
      </c>
      <c r="I923" t="str">
        <f t="shared" si="104"/>
        <v>Kōura</v>
      </c>
      <c r="J923" t="str">
        <f t="shared" si="105"/>
        <v>Native</v>
      </c>
      <c r="K923" t="str">
        <f t="shared" si="106"/>
        <v>Yes</v>
      </c>
      <c r="L923">
        <v>1</v>
      </c>
      <c r="M923" t="s">
        <v>176</v>
      </c>
      <c r="N923">
        <v>23</v>
      </c>
      <c r="O923">
        <v>19</v>
      </c>
      <c r="T923" t="str">
        <f t="shared" si="101"/>
        <v/>
      </c>
    </row>
    <row r="924" spans="1:20" x14ac:dyDescent="0.55000000000000004">
      <c r="A924">
        <v>21</v>
      </c>
      <c r="B924" s="15" t="str">
        <f t="shared" si="107"/>
        <v>21_1</v>
      </c>
      <c r="C924" s="20">
        <v>45778.625</v>
      </c>
      <c r="D924" t="s">
        <v>174</v>
      </c>
      <c r="E924">
        <v>2</v>
      </c>
      <c r="F924" t="s">
        <v>115</v>
      </c>
      <c r="G924" t="str">
        <f t="shared" si="102"/>
        <v>Paranephrops planifrons</v>
      </c>
      <c r="H924" t="str">
        <f t="shared" si="103"/>
        <v>Freshwater_crayfish</v>
      </c>
      <c r="I924" t="str">
        <f t="shared" si="104"/>
        <v>Kōura</v>
      </c>
      <c r="J924" t="str">
        <f t="shared" si="105"/>
        <v>Native</v>
      </c>
      <c r="K924" t="str">
        <f t="shared" si="106"/>
        <v>Yes</v>
      </c>
      <c r="L924">
        <v>1</v>
      </c>
      <c r="M924" t="s">
        <v>177</v>
      </c>
      <c r="N924">
        <v>31</v>
      </c>
      <c r="O924">
        <v>26</v>
      </c>
      <c r="T924" t="str">
        <f t="shared" si="101"/>
        <v/>
      </c>
    </row>
    <row r="925" spans="1:20" x14ac:dyDescent="0.55000000000000004">
      <c r="A925">
        <v>21</v>
      </c>
      <c r="B925" s="15" t="str">
        <f t="shared" si="107"/>
        <v>21_1</v>
      </c>
      <c r="C925" s="20">
        <v>45778.625</v>
      </c>
      <c r="D925" t="s">
        <v>174</v>
      </c>
      <c r="E925">
        <v>2</v>
      </c>
      <c r="F925" t="s">
        <v>115</v>
      </c>
      <c r="G925" t="str">
        <f t="shared" si="102"/>
        <v>Paranephrops planifrons</v>
      </c>
      <c r="H925" t="str">
        <f t="shared" si="103"/>
        <v>Freshwater_crayfish</v>
      </c>
      <c r="I925" t="str">
        <f t="shared" si="104"/>
        <v>Kōura</v>
      </c>
      <c r="J925" t="str">
        <f t="shared" si="105"/>
        <v>Native</v>
      </c>
      <c r="K925" t="str">
        <f t="shared" si="106"/>
        <v>Yes</v>
      </c>
      <c r="L925">
        <v>1</v>
      </c>
      <c r="M925" t="s">
        <v>177</v>
      </c>
      <c r="N925">
        <v>36</v>
      </c>
      <c r="O925">
        <v>33</v>
      </c>
      <c r="P925">
        <v>1</v>
      </c>
      <c r="T925" t="str">
        <f t="shared" si="101"/>
        <v/>
      </c>
    </row>
    <row r="926" spans="1:20" x14ac:dyDescent="0.55000000000000004">
      <c r="A926">
        <v>21</v>
      </c>
      <c r="B926" s="15" t="str">
        <f t="shared" si="107"/>
        <v>21_1</v>
      </c>
      <c r="C926" s="20">
        <v>45778.625</v>
      </c>
      <c r="D926" t="s">
        <v>174</v>
      </c>
      <c r="E926">
        <v>2</v>
      </c>
      <c r="F926" t="s">
        <v>115</v>
      </c>
      <c r="G926" t="str">
        <f t="shared" si="102"/>
        <v>Paranephrops planifrons</v>
      </c>
      <c r="H926" t="str">
        <f t="shared" si="103"/>
        <v>Freshwater_crayfish</v>
      </c>
      <c r="I926" t="str">
        <f t="shared" si="104"/>
        <v>Kōura</v>
      </c>
      <c r="J926" t="str">
        <f t="shared" si="105"/>
        <v>Native</v>
      </c>
      <c r="K926" t="str">
        <f t="shared" si="106"/>
        <v>Yes</v>
      </c>
      <c r="L926">
        <v>1</v>
      </c>
      <c r="M926" t="s">
        <v>177</v>
      </c>
      <c r="N926">
        <v>31</v>
      </c>
      <c r="O926">
        <v>27</v>
      </c>
      <c r="T926" t="str">
        <f t="shared" si="101"/>
        <v/>
      </c>
    </row>
    <row r="927" spans="1:20" x14ac:dyDescent="0.55000000000000004">
      <c r="A927">
        <v>21</v>
      </c>
      <c r="B927" s="15" t="str">
        <f t="shared" si="107"/>
        <v>21_1</v>
      </c>
      <c r="C927" s="20">
        <v>45778.625</v>
      </c>
      <c r="D927" t="s">
        <v>174</v>
      </c>
      <c r="E927">
        <v>2</v>
      </c>
      <c r="F927" t="s">
        <v>115</v>
      </c>
      <c r="G927" t="str">
        <f t="shared" si="102"/>
        <v>Paranephrops planifrons</v>
      </c>
      <c r="H927" t="str">
        <f t="shared" si="103"/>
        <v>Freshwater_crayfish</v>
      </c>
      <c r="I927" t="str">
        <f t="shared" si="104"/>
        <v>Kōura</v>
      </c>
      <c r="J927" t="str">
        <f t="shared" si="105"/>
        <v>Native</v>
      </c>
      <c r="K927" t="str">
        <f t="shared" si="106"/>
        <v>Yes</v>
      </c>
      <c r="L927">
        <v>1</v>
      </c>
      <c r="M927" t="s">
        <v>176</v>
      </c>
      <c r="N927">
        <v>24</v>
      </c>
      <c r="O927">
        <v>8</v>
      </c>
      <c r="T927" t="str">
        <f t="shared" si="101"/>
        <v/>
      </c>
    </row>
    <row r="928" spans="1:20" x14ac:dyDescent="0.55000000000000004">
      <c r="A928">
        <v>21</v>
      </c>
      <c r="B928" s="15" t="str">
        <f t="shared" si="107"/>
        <v>21_1</v>
      </c>
      <c r="C928" s="20">
        <v>45778.625</v>
      </c>
      <c r="D928" t="s">
        <v>174</v>
      </c>
      <c r="E928">
        <v>2</v>
      </c>
      <c r="F928" t="s">
        <v>115</v>
      </c>
      <c r="G928" t="str">
        <f t="shared" si="102"/>
        <v>Paranephrops planifrons</v>
      </c>
      <c r="H928" t="str">
        <f t="shared" si="103"/>
        <v>Freshwater_crayfish</v>
      </c>
      <c r="I928" t="str">
        <f t="shared" si="104"/>
        <v>Kōura</v>
      </c>
      <c r="J928" t="str">
        <f t="shared" si="105"/>
        <v>Native</v>
      </c>
      <c r="K928" t="str">
        <f t="shared" si="106"/>
        <v>Yes</v>
      </c>
      <c r="L928">
        <v>1</v>
      </c>
      <c r="M928" t="s">
        <v>176</v>
      </c>
      <c r="N928">
        <v>25</v>
      </c>
      <c r="O928">
        <v>12</v>
      </c>
      <c r="T928" t="str">
        <f t="shared" si="101"/>
        <v/>
      </c>
    </row>
    <row r="929" spans="1:20" x14ac:dyDescent="0.55000000000000004">
      <c r="A929">
        <v>21</v>
      </c>
      <c r="B929" s="15" t="str">
        <f t="shared" si="107"/>
        <v>21_1</v>
      </c>
      <c r="C929" s="20">
        <v>45778.625</v>
      </c>
      <c r="D929" t="s">
        <v>174</v>
      </c>
      <c r="E929">
        <v>2</v>
      </c>
      <c r="F929" t="s">
        <v>115</v>
      </c>
      <c r="G929" t="str">
        <f t="shared" si="102"/>
        <v>Paranephrops planifrons</v>
      </c>
      <c r="H929" t="str">
        <f t="shared" si="103"/>
        <v>Freshwater_crayfish</v>
      </c>
      <c r="I929" t="str">
        <f t="shared" si="104"/>
        <v>Kōura</v>
      </c>
      <c r="J929" t="str">
        <f t="shared" si="105"/>
        <v>Native</v>
      </c>
      <c r="K929" t="str">
        <f t="shared" si="106"/>
        <v>Yes</v>
      </c>
      <c r="L929">
        <v>1</v>
      </c>
      <c r="M929" t="s">
        <v>176</v>
      </c>
      <c r="N929">
        <v>23</v>
      </c>
      <c r="O929">
        <v>10</v>
      </c>
      <c r="T929" t="str">
        <f t="shared" si="101"/>
        <v/>
      </c>
    </row>
    <row r="930" spans="1:20" x14ac:dyDescent="0.55000000000000004">
      <c r="A930">
        <v>21</v>
      </c>
      <c r="B930" s="15" t="str">
        <f t="shared" si="107"/>
        <v>21_1</v>
      </c>
      <c r="C930" s="20">
        <v>45778.625</v>
      </c>
      <c r="D930" t="s">
        <v>174</v>
      </c>
      <c r="E930">
        <v>2</v>
      </c>
      <c r="F930" t="s">
        <v>115</v>
      </c>
      <c r="G930" t="str">
        <f t="shared" si="102"/>
        <v>Paranephrops planifrons</v>
      </c>
      <c r="H930" t="str">
        <f t="shared" si="103"/>
        <v>Freshwater_crayfish</v>
      </c>
      <c r="I930" t="str">
        <f t="shared" si="104"/>
        <v>Kōura</v>
      </c>
      <c r="J930" t="str">
        <f t="shared" si="105"/>
        <v>Native</v>
      </c>
      <c r="K930" t="str">
        <f t="shared" si="106"/>
        <v>Yes</v>
      </c>
      <c r="L930">
        <v>1</v>
      </c>
      <c r="M930" t="s">
        <v>177</v>
      </c>
      <c r="N930">
        <v>29</v>
      </c>
      <c r="O930">
        <v>16</v>
      </c>
      <c r="T930" t="str">
        <f t="shared" si="101"/>
        <v/>
      </c>
    </row>
    <row r="931" spans="1:20" x14ac:dyDescent="0.55000000000000004">
      <c r="A931">
        <v>21</v>
      </c>
      <c r="B931" s="15" t="str">
        <f t="shared" si="107"/>
        <v>21_1</v>
      </c>
      <c r="C931" s="20">
        <v>45778.625</v>
      </c>
      <c r="D931" t="s">
        <v>174</v>
      </c>
      <c r="E931">
        <v>2</v>
      </c>
      <c r="F931" t="s">
        <v>115</v>
      </c>
      <c r="G931" t="str">
        <f t="shared" si="102"/>
        <v>Paranephrops planifrons</v>
      </c>
      <c r="H931" t="str">
        <f t="shared" si="103"/>
        <v>Freshwater_crayfish</v>
      </c>
      <c r="I931" t="str">
        <f t="shared" si="104"/>
        <v>Kōura</v>
      </c>
      <c r="J931" t="str">
        <f t="shared" si="105"/>
        <v>Native</v>
      </c>
      <c r="K931" t="str">
        <f t="shared" si="106"/>
        <v>Yes</v>
      </c>
      <c r="L931">
        <v>1</v>
      </c>
      <c r="M931" t="s">
        <v>176</v>
      </c>
      <c r="N931">
        <v>31</v>
      </c>
      <c r="O931">
        <v>24</v>
      </c>
      <c r="T931" t="str">
        <f t="shared" si="101"/>
        <v/>
      </c>
    </row>
    <row r="932" spans="1:20" x14ac:dyDescent="0.55000000000000004">
      <c r="A932">
        <v>21</v>
      </c>
      <c r="B932" s="15" t="str">
        <f t="shared" si="107"/>
        <v>21_1</v>
      </c>
      <c r="C932" s="20">
        <v>45778.625</v>
      </c>
      <c r="D932" t="s">
        <v>174</v>
      </c>
      <c r="E932">
        <v>2</v>
      </c>
      <c r="F932" t="s">
        <v>135</v>
      </c>
      <c r="G932" t="str">
        <f t="shared" si="102"/>
        <v>Gobiomorphus cotidianus</v>
      </c>
      <c r="H932" t="str">
        <f t="shared" si="103"/>
        <v>Common_bully</v>
      </c>
      <c r="I932" t="str">
        <f t="shared" si="104"/>
        <v>Toitoi</v>
      </c>
      <c r="J932" t="str">
        <f t="shared" si="105"/>
        <v>Native</v>
      </c>
      <c r="K932" t="str">
        <f t="shared" si="106"/>
        <v>No</v>
      </c>
      <c r="L932">
        <v>6</v>
      </c>
      <c r="T932" t="str">
        <f t="shared" si="101"/>
        <v/>
      </c>
    </row>
    <row r="933" spans="1:20" x14ac:dyDescent="0.55000000000000004">
      <c r="A933">
        <v>21</v>
      </c>
      <c r="B933" s="15" t="str">
        <f t="shared" si="107"/>
        <v>21_1</v>
      </c>
      <c r="C933" s="20">
        <v>45778.625</v>
      </c>
      <c r="D933" t="s">
        <v>175</v>
      </c>
      <c r="E933">
        <v>2</v>
      </c>
      <c r="F933" t="s">
        <v>124</v>
      </c>
      <c r="G933" t="str">
        <f t="shared" si="102"/>
        <v>Carassius auratus</v>
      </c>
      <c r="H933" t="str">
        <f t="shared" si="103"/>
        <v>Goldfish</v>
      </c>
      <c r="I933" t="str">
        <f t="shared" si="104"/>
        <v>Morihana</v>
      </c>
      <c r="J933" t="str">
        <f t="shared" si="105"/>
        <v>Nonnative</v>
      </c>
      <c r="K933" t="str">
        <f t="shared" si="106"/>
        <v>No</v>
      </c>
      <c r="O933">
        <v>280</v>
      </c>
      <c r="T933" t="str">
        <f t="shared" si="101"/>
        <v/>
      </c>
    </row>
    <row r="934" spans="1:20" x14ac:dyDescent="0.55000000000000004">
      <c r="A934">
        <v>21</v>
      </c>
      <c r="B934" s="15" t="str">
        <f t="shared" si="107"/>
        <v>21_1</v>
      </c>
      <c r="C934" s="20">
        <v>45778.625</v>
      </c>
      <c r="D934" t="s">
        <v>175</v>
      </c>
      <c r="E934">
        <v>2</v>
      </c>
      <c r="F934" t="s">
        <v>127</v>
      </c>
      <c r="G934" t="str">
        <f t="shared" si="102"/>
        <v>Galaxias brevipinnis</v>
      </c>
      <c r="H934" t="str">
        <f t="shared" si="103"/>
        <v>Climbing_galaxias</v>
      </c>
      <c r="I934" t="str">
        <f t="shared" si="104"/>
        <v>Kōaro</v>
      </c>
      <c r="J934" t="str">
        <f t="shared" si="105"/>
        <v>Native</v>
      </c>
      <c r="K934" t="str">
        <f t="shared" si="106"/>
        <v>Yes</v>
      </c>
      <c r="L934">
        <v>12</v>
      </c>
      <c r="T934" t="str">
        <f t="shared" si="101"/>
        <v/>
      </c>
    </row>
    <row r="935" spans="1:20" x14ac:dyDescent="0.55000000000000004">
      <c r="A935">
        <v>21</v>
      </c>
      <c r="B935" s="15" t="str">
        <f t="shared" si="107"/>
        <v>21_1</v>
      </c>
      <c r="C935" s="20">
        <v>45778.625</v>
      </c>
      <c r="D935" t="s">
        <v>175</v>
      </c>
      <c r="E935">
        <v>2</v>
      </c>
      <c r="F935" t="s">
        <v>120</v>
      </c>
      <c r="G935" t="str">
        <f t="shared" si="102"/>
        <v>Ameiurus nebulosus</v>
      </c>
      <c r="H935" t="str">
        <f t="shared" si="103"/>
        <v>Catfish</v>
      </c>
      <c r="I935" t="str">
        <f t="shared" si="104"/>
        <v>Catfish</v>
      </c>
      <c r="J935" t="str">
        <f t="shared" si="105"/>
        <v>Nonnative</v>
      </c>
      <c r="K935" t="str">
        <f t="shared" si="106"/>
        <v>No</v>
      </c>
      <c r="L935">
        <v>1</v>
      </c>
      <c r="N935">
        <v>100</v>
      </c>
      <c r="O935">
        <v>10</v>
      </c>
      <c r="T935" t="str">
        <f t="shared" si="101"/>
        <v/>
      </c>
    </row>
    <row r="936" spans="1:20" x14ac:dyDescent="0.55000000000000004">
      <c r="A936">
        <v>21</v>
      </c>
      <c r="B936" s="15" t="str">
        <f t="shared" si="107"/>
        <v>21_1</v>
      </c>
      <c r="C936" s="20">
        <v>45778.625</v>
      </c>
      <c r="D936" t="s">
        <v>175</v>
      </c>
      <c r="E936">
        <v>2</v>
      </c>
      <c r="F936" t="s">
        <v>115</v>
      </c>
      <c r="G936" t="str">
        <f t="shared" si="102"/>
        <v>Paranephrops planifrons</v>
      </c>
      <c r="H936" t="str">
        <f t="shared" si="103"/>
        <v>Freshwater_crayfish</v>
      </c>
      <c r="I936" t="str">
        <f t="shared" si="104"/>
        <v>Kōura</v>
      </c>
      <c r="J936" t="str">
        <f t="shared" si="105"/>
        <v>Native</v>
      </c>
      <c r="K936" t="str">
        <f t="shared" si="106"/>
        <v>Yes</v>
      </c>
      <c r="L936">
        <v>1</v>
      </c>
      <c r="M936" t="s">
        <v>176</v>
      </c>
      <c r="N936">
        <v>25</v>
      </c>
      <c r="O936">
        <v>12</v>
      </c>
      <c r="T936" t="str">
        <f t="shared" si="101"/>
        <v/>
      </c>
    </row>
    <row r="937" spans="1:20" x14ac:dyDescent="0.55000000000000004">
      <c r="A937">
        <v>21</v>
      </c>
      <c r="B937" s="15" t="str">
        <f t="shared" si="107"/>
        <v>21_1</v>
      </c>
      <c r="C937" s="20">
        <v>45778.625</v>
      </c>
      <c r="D937" t="s">
        <v>175</v>
      </c>
      <c r="E937">
        <v>2</v>
      </c>
      <c r="F937" t="s">
        <v>115</v>
      </c>
      <c r="G937" t="str">
        <f t="shared" si="102"/>
        <v>Paranephrops planifrons</v>
      </c>
      <c r="H937" t="str">
        <f t="shared" si="103"/>
        <v>Freshwater_crayfish</v>
      </c>
      <c r="I937" t="str">
        <f t="shared" si="104"/>
        <v>Kōura</v>
      </c>
      <c r="J937" t="str">
        <f t="shared" si="105"/>
        <v>Native</v>
      </c>
      <c r="K937" t="str">
        <f t="shared" si="106"/>
        <v>Yes</v>
      </c>
      <c r="L937">
        <v>1</v>
      </c>
      <c r="M937" t="s">
        <v>176</v>
      </c>
      <c r="N937">
        <v>28</v>
      </c>
      <c r="O937">
        <v>16</v>
      </c>
      <c r="T937" t="str">
        <f t="shared" si="101"/>
        <v/>
      </c>
    </row>
    <row r="938" spans="1:20" x14ac:dyDescent="0.55000000000000004">
      <c r="A938">
        <v>21</v>
      </c>
      <c r="B938" s="15" t="str">
        <f t="shared" si="107"/>
        <v>21_1</v>
      </c>
      <c r="C938" s="20">
        <v>45778.625</v>
      </c>
      <c r="D938" t="s">
        <v>175</v>
      </c>
      <c r="E938">
        <v>2</v>
      </c>
      <c r="F938" t="s">
        <v>115</v>
      </c>
      <c r="G938" t="str">
        <f t="shared" si="102"/>
        <v>Paranephrops planifrons</v>
      </c>
      <c r="H938" t="str">
        <f t="shared" si="103"/>
        <v>Freshwater_crayfish</v>
      </c>
      <c r="I938" t="str">
        <f t="shared" si="104"/>
        <v>Kōura</v>
      </c>
      <c r="J938" t="str">
        <f t="shared" si="105"/>
        <v>Native</v>
      </c>
      <c r="K938" t="str">
        <f t="shared" si="106"/>
        <v>Yes</v>
      </c>
      <c r="L938">
        <v>1</v>
      </c>
      <c r="M938" t="s">
        <v>177</v>
      </c>
      <c r="N938">
        <v>35</v>
      </c>
      <c r="O938">
        <v>30</v>
      </c>
      <c r="P938">
        <v>1</v>
      </c>
      <c r="T938" t="str">
        <f t="shared" si="101"/>
        <v/>
      </c>
    </row>
    <row r="939" spans="1:20" x14ac:dyDescent="0.55000000000000004">
      <c r="A939">
        <v>21</v>
      </c>
      <c r="B939" s="15" t="str">
        <f t="shared" si="107"/>
        <v>21_1</v>
      </c>
      <c r="C939" s="20">
        <v>45778.625</v>
      </c>
      <c r="D939" t="s">
        <v>175</v>
      </c>
      <c r="E939">
        <v>2</v>
      </c>
      <c r="F939" t="s">
        <v>115</v>
      </c>
      <c r="G939" t="str">
        <f t="shared" si="102"/>
        <v>Paranephrops planifrons</v>
      </c>
      <c r="H939" t="str">
        <f t="shared" si="103"/>
        <v>Freshwater_crayfish</v>
      </c>
      <c r="I939" t="str">
        <f t="shared" si="104"/>
        <v>Kōura</v>
      </c>
      <c r="J939" t="str">
        <f t="shared" si="105"/>
        <v>Native</v>
      </c>
      <c r="K939" t="str">
        <f t="shared" si="106"/>
        <v>Yes</v>
      </c>
      <c r="L939">
        <v>1</v>
      </c>
      <c r="M939" t="s">
        <v>177</v>
      </c>
      <c r="N939">
        <v>21</v>
      </c>
      <c r="O939">
        <v>10</v>
      </c>
      <c r="T939" t="str">
        <f t="shared" si="101"/>
        <v/>
      </c>
    </row>
    <row r="940" spans="1:20" x14ac:dyDescent="0.55000000000000004">
      <c r="A940">
        <v>21</v>
      </c>
      <c r="B940" s="15" t="str">
        <f t="shared" si="107"/>
        <v>21_1</v>
      </c>
      <c r="C940" s="20">
        <v>45778.625</v>
      </c>
      <c r="D940" t="s">
        <v>175</v>
      </c>
      <c r="E940">
        <v>2</v>
      </c>
      <c r="F940" t="s">
        <v>115</v>
      </c>
      <c r="G940" t="str">
        <f t="shared" si="102"/>
        <v>Paranephrops planifrons</v>
      </c>
      <c r="H940" t="str">
        <f t="shared" si="103"/>
        <v>Freshwater_crayfish</v>
      </c>
      <c r="I940" t="str">
        <f t="shared" si="104"/>
        <v>Kōura</v>
      </c>
      <c r="J940" t="str">
        <f t="shared" si="105"/>
        <v>Native</v>
      </c>
      <c r="K940" t="str">
        <f t="shared" si="106"/>
        <v>Yes</v>
      </c>
      <c r="L940">
        <v>1</v>
      </c>
      <c r="M940" t="s">
        <v>176</v>
      </c>
      <c r="N940">
        <v>26</v>
      </c>
      <c r="O940">
        <v>19</v>
      </c>
      <c r="T940" t="str">
        <f t="shared" si="101"/>
        <v/>
      </c>
    </row>
    <row r="941" spans="1:20" x14ac:dyDescent="0.55000000000000004">
      <c r="A941">
        <v>21</v>
      </c>
      <c r="B941" s="15" t="str">
        <f t="shared" si="107"/>
        <v>21_1</v>
      </c>
      <c r="C941" s="20">
        <v>45778.625</v>
      </c>
      <c r="D941" t="s">
        <v>175</v>
      </c>
      <c r="E941">
        <v>2</v>
      </c>
      <c r="F941" t="s">
        <v>115</v>
      </c>
      <c r="G941" t="str">
        <f t="shared" si="102"/>
        <v>Paranephrops planifrons</v>
      </c>
      <c r="H941" t="str">
        <f t="shared" si="103"/>
        <v>Freshwater_crayfish</v>
      </c>
      <c r="I941" t="str">
        <f t="shared" si="104"/>
        <v>Kōura</v>
      </c>
      <c r="J941" t="str">
        <f t="shared" si="105"/>
        <v>Native</v>
      </c>
      <c r="K941" t="str">
        <f t="shared" si="106"/>
        <v>Yes</v>
      </c>
      <c r="L941">
        <v>1</v>
      </c>
      <c r="M941" t="s">
        <v>176</v>
      </c>
      <c r="N941">
        <v>30</v>
      </c>
      <c r="O941">
        <v>24</v>
      </c>
      <c r="T941" t="str">
        <f t="shared" si="101"/>
        <v/>
      </c>
    </row>
    <row r="942" spans="1:20" x14ac:dyDescent="0.55000000000000004">
      <c r="A942">
        <v>21</v>
      </c>
      <c r="B942" s="15" t="str">
        <f t="shared" si="107"/>
        <v>21_1</v>
      </c>
      <c r="C942" s="20">
        <v>45778.625</v>
      </c>
      <c r="D942" t="s">
        <v>175</v>
      </c>
      <c r="E942">
        <v>2</v>
      </c>
      <c r="F942" t="s">
        <v>115</v>
      </c>
      <c r="G942" t="str">
        <f t="shared" si="102"/>
        <v>Paranephrops planifrons</v>
      </c>
      <c r="H942" t="str">
        <f t="shared" si="103"/>
        <v>Freshwater_crayfish</v>
      </c>
      <c r="I942" t="str">
        <f t="shared" si="104"/>
        <v>Kōura</v>
      </c>
      <c r="J942" t="str">
        <f t="shared" si="105"/>
        <v>Native</v>
      </c>
      <c r="K942" t="str">
        <f t="shared" si="106"/>
        <v>Yes</v>
      </c>
      <c r="L942">
        <v>1</v>
      </c>
      <c r="M942" t="s">
        <v>177</v>
      </c>
      <c r="N942">
        <v>15</v>
      </c>
      <c r="O942">
        <v>3</v>
      </c>
      <c r="T942" t="str">
        <f t="shared" si="101"/>
        <v/>
      </c>
    </row>
    <row r="943" spans="1:20" x14ac:dyDescent="0.55000000000000004">
      <c r="A943">
        <v>21</v>
      </c>
      <c r="B943" s="15" t="str">
        <f t="shared" si="107"/>
        <v>21_1</v>
      </c>
      <c r="C943" s="20">
        <v>45778.625</v>
      </c>
      <c r="D943" t="s">
        <v>175</v>
      </c>
      <c r="E943">
        <v>2</v>
      </c>
      <c r="F943" t="s">
        <v>115</v>
      </c>
      <c r="G943" t="str">
        <f t="shared" si="102"/>
        <v>Paranephrops planifrons</v>
      </c>
      <c r="H943" t="str">
        <f t="shared" si="103"/>
        <v>Freshwater_crayfish</v>
      </c>
      <c r="I943" t="str">
        <f t="shared" si="104"/>
        <v>Kōura</v>
      </c>
      <c r="J943" t="str">
        <f t="shared" si="105"/>
        <v>Native</v>
      </c>
      <c r="K943" t="str">
        <f t="shared" si="106"/>
        <v>Yes</v>
      </c>
      <c r="L943">
        <v>1</v>
      </c>
      <c r="M943" t="s">
        <v>176</v>
      </c>
      <c r="N943">
        <v>25</v>
      </c>
      <c r="O943">
        <v>13</v>
      </c>
      <c r="T943" t="str">
        <f t="shared" si="101"/>
        <v/>
      </c>
    </row>
    <row r="944" spans="1:20" x14ac:dyDescent="0.55000000000000004">
      <c r="A944">
        <v>21</v>
      </c>
      <c r="B944" s="15" t="str">
        <f t="shared" si="107"/>
        <v>21_1</v>
      </c>
      <c r="C944" s="20">
        <v>45778.625</v>
      </c>
      <c r="D944" t="s">
        <v>175</v>
      </c>
      <c r="E944">
        <v>2</v>
      </c>
      <c r="F944" t="s">
        <v>133</v>
      </c>
      <c r="G944" t="str">
        <f t="shared" si="102"/>
        <v>Retropinna retropinna</v>
      </c>
      <c r="H944" t="str">
        <f t="shared" si="103"/>
        <v>Common_smelt</v>
      </c>
      <c r="I944" t="str">
        <f t="shared" si="104"/>
        <v>Common_smelt</v>
      </c>
      <c r="J944" t="str">
        <f t="shared" si="105"/>
        <v>Native</v>
      </c>
      <c r="K944" t="str">
        <f t="shared" si="106"/>
        <v>No</v>
      </c>
      <c r="L944">
        <v>10</v>
      </c>
      <c r="T944" t="str">
        <f t="shared" si="101"/>
        <v/>
      </c>
    </row>
    <row r="945" spans="1:20" x14ac:dyDescent="0.55000000000000004">
      <c r="A945">
        <v>21</v>
      </c>
      <c r="B945" s="15" t="str">
        <f t="shared" si="107"/>
        <v>21_1</v>
      </c>
      <c r="C945" s="20">
        <v>45778.625</v>
      </c>
      <c r="D945" t="s">
        <v>175</v>
      </c>
      <c r="E945">
        <v>2</v>
      </c>
      <c r="F945" t="s">
        <v>135</v>
      </c>
      <c r="G945" t="str">
        <f t="shared" si="102"/>
        <v>Gobiomorphus cotidianus</v>
      </c>
      <c r="H945" t="str">
        <f t="shared" si="103"/>
        <v>Common_bully</v>
      </c>
      <c r="I945" t="str">
        <f t="shared" si="104"/>
        <v>Toitoi</v>
      </c>
      <c r="J945" t="str">
        <f t="shared" si="105"/>
        <v>Native</v>
      </c>
      <c r="K945" t="str">
        <f t="shared" si="106"/>
        <v>No</v>
      </c>
      <c r="O945">
        <v>140</v>
      </c>
      <c r="S945">
        <v>1</v>
      </c>
      <c r="T945">
        <f t="shared" si="101"/>
        <v>236.58799999999999</v>
      </c>
    </row>
    <row r="946" spans="1:20" x14ac:dyDescent="0.55000000000000004">
      <c r="A946">
        <v>21</v>
      </c>
      <c r="B946" s="15" t="str">
        <f t="shared" si="107"/>
        <v>21_1</v>
      </c>
      <c r="C946" s="20">
        <v>45778.625</v>
      </c>
      <c r="D946" t="s">
        <v>175</v>
      </c>
      <c r="E946">
        <v>2</v>
      </c>
      <c r="F946" t="s">
        <v>124</v>
      </c>
      <c r="G946" t="str">
        <f t="shared" si="102"/>
        <v>Carassius auratus</v>
      </c>
      <c r="H946" t="str">
        <f t="shared" si="103"/>
        <v>Goldfish</v>
      </c>
      <c r="I946" t="str">
        <f t="shared" si="104"/>
        <v>Morihana</v>
      </c>
      <c r="J946" t="str">
        <f t="shared" si="105"/>
        <v>Nonnative</v>
      </c>
      <c r="K946" t="str">
        <f t="shared" si="106"/>
        <v>No</v>
      </c>
      <c r="L946">
        <v>2</v>
      </c>
      <c r="T946" t="str">
        <f t="shared" si="101"/>
        <v/>
      </c>
    </row>
    <row r="947" spans="1:20" x14ac:dyDescent="0.55000000000000004">
      <c r="A947">
        <v>21</v>
      </c>
      <c r="B947" s="15" t="str">
        <f t="shared" si="107"/>
        <v>21_1</v>
      </c>
      <c r="C947" s="20">
        <v>45778.625</v>
      </c>
      <c r="D947" t="s">
        <v>175</v>
      </c>
      <c r="E947">
        <v>2</v>
      </c>
      <c r="F947" t="s">
        <v>127</v>
      </c>
      <c r="G947" t="str">
        <f t="shared" si="102"/>
        <v>Galaxias brevipinnis</v>
      </c>
      <c r="H947" t="str">
        <f t="shared" si="103"/>
        <v>Climbing_galaxias</v>
      </c>
      <c r="I947" t="str">
        <f t="shared" si="104"/>
        <v>Kōaro</v>
      </c>
      <c r="J947" t="str">
        <f t="shared" si="105"/>
        <v>Native</v>
      </c>
      <c r="K947" t="str">
        <f t="shared" si="106"/>
        <v>Yes</v>
      </c>
      <c r="L947">
        <v>69</v>
      </c>
      <c r="T947" t="str">
        <f t="shared" si="101"/>
        <v/>
      </c>
    </row>
    <row r="948" spans="1:20" x14ac:dyDescent="0.55000000000000004">
      <c r="A948">
        <v>21</v>
      </c>
      <c r="B948" s="15" t="str">
        <f t="shared" si="107"/>
        <v>21_1</v>
      </c>
      <c r="C948" s="20">
        <v>45778.625</v>
      </c>
      <c r="D948" t="s">
        <v>175</v>
      </c>
      <c r="E948">
        <v>2</v>
      </c>
      <c r="F948" t="s">
        <v>115</v>
      </c>
      <c r="G948" t="str">
        <f t="shared" si="102"/>
        <v>Paranephrops planifrons</v>
      </c>
      <c r="H948" t="str">
        <f t="shared" si="103"/>
        <v>Freshwater_crayfish</v>
      </c>
      <c r="I948" t="str">
        <f t="shared" si="104"/>
        <v>Kōura</v>
      </c>
      <c r="J948" t="str">
        <f t="shared" si="105"/>
        <v>Native</v>
      </c>
      <c r="K948" t="str">
        <f t="shared" si="106"/>
        <v>Yes</v>
      </c>
      <c r="L948">
        <v>1</v>
      </c>
      <c r="M948" t="s">
        <v>176</v>
      </c>
      <c r="N948">
        <v>30</v>
      </c>
      <c r="O948">
        <v>20</v>
      </c>
      <c r="T948" t="str">
        <f t="shared" ref="T948:T1011" si="108">IF(S948&lt;&gt;"", S948*236.588, "")</f>
        <v/>
      </c>
    </row>
    <row r="949" spans="1:20" x14ac:dyDescent="0.55000000000000004">
      <c r="A949">
        <v>21</v>
      </c>
      <c r="B949" s="15" t="str">
        <f t="shared" si="107"/>
        <v>21_1</v>
      </c>
      <c r="C949" s="20">
        <v>45778.625</v>
      </c>
      <c r="D949" t="s">
        <v>175</v>
      </c>
      <c r="E949">
        <v>2</v>
      </c>
      <c r="F949" t="s">
        <v>115</v>
      </c>
      <c r="G949" t="str">
        <f t="shared" si="102"/>
        <v>Paranephrops planifrons</v>
      </c>
      <c r="H949" t="str">
        <f t="shared" si="103"/>
        <v>Freshwater_crayfish</v>
      </c>
      <c r="I949" t="str">
        <f t="shared" si="104"/>
        <v>Kōura</v>
      </c>
      <c r="J949" t="str">
        <f t="shared" si="105"/>
        <v>Native</v>
      </c>
      <c r="K949" t="str">
        <f t="shared" si="106"/>
        <v>Yes</v>
      </c>
      <c r="L949">
        <v>1</v>
      </c>
      <c r="M949" t="s">
        <v>176</v>
      </c>
      <c r="N949">
        <v>16</v>
      </c>
      <c r="O949">
        <v>3</v>
      </c>
      <c r="T949" t="str">
        <f t="shared" si="108"/>
        <v/>
      </c>
    </row>
    <row r="950" spans="1:20" x14ac:dyDescent="0.55000000000000004">
      <c r="A950">
        <v>21</v>
      </c>
      <c r="B950" s="15" t="str">
        <f t="shared" si="107"/>
        <v>21_1</v>
      </c>
      <c r="C950" s="20">
        <v>45778.625</v>
      </c>
      <c r="D950" t="s">
        <v>175</v>
      </c>
      <c r="E950">
        <v>2</v>
      </c>
      <c r="F950" t="s">
        <v>115</v>
      </c>
      <c r="G950" t="str">
        <f t="shared" si="102"/>
        <v>Paranephrops planifrons</v>
      </c>
      <c r="H950" t="str">
        <f t="shared" si="103"/>
        <v>Freshwater_crayfish</v>
      </c>
      <c r="I950" t="str">
        <f t="shared" si="104"/>
        <v>Kōura</v>
      </c>
      <c r="J950" t="str">
        <f t="shared" si="105"/>
        <v>Native</v>
      </c>
      <c r="K950" t="str">
        <f t="shared" si="106"/>
        <v>Yes</v>
      </c>
      <c r="L950">
        <v>1</v>
      </c>
      <c r="M950" t="s">
        <v>176</v>
      </c>
      <c r="N950">
        <v>22</v>
      </c>
      <c r="O950">
        <v>12</v>
      </c>
      <c r="T950" t="str">
        <f t="shared" si="108"/>
        <v/>
      </c>
    </row>
    <row r="951" spans="1:20" x14ac:dyDescent="0.55000000000000004">
      <c r="A951">
        <v>21</v>
      </c>
      <c r="B951" s="15" t="str">
        <f t="shared" si="107"/>
        <v>21_1</v>
      </c>
      <c r="C951" s="20">
        <v>45778.625</v>
      </c>
      <c r="D951" t="s">
        <v>175</v>
      </c>
      <c r="E951">
        <v>2</v>
      </c>
      <c r="F951" t="s">
        <v>115</v>
      </c>
      <c r="G951" t="str">
        <f t="shared" si="102"/>
        <v>Paranephrops planifrons</v>
      </c>
      <c r="H951" t="str">
        <f t="shared" si="103"/>
        <v>Freshwater_crayfish</v>
      </c>
      <c r="I951" t="str">
        <f t="shared" si="104"/>
        <v>Kōura</v>
      </c>
      <c r="J951" t="str">
        <f t="shared" si="105"/>
        <v>Native</v>
      </c>
      <c r="K951" t="str">
        <f t="shared" si="106"/>
        <v>Yes</v>
      </c>
      <c r="L951">
        <v>1</v>
      </c>
      <c r="M951" t="s">
        <v>177</v>
      </c>
      <c r="N951">
        <v>27</v>
      </c>
      <c r="O951">
        <v>14</v>
      </c>
      <c r="P951">
        <v>1</v>
      </c>
      <c r="T951" t="str">
        <f t="shared" si="108"/>
        <v/>
      </c>
    </row>
    <row r="952" spans="1:20" x14ac:dyDescent="0.55000000000000004">
      <c r="A952">
        <v>21</v>
      </c>
      <c r="B952" s="15" t="str">
        <f t="shared" si="107"/>
        <v>21_1</v>
      </c>
      <c r="C952" s="20">
        <v>45778.625</v>
      </c>
      <c r="D952" t="s">
        <v>175</v>
      </c>
      <c r="E952">
        <v>2</v>
      </c>
      <c r="F952" t="s">
        <v>115</v>
      </c>
      <c r="G952" t="str">
        <f t="shared" si="102"/>
        <v>Paranephrops planifrons</v>
      </c>
      <c r="H952" t="str">
        <f t="shared" si="103"/>
        <v>Freshwater_crayfish</v>
      </c>
      <c r="I952" t="str">
        <f t="shared" si="104"/>
        <v>Kōura</v>
      </c>
      <c r="J952" t="str">
        <f t="shared" si="105"/>
        <v>Native</v>
      </c>
      <c r="K952" t="str">
        <f t="shared" si="106"/>
        <v>Yes</v>
      </c>
      <c r="L952">
        <v>1</v>
      </c>
      <c r="M952" t="s">
        <v>177</v>
      </c>
      <c r="N952">
        <v>27</v>
      </c>
      <c r="O952">
        <v>18</v>
      </c>
      <c r="T952" t="str">
        <f t="shared" si="108"/>
        <v/>
      </c>
    </row>
    <row r="953" spans="1:20" x14ac:dyDescent="0.55000000000000004">
      <c r="A953">
        <v>21</v>
      </c>
      <c r="B953" s="15" t="str">
        <f t="shared" si="107"/>
        <v>21_1</v>
      </c>
      <c r="C953" s="20">
        <v>45778.625</v>
      </c>
      <c r="D953" t="s">
        <v>175</v>
      </c>
      <c r="E953">
        <v>2</v>
      </c>
      <c r="F953" t="s">
        <v>115</v>
      </c>
      <c r="G953" t="str">
        <f t="shared" si="102"/>
        <v>Paranephrops planifrons</v>
      </c>
      <c r="H953" t="str">
        <f t="shared" si="103"/>
        <v>Freshwater_crayfish</v>
      </c>
      <c r="I953" t="str">
        <f t="shared" si="104"/>
        <v>Kōura</v>
      </c>
      <c r="J953" t="str">
        <f t="shared" si="105"/>
        <v>Native</v>
      </c>
      <c r="K953" t="str">
        <f t="shared" si="106"/>
        <v>Yes</v>
      </c>
      <c r="L953">
        <v>1</v>
      </c>
      <c r="M953" t="s">
        <v>177</v>
      </c>
      <c r="N953">
        <v>30</v>
      </c>
      <c r="O953">
        <v>25</v>
      </c>
      <c r="T953" t="str">
        <f t="shared" si="108"/>
        <v/>
      </c>
    </row>
    <row r="954" spans="1:20" x14ac:dyDescent="0.55000000000000004">
      <c r="A954">
        <v>21</v>
      </c>
      <c r="B954" s="15" t="str">
        <f t="shared" si="107"/>
        <v>21_1</v>
      </c>
      <c r="C954" s="20">
        <v>45778.625</v>
      </c>
      <c r="D954" t="s">
        <v>175</v>
      </c>
      <c r="E954">
        <v>2</v>
      </c>
      <c r="F954" t="s">
        <v>115</v>
      </c>
      <c r="G954" t="str">
        <f t="shared" si="102"/>
        <v>Paranephrops planifrons</v>
      </c>
      <c r="H954" t="str">
        <f t="shared" si="103"/>
        <v>Freshwater_crayfish</v>
      </c>
      <c r="I954" t="str">
        <f t="shared" si="104"/>
        <v>Kōura</v>
      </c>
      <c r="J954" t="str">
        <f t="shared" si="105"/>
        <v>Native</v>
      </c>
      <c r="K954" t="str">
        <f t="shared" si="106"/>
        <v>Yes</v>
      </c>
      <c r="L954">
        <v>1</v>
      </c>
      <c r="M954" t="s">
        <v>176</v>
      </c>
      <c r="N954">
        <v>26</v>
      </c>
      <c r="O954">
        <v>14</v>
      </c>
      <c r="T954" t="str">
        <f t="shared" si="108"/>
        <v/>
      </c>
    </row>
    <row r="955" spans="1:20" x14ac:dyDescent="0.55000000000000004">
      <c r="A955">
        <v>21</v>
      </c>
      <c r="B955" s="15" t="str">
        <f t="shared" si="107"/>
        <v>21_1</v>
      </c>
      <c r="C955" s="20">
        <v>45778.625</v>
      </c>
      <c r="D955" t="s">
        <v>175</v>
      </c>
      <c r="E955">
        <v>2</v>
      </c>
      <c r="F955" t="s">
        <v>115</v>
      </c>
      <c r="G955" t="str">
        <f t="shared" si="102"/>
        <v>Paranephrops planifrons</v>
      </c>
      <c r="H955" t="str">
        <f t="shared" si="103"/>
        <v>Freshwater_crayfish</v>
      </c>
      <c r="I955" t="str">
        <f t="shared" si="104"/>
        <v>Kōura</v>
      </c>
      <c r="J955" t="str">
        <f t="shared" si="105"/>
        <v>Native</v>
      </c>
      <c r="K955" t="str">
        <f t="shared" si="106"/>
        <v>Yes</v>
      </c>
      <c r="L955">
        <v>1</v>
      </c>
      <c r="M955" t="s">
        <v>177</v>
      </c>
      <c r="N955">
        <v>25</v>
      </c>
      <c r="O955">
        <v>12</v>
      </c>
      <c r="T955" t="str">
        <f t="shared" si="108"/>
        <v/>
      </c>
    </row>
    <row r="956" spans="1:20" x14ac:dyDescent="0.55000000000000004">
      <c r="A956">
        <v>21</v>
      </c>
      <c r="B956" s="15" t="str">
        <f t="shared" si="107"/>
        <v>21_1</v>
      </c>
      <c r="C956" s="20">
        <v>45778.625</v>
      </c>
      <c r="D956" t="s">
        <v>175</v>
      </c>
      <c r="E956">
        <v>2</v>
      </c>
      <c r="F956" t="s">
        <v>115</v>
      </c>
      <c r="G956" t="str">
        <f t="shared" si="102"/>
        <v>Paranephrops planifrons</v>
      </c>
      <c r="H956" t="str">
        <f t="shared" si="103"/>
        <v>Freshwater_crayfish</v>
      </c>
      <c r="I956" t="str">
        <f t="shared" si="104"/>
        <v>Kōura</v>
      </c>
      <c r="J956" t="str">
        <f t="shared" si="105"/>
        <v>Native</v>
      </c>
      <c r="K956" t="str">
        <f t="shared" si="106"/>
        <v>Yes</v>
      </c>
      <c r="L956">
        <v>1</v>
      </c>
      <c r="M956" t="s">
        <v>177</v>
      </c>
      <c r="N956">
        <v>24</v>
      </c>
      <c r="O956">
        <v>15</v>
      </c>
      <c r="T956" t="str">
        <f t="shared" si="108"/>
        <v/>
      </c>
    </row>
    <row r="957" spans="1:20" x14ac:dyDescent="0.55000000000000004">
      <c r="A957">
        <v>21</v>
      </c>
      <c r="B957" s="15" t="str">
        <f t="shared" si="107"/>
        <v>21_1</v>
      </c>
      <c r="C957" s="20">
        <v>45778.625</v>
      </c>
      <c r="D957" t="s">
        <v>175</v>
      </c>
      <c r="E957">
        <v>2</v>
      </c>
      <c r="F957" t="s">
        <v>115</v>
      </c>
      <c r="G957" t="str">
        <f t="shared" si="102"/>
        <v>Paranephrops planifrons</v>
      </c>
      <c r="H957" t="str">
        <f t="shared" si="103"/>
        <v>Freshwater_crayfish</v>
      </c>
      <c r="I957" t="str">
        <f t="shared" si="104"/>
        <v>Kōura</v>
      </c>
      <c r="J957" t="str">
        <f t="shared" si="105"/>
        <v>Native</v>
      </c>
      <c r="K957" t="str">
        <f t="shared" si="106"/>
        <v>Yes</v>
      </c>
      <c r="L957">
        <v>1</v>
      </c>
      <c r="M957" t="s">
        <v>176</v>
      </c>
      <c r="N957">
        <v>14</v>
      </c>
      <c r="O957">
        <v>2</v>
      </c>
      <c r="T957" t="str">
        <f t="shared" si="108"/>
        <v/>
      </c>
    </row>
    <row r="958" spans="1:20" x14ac:dyDescent="0.55000000000000004">
      <c r="A958">
        <v>21</v>
      </c>
      <c r="B958" s="15" t="str">
        <f t="shared" si="107"/>
        <v>21_1</v>
      </c>
      <c r="C958" s="20">
        <v>45778.625</v>
      </c>
      <c r="D958" t="s">
        <v>175</v>
      </c>
      <c r="E958">
        <v>2</v>
      </c>
      <c r="F958" t="s">
        <v>115</v>
      </c>
      <c r="G958" t="str">
        <f t="shared" si="102"/>
        <v>Paranephrops planifrons</v>
      </c>
      <c r="H958" t="str">
        <f t="shared" si="103"/>
        <v>Freshwater_crayfish</v>
      </c>
      <c r="I958" t="str">
        <f t="shared" si="104"/>
        <v>Kōura</v>
      </c>
      <c r="J958" t="str">
        <f t="shared" si="105"/>
        <v>Native</v>
      </c>
      <c r="K958" t="str">
        <f t="shared" si="106"/>
        <v>Yes</v>
      </c>
      <c r="L958">
        <v>1</v>
      </c>
      <c r="M958" t="s">
        <v>176</v>
      </c>
      <c r="N958">
        <v>12</v>
      </c>
      <c r="O958">
        <v>4</v>
      </c>
      <c r="T958" t="str">
        <f t="shared" si="108"/>
        <v/>
      </c>
    </row>
    <row r="959" spans="1:20" x14ac:dyDescent="0.55000000000000004">
      <c r="A959">
        <v>21</v>
      </c>
      <c r="B959" s="15" t="str">
        <f t="shared" si="107"/>
        <v>21_1</v>
      </c>
      <c r="C959" s="20">
        <v>45778.625</v>
      </c>
      <c r="D959" t="s">
        <v>175</v>
      </c>
      <c r="E959">
        <v>2</v>
      </c>
      <c r="F959" t="s">
        <v>115</v>
      </c>
      <c r="G959" t="str">
        <f t="shared" si="102"/>
        <v>Paranephrops planifrons</v>
      </c>
      <c r="H959" t="str">
        <f t="shared" si="103"/>
        <v>Freshwater_crayfish</v>
      </c>
      <c r="I959" t="str">
        <f t="shared" si="104"/>
        <v>Kōura</v>
      </c>
      <c r="J959" t="str">
        <f t="shared" si="105"/>
        <v>Native</v>
      </c>
      <c r="K959" t="str">
        <f t="shared" si="106"/>
        <v>Yes</v>
      </c>
      <c r="L959">
        <v>1</v>
      </c>
      <c r="M959" t="s">
        <v>176</v>
      </c>
      <c r="N959">
        <v>20</v>
      </c>
      <c r="O959">
        <v>5</v>
      </c>
      <c r="T959" t="str">
        <f t="shared" si="108"/>
        <v/>
      </c>
    </row>
    <row r="960" spans="1:20" x14ac:dyDescent="0.55000000000000004">
      <c r="A960">
        <v>21</v>
      </c>
      <c r="B960" s="15" t="str">
        <f t="shared" si="107"/>
        <v>21_1</v>
      </c>
      <c r="C960" s="20">
        <v>45778.625</v>
      </c>
      <c r="D960" t="s">
        <v>175</v>
      </c>
      <c r="E960">
        <v>2</v>
      </c>
      <c r="F960" t="s">
        <v>115</v>
      </c>
      <c r="G960" t="str">
        <f t="shared" si="102"/>
        <v>Paranephrops planifrons</v>
      </c>
      <c r="H960" t="str">
        <f t="shared" si="103"/>
        <v>Freshwater_crayfish</v>
      </c>
      <c r="I960" t="str">
        <f t="shared" si="104"/>
        <v>Kōura</v>
      </c>
      <c r="J960" t="str">
        <f t="shared" si="105"/>
        <v>Native</v>
      </c>
      <c r="K960" t="str">
        <f t="shared" si="106"/>
        <v>Yes</v>
      </c>
      <c r="L960">
        <v>1</v>
      </c>
      <c r="M960" t="s">
        <v>176</v>
      </c>
      <c r="N960">
        <v>27</v>
      </c>
      <c r="O960">
        <v>16</v>
      </c>
      <c r="P960">
        <v>1</v>
      </c>
      <c r="T960" t="str">
        <f t="shared" si="108"/>
        <v/>
      </c>
    </row>
    <row r="961" spans="1:21" x14ac:dyDescent="0.55000000000000004">
      <c r="A961">
        <v>21</v>
      </c>
      <c r="B961" s="15" t="str">
        <f t="shared" si="107"/>
        <v>21_1</v>
      </c>
      <c r="C961" s="20">
        <v>45778.625</v>
      </c>
      <c r="D961" t="s">
        <v>175</v>
      </c>
      <c r="E961">
        <v>2</v>
      </c>
      <c r="F961" t="s">
        <v>115</v>
      </c>
      <c r="G961" t="str">
        <f t="shared" ref="G961:G996" si="109">VLOOKUP($F961, $W$1:$AB$10, 2, FALSE)</f>
        <v>Paranephrops planifrons</v>
      </c>
      <c r="H961" t="str">
        <f t="shared" ref="H961:H1024" si="110">VLOOKUP($F961, $W$1:$AB$10, 3, FALSE)</f>
        <v>Freshwater_crayfish</v>
      </c>
      <c r="I961" t="str">
        <f t="shared" ref="I961:I1024" si="111">VLOOKUP($F961, $W$1:$AB$10, 4, FALSE)</f>
        <v>Kōura</v>
      </c>
      <c r="J961" t="str">
        <f t="shared" ref="J961:J1024" si="112">VLOOKUP($F961, $W$1:$AC$10, 5, FALSE)</f>
        <v>Native</v>
      </c>
      <c r="K961" t="str">
        <f t="shared" ref="K961:K1024" si="113">VLOOKUP($F961, $W$1:$AB$10, 6, FALSE)</f>
        <v>Yes</v>
      </c>
      <c r="L961">
        <v>1</v>
      </c>
      <c r="M961" t="s">
        <v>177</v>
      </c>
      <c r="N961">
        <v>25</v>
      </c>
      <c r="O961">
        <v>9</v>
      </c>
      <c r="T961" t="str">
        <f t="shared" si="108"/>
        <v/>
      </c>
    </row>
    <row r="962" spans="1:21" x14ac:dyDescent="0.55000000000000004">
      <c r="A962">
        <v>21</v>
      </c>
      <c r="B962" s="15" t="str">
        <f t="shared" si="107"/>
        <v>21_1</v>
      </c>
      <c r="C962" s="20">
        <v>45778.625</v>
      </c>
      <c r="D962" t="s">
        <v>175</v>
      </c>
      <c r="E962">
        <v>2</v>
      </c>
      <c r="F962" t="s">
        <v>115</v>
      </c>
      <c r="G962" t="str">
        <f t="shared" si="109"/>
        <v>Paranephrops planifrons</v>
      </c>
      <c r="H962" t="str">
        <f t="shared" si="110"/>
        <v>Freshwater_crayfish</v>
      </c>
      <c r="I962" t="str">
        <f t="shared" si="111"/>
        <v>Kōura</v>
      </c>
      <c r="J962" t="str">
        <f t="shared" si="112"/>
        <v>Native</v>
      </c>
      <c r="K962" t="str">
        <f t="shared" si="113"/>
        <v>Yes</v>
      </c>
      <c r="L962">
        <v>1</v>
      </c>
      <c r="M962" t="s">
        <v>176</v>
      </c>
      <c r="N962">
        <v>25</v>
      </c>
      <c r="O962">
        <v>15</v>
      </c>
      <c r="T962" t="str">
        <f t="shared" si="108"/>
        <v/>
      </c>
    </row>
    <row r="963" spans="1:21" x14ac:dyDescent="0.55000000000000004">
      <c r="A963">
        <v>21</v>
      </c>
      <c r="B963" s="15" t="str">
        <f t="shared" si="107"/>
        <v>21_1</v>
      </c>
      <c r="C963" s="20">
        <v>45778.625</v>
      </c>
      <c r="D963" t="s">
        <v>175</v>
      </c>
      <c r="E963">
        <v>2</v>
      </c>
      <c r="F963" t="s">
        <v>115</v>
      </c>
      <c r="G963" t="str">
        <f t="shared" si="109"/>
        <v>Paranephrops planifrons</v>
      </c>
      <c r="H963" t="str">
        <f t="shared" si="110"/>
        <v>Freshwater_crayfish</v>
      </c>
      <c r="I963" t="str">
        <f t="shared" si="111"/>
        <v>Kōura</v>
      </c>
      <c r="J963" t="str">
        <f t="shared" si="112"/>
        <v>Native</v>
      </c>
      <c r="K963" t="str">
        <f t="shared" si="113"/>
        <v>Yes</v>
      </c>
      <c r="L963">
        <v>1</v>
      </c>
      <c r="M963" t="s">
        <v>177</v>
      </c>
      <c r="N963">
        <v>21</v>
      </c>
      <c r="O963">
        <v>4</v>
      </c>
      <c r="T963" t="str">
        <f t="shared" si="108"/>
        <v/>
      </c>
    </row>
    <row r="964" spans="1:21" x14ac:dyDescent="0.55000000000000004">
      <c r="A964">
        <v>21</v>
      </c>
      <c r="B964" s="15" t="str">
        <f t="shared" si="107"/>
        <v>21_1</v>
      </c>
      <c r="C964" s="20">
        <v>45778.625</v>
      </c>
      <c r="D964" t="s">
        <v>175</v>
      </c>
      <c r="E964">
        <v>2</v>
      </c>
      <c r="F964" t="s">
        <v>115</v>
      </c>
      <c r="G964" t="str">
        <f t="shared" si="109"/>
        <v>Paranephrops planifrons</v>
      </c>
      <c r="H964" t="str">
        <f t="shared" si="110"/>
        <v>Freshwater_crayfish</v>
      </c>
      <c r="I964" t="str">
        <f t="shared" si="111"/>
        <v>Kōura</v>
      </c>
      <c r="J964" t="str">
        <f t="shared" si="112"/>
        <v>Native</v>
      </c>
      <c r="K964" t="str">
        <f t="shared" si="113"/>
        <v>Yes</v>
      </c>
      <c r="L964">
        <v>1</v>
      </c>
      <c r="M964" t="s">
        <v>176</v>
      </c>
      <c r="N964">
        <v>25</v>
      </c>
      <c r="O964">
        <v>11</v>
      </c>
      <c r="T964" t="str">
        <f t="shared" si="108"/>
        <v/>
      </c>
    </row>
    <row r="965" spans="1:21" x14ac:dyDescent="0.55000000000000004">
      <c r="A965">
        <v>21</v>
      </c>
      <c r="B965" s="15" t="str">
        <f t="shared" si="107"/>
        <v>21_1</v>
      </c>
      <c r="C965" s="20">
        <v>45778.625</v>
      </c>
      <c r="D965" t="s">
        <v>175</v>
      </c>
      <c r="E965">
        <v>2</v>
      </c>
      <c r="F965" t="s">
        <v>115</v>
      </c>
      <c r="G965" t="str">
        <f t="shared" si="109"/>
        <v>Paranephrops planifrons</v>
      </c>
      <c r="H965" t="str">
        <f t="shared" si="110"/>
        <v>Freshwater_crayfish</v>
      </c>
      <c r="I965" t="str">
        <f t="shared" si="111"/>
        <v>Kōura</v>
      </c>
      <c r="J965" t="str">
        <f t="shared" si="112"/>
        <v>Native</v>
      </c>
      <c r="K965" t="str">
        <f t="shared" si="113"/>
        <v>Yes</v>
      </c>
      <c r="L965">
        <v>1</v>
      </c>
      <c r="M965" t="s">
        <v>176</v>
      </c>
      <c r="N965">
        <v>22</v>
      </c>
      <c r="O965">
        <v>6</v>
      </c>
      <c r="T965" t="str">
        <f t="shared" si="108"/>
        <v/>
      </c>
    </row>
    <row r="966" spans="1:21" x14ac:dyDescent="0.55000000000000004">
      <c r="A966">
        <v>21</v>
      </c>
      <c r="B966" s="15" t="str">
        <f t="shared" si="107"/>
        <v>21_1</v>
      </c>
      <c r="C966" s="20">
        <v>45778.625</v>
      </c>
      <c r="D966" t="s">
        <v>175</v>
      </c>
      <c r="E966">
        <v>2</v>
      </c>
      <c r="F966" t="s">
        <v>115</v>
      </c>
      <c r="G966" t="str">
        <f t="shared" si="109"/>
        <v>Paranephrops planifrons</v>
      </c>
      <c r="H966" t="str">
        <f t="shared" si="110"/>
        <v>Freshwater_crayfish</v>
      </c>
      <c r="I966" t="str">
        <f t="shared" si="111"/>
        <v>Kōura</v>
      </c>
      <c r="J966" t="str">
        <f t="shared" si="112"/>
        <v>Native</v>
      </c>
      <c r="K966" t="str">
        <f t="shared" si="113"/>
        <v>Yes</v>
      </c>
      <c r="L966">
        <v>1</v>
      </c>
      <c r="M966" t="s">
        <v>176</v>
      </c>
      <c r="N966">
        <v>20</v>
      </c>
      <c r="O966">
        <v>9</v>
      </c>
      <c r="T966" t="str">
        <f t="shared" si="108"/>
        <v/>
      </c>
    </row>
    <row r="967" spans="1:21" x14ac:dyDescent="0.55000000000000004">
      <c r="A967">
        <v>21</v>
      </c>
      <c r="B967" s="15" t="str">
        <f t="shared" ref="B967:B1030" si="114">A967 &amp; "_1"</f>
        <v>21_1</v>
      </c>
      <c r="C967" s="20">
        <v>45778.625</v>
      </c>
      <c r="D967" t="s">
        <v>175</v>
      </c>
      <c r="E967">
        <v>2</v>
      </c>
      <c r="F967" t="s">
        <v>115</v>
      </c>
      <c r="G967" t="str">
        <f t="shared" si="109"/>
        <v>Paranephrops planifrons</v>
      </c>
      <c r="H967" t="str">
        <f t="shared" si="110"/>
        <v>Freshwater_crayfish</v>
      </c>
      <c r="I967" t="str">
        <f t="shared" si="111"/>
        <v>Kōura</v>
      </c>
      <c r="J967" t="str">
        <f t="shared" si="112"/>
        <v>Native</v>
      </c>
      <c r="K967" t="str">
        <f t="shared" si="113"/>
        <v>Yes</v>
      </c>
      <c r="L967">
        <v>1</v>
      </c>
      <c r="M967" t="s">
        <v>176</v>
      </c>
      <c r="N967">
        <v>19</v>
      </c>
      <c r="O967">
        <v>5</v>
      </c>
      <c r="T967" t="str">
        <f t="shared" si="108"/>
        <v/>
      </c>
    </row>
    <row r="968" spans="1:21" x14ac:dyDescent="0.55000000000000004">
      <c r="A968">
        <v>21</v>
      </c>
      <c r="B968" s="15" t="str">
        <f t="shared" si="114"/>
        <v>21_1</v>
      </c>
      <c r="C968" s="20">
        <v>45778.625</v>
      </c>
      <c r="D968" t="s">
        <v>175</v>
      </c>
      <c r="E968">
        <v>2</v>
      </c>
      <c r="F968" t="s">
        <v>133</v>
      </c>
      <c r="G968" t="str">
        <f t="shared" si="109"/>
        <v>Retropinna retropinna</v>
      </c>
      <c r="H968" t="str">
        <f t="shared" si="110"/>
        <v>Common_smelt</v>
      </c>
      <c r="I968" t="str">
        <f t="shared" si="111"/>
        <v>Common_smelt</v>
      </c>
      <c r="J968" t="str">
        <f t="shared" si="112"/>
        <v>Native</v>
      </c>
      <c r="K968" t="str">
        <f t="shared" si="113"/>
        <v>No</v>
      </c>
      <c r="O968">
        <v>188</v>
      </c>
      <c r="S968">
        <v>1</v>
      </c>
      <c r="T968">
        <f t="shared" si="108"/>
        <v>236.58799999999999</v>
      </c>
    </row>
    <row r="969" spans="1:21" x14ac:dyDescent="0.55000000000000004">
      <c r="A969">
        <v>21</v>
      </c>
      <c r="B969" s="15" t="str">
        <f t="shared" si="114"/>
        <v>21_1</v>
      </c>
      <c r="C969" s="20">
        <v>45778.625</v>
      </c>
      <c r="D969" t="s">
        <v>175</v>
      </c>
      <c r="E969">
        <v>2</v>
      </c>
      <c r="F969" t="s">
        <v>135</v>
      </c>
      <c r="G969" t="str">
        <f t="shared" si="109"/>
        <v>Gobiomorphus cotidianus</v>
      </c>
      <c r="H969" t="str">
        <f t="shared" si="110"/>
        <v>Common_bully</v>
      </c>
      <c r="I969" t="str">
        <f t="shared" si="111"/>
        <v>Toitoi</v>
      </c>
      <c r="J969" t="str">
        <f t="shared" si="112"/>
        <v>Native</v>
      </c>
      <c r="K969" t="str">
        <f t="shared" si="113"/>
        <v>No</v>
      </c>
      <c r="O969">
        <v>502</v>
      </c>
      <c r="S969">
        <v>2.5</v>
      </c>
      <c r="T969">
        <f t="shared" si="108"/>
        <v>591.47</v>
      </c>
    </row>
    <row r="970" spans="1:21" x14ac:dyDescent="0.55000000000000004">
      <c r="A970">
        <v>21</v>
      </c>
      <c r="B970" s="15" t="str">
        <f t="shared" si="114"/>
        <v>21_1</v>
      </c>
      <c r="C970" s="20">
        <v>45778.625</v>
      </c>
      <c r="D970" t="s">
        <v>175</v>
      </c>
      <c r="E970">
        <v>2</v>
      </c>
      <c r="F970" t="s">
        <v>127</v>
      </c>
      <c r="G970" t="str">
        <f t="shared" si="109"/>
        <v>Galaxias brevipinnis</v>
      </c>
      <c r="H970" t="str">
        <f t="shared" si="110"/>
        <v>Climbing_galaxias</v>
      </c>
      <c r="I970" t="str">
        <f t="shared" si="111"/>
        <v>Kōaro</v>
      </c>
      <c r="J970" t="str">
        <f t="shared" si="112"/>
        <v>Native</v>
      </c>
      <c r="K970" t="str">
        <f t="shared" si="113"/>
        <v>Yes</v>
      </c>
      <c r="L970">
        <v>1</v>
      </c>
      <c r="T970" t="str">
        <f t="shared" si="108"/>
        <v/>
      </c>
    </row>
    <row r="971" spans="1:21" x14ac:dyDescent="0.55000000000000004">
      <c r="A971">
        <v>21</v>
      </c>
      <c r="B971" s="15" t="str">
        <f t="shared" si="114"/>
        <v>21_1</v>
      </c>
      <c r="C971" s="20">
        <v>45778.625</v>
      </c>
      <c r="D971" t="s">
        <v>175</v>
      </c>
      <c r="E971">
        <v>2</v>
      </c>
      <c r="F971" t="s">
        <v>135</v>
      </c>
      <c r="G971" t="str">
        <f t="shared" si="109"/>
        <v>Gobiomorphus cotidianus</v>
      </c>
      <c r="H971" t="str">
        <f t="shared" si="110"/>
        <v>Common_bully</v>
      </c>
      <c r="I971" t="str">
        <f t="shared" si="111"/>
        <v>Toitoi</v>
      </c>
      <c r="J971" t="str">
        <f t="shared" si="112"/>
        <v>Native</v>
      </c>
      <c r="K971" t="str">
        <f t="shared" si="113"/>
        <v>No</v>
      </c>
      <c r="O971">
        <v>93</v>
      </c>
      <c r="S971">
        <v>0.5</v>
      </c>
      <c r="T971">
        <f t="shared" si="108"/>
        <v>118.294</v>
      </c>
    </row>
    <row r="972" spans="1:21" x14ac:dyDescent="0.55000000000000004">
      <c r="A972">
        <v>21</v>
      </c>
      <c r="B972" s="15" t="str">
        <f t="shared" si="114"/>
        <v>21_1</v>
      </c>
      <c r="C972" s="20">
        <v>45778.625</v>
      </c>
      <c r="D972" t="s">
        <v>175</v>
      </c>
      <c r="E972">
        <v>2</v>
      </c>
      <c r="F972" t="s">
        <v>115</v>
      </c>
      <c r="G972" t="str">
        <f t="shared" si="109"/>
        <v>Paranephrops planifrons</v>
      </c>
      <c r="H972" t="str">
        <f t="shared" si="110"/>
        <v>Freshwater_crayfish</v>
      </c>
      <c r="I972" t="str">
        <f t="shared" si="111"/>
        <v>Kōura</v>
      </c>
      <c r="J972" t="str">
        <f t="shared" si="112"/>
        <v>Native</v>
      </c>
      <c r="K972" t="str">
        <f t="shared" si="113"/>
        <v>Yes</v>
      </c>
      <c r="L972">
        <v>1</v>
      </c>
      <c r="N972">
        <v>18</v>
      </c>
      <c r="O972">
        <v>11</v>
      </c>
      <c r="T972" t="str">
        <f t="shared" si="108"/>
        <v/>
      </c>
      <c r="U972" t="s">
        <v>184</v>
      </c>
    </row>
    <row r="973" spans="1:21" x14ac:dyDescent="0.55000000000000004">
      <c r="A973">
        <v>21</v>
      </c>
      <c r="B973" s="15" t="str">
        <f t="shared" si="114"/>
        <v>21_1</v>
      </c>
      <c r="C973" s="20">
        <v>45778.625</v>
      </c>
      <c r="D973" t="s">
        <v>175</v>
      </c>
      <c r="E973">
        <v>2</v>
      </c>
      <c r="F973" t="s">
        <v>115</v>
      </c>
      <c r="G973" t="str">
        <f t="shared" si="109"/>
        <v>Paranephrops planifrons</v>
      </c>
      <c r="H973" t="str">
        <f t="shared" si="110"/>
        <v>Freshwater_crayfish</v>
      </c>
      <c r="I973" t="str">
        <f t="shared" si="111"/>
        <v>Kōura</v>
      </c>
      <c r="J973" t="str">
        <f t="shared" si="112"/>
        <v>Native</v>
      </c>
      <c r="K973" t="str">
        <f t="shared" si="113"/>
        <v>Yes</v>
      </c>
      <c r="L973">
        <v>1</v>
      </c>
      <c r="M973" t="s">
        <v>176</v>
      </c>
      <c r="N973">
        <v>14</v>
      </c>
      <c r="O973">
        <v>3</v>
      </c>
      <c r="T973" t="str">
        <f t="shared" si="108"/>
        <v/>
      </c>
    </row>
    <row r="974" spans="1:21" x14ac:dyDescent="0.55000000000000004">
      <c r="A974">
        <v>21</v>
      </c>
      <c r="B974" s="15" t="str">
        <f t="shared" si="114"/>
        <v>21_1</v>
      </c>
      <c r="C974" s="20">
        <v>45778.625</v>
      </c>
      <c r="D974" t="s">
        <v>175</v>
      </c>
      <c r="E974">
        <v>2</v>
      </c>
      <c r="F974" t="s">
        <v>115</v>
      </c>
      <c r="G974" t="str">
        <f t="shared" si="109"/>
        <v>Paranephrops planifrons</v>
      </c>
      <c r="H974" t="str">
        <f t="shared" si="110"/>
        <v>Freshwater_crayfish</v>
      </c>
      <c r="I974" t="str">
        <f t="shared" si="111"/>
        <v>Kōura</v>
      </c>
      <c r="J974" t="str">
        <f t="shared" si="112"/>
        <v>Native</v>
      </c>
      <c r="K974" t="str">
        <f t="shared" si="113"/>
        <v>Yes</v>
      </c>
      <c r="L974">
        <v>1</v>
      </c>
      <c r="M974" t="s">
        <v>176</v>
      </c>
      <c r="N974">
        <v>15</v>
      </c>
      <c r="O974">
        <v>4</v>
      </c>
      <c r="T974" t="str">
        <f t="shared" si="108"/>
        <v/>
      </c>
    </row>
    <row r="975" spans="1:21" x14ac:dyDescent="0.55000000000000004">
      <c r="A975">
        <v>22</v>
      </c>
      <c r="B975" s="15" t="str">
        <f t="shared" si="114"/>
        <v>22_1</v>
      </c>
      <c r="C975" s="20">
        <v>45778.614583333336</v>
      </c>
      <c r="D975" t="s">
        <v>174</v>
      </c>
      <c r="E975">
        <v>2</v>
      </c>
      <c r="F975" t="s">
        <v>115</v>
      </c>
      <c r="G975" t="str">
        <f t="shared" si="109"/>
        <v>Paranephrops planifrons</v>
      </c>
      <c r="H975" t="str">
        <f t="shared" si="110"/>
        <v>Freshwater_crayfish</v>
      </c>
      <c r="I975" t="str">
        <f t="shared" si="111"/>
        <v>Kōura</v>
      </c>
      <c r="J975" t="str">
        <f t="shared" si="112"/>
        <v>Native</v>
      </c>
      <c r="K975" t="str">
        <f t="shared" si="113"/>
        <v>Yes</v>
      </c>
      <c r="L975">
        <v>1</v>
      </c>
      <c r="M975" t="s">
        <v>176</v>
      </c>
      <c r="N975">
        <v>37</v>
      </c>
      <c r="O975">
        <v>39</v>
      </c>
      <c r="T975" t="str">
        <f t="shared" si="108"/>
        <v/>
      </c>
    </row>
    <row r="976" spans="1:21" x14ac:dyDescent="0.55000000000000004">
      <c r="A976">
        <v>22</v>
      </c>
      <c r="B976" s="15" t="str">
        <f t="shared" si="114"/>
        <v>22_1</v>
      </c>
      <c r="C976" s="20">
        <v>45778.614583333336</v>
      </c>
      <c r="D976" t="s">
        <v>174</v>
      </c>
      <c r="E976">
        <v>2</v>
      </c>
      <c r="F976" t="s">
        <v>115</v>
      </c>
      <c r="G976" t="str">
        <f t="shared" si="109"/>
        <v>Paranephrops planifrons</v>
      </c>
      <c r="H976" t="str">
        <f t="shared" si="110"/>
        <v>Freshwater_crayfish</v>
      </c>
      <c r="I976" t="str">
        <f t="shared" si="111"/>
        <v>Kōura</v>
      </c>
      <c r="J976" t="str">
        <f t="shared" si="112"/>
        <v>Native</v>
      </c>
      <c r="K976" t="str">
        <f t="shared" si="113"/>
        <v>Yes</v>
      </c>
      <c r="L976">
        <v>1</v>
      </c>
      <c r="M976" t="s">
        <v>177</v>
      </c>
      <c r="N976">
        <v>35</v>
      </c>
      <c r="O976">
        <v>35</v>
      </c>
      <c r="T976" t="str">
        <f t="shared" si="108"/>
        <v/>
      </c>
    </row>
    <row r="977" spans="1:20" x14ac:dyDescent="0.55000000000000004">
      <c r="A977">
        <v>22</v>
      </c>
      <c r="B977" s="15" t="str">
        <f t="shared" si="114"/>
        <v>22_1</v>
      </c>
      <c r="C977" s="20">
        <v>45778.614583333336</v>
      </c>
      <c r="D977" t="s">
        <v>174</v>
      </c>
      <c r="E977">
        <v>2</v>
      </c>
      <c r="F977" t="s">
        <v>115</v>
      </c>
      <c r="G977" t="str">
        <f t="shared" si="109"/>
        <v>Paranephrops planifrons</v>
      </c>
      <c r="H977" t="str">
        <f t="shared" si="110"/>
        <v>Freshwater_crayfish</v>
      </c>
      <c r="I977" t="str">
        <f t="shared" si="111"/>
        <v>Kōura</v>
      </c>
      <c r="J977" t="str">
        <f t="shared" si="112"/>
        <v>Native</v>
      </c>
      <c r="K977" t="str">
        <f t="shared" si="113"/>
        <v>Yes</v>
      </c>
      <c r="L977">
        <v>1</v>
      </c>
      <c r="M977" t="s">
        <v>177</v>
      </c>
      <c r="N977">
        <v>35</v>
      </c>
      <c r="O977">
        <v>31</v>
      </c>
      <c r="P977">
        <v>1</v>
      </c>
      <c r="T977" t="str">
        <f t="shared" si="108"/>
        <v/>
      </c>
    </row>
    <row r="978" spans="1:20" x14ac:dyDescent="0.55000000000000004">
      <c r="A978">
        <v>22</v>
      </c>
      <c r="B978" s="15" t="str">
        <f t="shared" si="114"/>
        <v>22_1</v>
      </c>
      <c r="C978" s="20">
        <v>45778.614583333336</v>
      </c>
      <c r="D978" t="s">
        <v>174</v>
      </c>
      <c r="E978">
        <v>2</v>
      </c>
      <c r="F978" t="s">
        <v>115</v>
      </c>
      <c r="G978" t="str">
        <f t="shared" si="109"/>
        <v>Paranephrops planifrons</v>
      </c>
      <c r="H978" t="str">
        <f t="shared" si="110"/>
        <v>Freshwater_crayfish</v>
      </c>
      <c r="I978" t="str">
        <f t="shared" si="111"/>
        <v>Kōura</v>
      </c>
      <c r="J978" t="str">
        <f t="shared" si="112"/>
        <v>Native</v>
      </c>
      <c r="K978" t="str">
        <f t="shared" si="113"/>
        <v>Yes</v>
      </c>
      <c r="L978">
        <v>1</v>
      </c>
      <c r="M978" t="s">
        <v>176</v>
      </c>
      <c r="N978">
        <v>25</v>
      </c>
      <c r="O978">
        <v>12</v>
      </c>
      <c r="T978" t="str">
        <f t="shared" si="108"/>
        <v/>
      </c>
    </row>
    <row r="979" spans="1:20" x14ac:dyDescent="0.55000000000000004">
      <c r="A979">
        <v>22</v>
      </c>
      <c r="B979" s="15" t="str">
        <f t="shared" si="114"/>
        <v>22_1</v>
      </c>
      <c r="C979" s="20">
        <v>45778.614583333336</v>
      </c>
      <c r="D979" t="s">
        <v>174</v>
      </c>
      <c r="E979">
        <v>2</v>
      </c>
      <c r="F979" t="s">
        <v>115</v>
      </c>
      <c r="G979" t="str">
        <f t="shared" si="109"/>
        <v>Paranephrops planifrons</v>
      </c>
      <c r="H979" t="str">
        <f t="shared" si="110"/>
        <v>Freshwater_crayfish</v>
      </c>
      <c r="I979" t="str">
        <f t="shared" si="111"/>
        <v>Kōura</v>
      </c>
      <c r="J979" t="str">
        <f t="shared" si="112"/>
        <v>Native</v>
      </c>
      <c r="K979" t="str">
        <f t="shared" si="113"/>
        <v>Yes</v>
      </c>
      <c r="L979">
        <v>1</v>
      </c>
      <c r="M979" t="s">
        <v>177</v>
      </c>
      <c r="N979">
        <v>28</v>
      </c>
      <c r="O979">
        <v>9</v>
      </c>
      <c r="T979" t="str">
        <f t="shared" si="108"/>
        <v/>
      </c>
    </row>
    <row r="980" spans="1:20" x14ac:dyDescent="0.55000000000000004">
      <c r="A980">
        <v>22</v>
      </c>
      <c r="B980" s="15" t="str">
        <f t="shared" si="114"/>
        <v>22_1</v>
      </c>
      <c r="C980" s="20">
        <v>45778.614583333336</v>
      </c>
      <c r="D980" t="s">
        <v>174</v>
      </c>
      <c r="E980">
        <v>2</v>
      </c>
      <c r="F980" t="s">
        <v>115</v>
      </c>
      <c r="G980" t="str">
        <f t="shared" si="109"/>
        <v>Paranephrops planifrons</v>
      </c>
      <c r="H980" t="str">
        <f t="shared" si="110"/>
        <v>Freshwater_crayfish</v>
      </c>
      <c r="I980" t="str">
        <f t="shared" si="111"/>
        <v>Kōura</v>
      </c>
      <c r="J980" t="str">
        <f t="shared" si="112"/>
        <v>Native</v>
      </c>
      <c r="K980" t="str">
        <f t="shared" si="113"/>
        <v>Yes</v>
      </c>
      <c r="L980">
        <v>1</v>
      </c>
      <c r="M980" t="s">
        <v>177</v>
      </c>
      <c r="N980">
        <v>22</v>
      </c>
      <c r="O980">
        <v>10</v>
      </c>
      <c r="T980" t="str">
        <f t="shared" si="108"/>
        <v/>
      </c>
    </row>
    <row r="981" spans="1:20" x14ac:dyDescent="0.55000000000000004">
      <c r="A981">
        <v>22</v>
      </c>
      <c r="B981" s="15" t="str">
        <f t="shared" si="114"/>
        <v>22_1</v>
      </c>
      <c r="C981" s="20">
        <v>45778.614583333336</v>
      </c>
      <c r="D981" t="s">
        <v>174</v>
      </c>
      <c r="E981">
        <v>2</v>
      </c>
      <c r="F981" t="s">
        <v>115</v>
      </c>
      <c r="G981" t="str">
        <f t="shared" si="109"/>
        <v>Paranephrops planifrons</v>
      </c>
      <c r="H981" t="str">
        <f t="shared" si="110"/>
        <v>Freshwater_crayfish</v>
      </c>
      <c r="I981" t="str">
        <f t="shared" si="111"/>
        <v>Kōura</v>
      </c>
      <c r="J981" t="str">
        <f t="shared" si="112"/>
        <v>Native</v>
      </c>
      <c r="K981" t="str">
        <f t="shared" si="113"/>
        <v>Yes</v>
      </c>
      <c r="L981">
        <v>1</v>
      </c>
      <c r="M981" t="s">
        <v>176</v>
      </c>
      <c r="N981">
        <v>30</v>
      </c>
      <c r="O981">
        <v>18</v>
      </c>
      <c r="T981" t="str">
        <f t="shared" si="108"/>
        <v/>
      </c>
    </row>
    <row r="982" spans="1:20" x14ac:dyDescent="0.55000000000000004">
      <c r="A982">
        <v>22</v>
      </c>
      <c r="B982" s="15" t="str">
        <f t="shared" si="114"/>
        <v>22_1</v>
      </c>
      <c r="C982" s="20">
        <v>45778.614583333336</v>
      </c>
      <c r="D982" t="s">
        <v>174</v>
      </c>
      <c r="E982">
        <v>2</v>
      </c>
      <c r="F982" t="s">
        <v>115</v>
      </c>
      <c r="G982" t="str">
        <f t="shared" si="109"/>
        <v>Paranephrops planifrons</v>
      </c>
      <c r="H982" t="str">
        <f t="shared" si="110"/>
        <v>Freshwater_crayfish</v>
      </c>
      <c r="I982" t="str">
        <f t="shared" si="111"/>
        <v>Kōura</v>
      </c>
      <c r="J982" t="str">
        <f t="shared" si="112"/>
        <v>Native</v>
      </c>
      <c r="K982" t="str">
        <f t="shared" si="113"/>
        <v>Yes</v>
      </c>
      <c r="L982">
        <v>1</v>
      </c>
      <c r="M982" t="s">
        <v>177</v>
      </c>
      <c r="N982">
        <v>27</v>
      </c>
      <c r="O982">
        <v>13</v>
      </c>
      <c r="P982">
        <v>1</v>
      </c>
      <c r="T982" t="str">
        <f t="shared" si="108"/>
        <v/>
      </c>
    </row>
    <row r="983" spans="1:20" x14ac:dyDescent="0.55000000000000004">
      <c r="A983">
        <v>22</v>
      </c>
      <c r="B983" s="15" t="str">
        <f t="shared" si="114"/>
        <v>22_1</v>
      </c>
      <c r="C983" s="20">
        <v>45778.614583333336</v>
      </c>
      <c r="D983" t="s">
        <v>174</v>
      </c>
      <c r="E983">
        <v>2</v>
      </c>
      <c r="F983" t="s">
        <v>135</v>
      </c>
      <c r="G983" t="str">
        <f t="shared" si="109"/>
        <v>Gobiomorphus cotidianus</v>
      </c>
      <c r="H983" t="str">
        <f t="shared" si="110"/>
        <v>Common_bully</v>
      </c>
      <c r="I983" t="str">
        <f t="shared" si="111"/>
        <v>Toitoi</v>
      </c>
      <c r="J983" t="str">
        <f t="shared" si="112"/>
        <v>Native</v>
      </c>
      <c r="K983" t="str">
        <f t="shared" si="113"/>
        <v>No</v>
      </c>
      <c r="L983">
        <v>11</v>
      </c>
      <c r="T983" t="str">
        <f t="shared" si="108"/>
        <v/>
      </c>
    </row>
    <row r="984" spans="1:20" x14ac:dyDescent="0.55000000000000004">
      <c r="A984">
        <v>22</v>
      </c>
      <c r="B984" s="15" t="str">
        <f t="shared" si="114"/>
        <v>22_1</v>
      </c>
      <c r="C984" s="20">
        <v>45778.614583333336</v>
      </c>
      <c r="D984" t="s">
        <v>175</v>
      </c>
      <c r="E984">
        <v>2</v>
      </c>
      <c r="F984" t="s">
        <v>115</v>
      </c>
      <c r="G984" t="str">
        <f t="shared" si="109"/>
        <v>Paranephrops planifrons</v>
      </c>
      <c r="H984" t="str">
        <f t="shared" si="110"/>
        <v>Freshwater_crayfish</v>
      </c>
      <c r="I984" t="str">
        <f t="shared" si="111"/>
        <v>Kōura</v>
      </c>
      <c r="J984" t="str">
        <f t="shared" si="112"/>
        <v>Native</v>
      </c>
      <c r="K984" t="str">
        <f t="shared" si="113"/>
        <v>Yes</v>
      </c>
      <c r="L984">
        <v>1</v>
      </c>
      <c r="M984" t="s">
        <v>177</v>
      </c>
      <c r="N984">
        <v>37</v>
      </c>
      <c r="O984">
        <v>40</v>
      </c>
      <c r="T984" t="str">
        <f t="shared" si="108"/>
        <v/>
      </c>
    </row>
    <row r="985" spans="1:20" x14ac:dyDescent="0.55000000000000004">
      <c r="A985">
        <v>22</v>
      </c>
      <c r="B985" s="15" t="str">
        <f t="shared" si="114"/>
        <v>22_1</v>
      </c>
      <c r="C985" s="20">
        <v>45778.614583333336</v>
      </c>
      <c r="D985" t="s">
        <v>175</v>
      </c>
      <c r="E985">
        <v>2</v>
      </c>
      <c r="F985" t="s">
        <v>115</v>
      </c>
      <c r="G985" t="str">
        <f t="shared" si="109"/>
        <v>Paranephrops planifrons</v>
      </c>
      <c r="H985" t="str">
        <f t="shared" si="110"/>
        <v>Freshwater_crayfish</v>
      </c>
      <c r="I985" t="str">
        <f t="shared" si="111"/>
        <v>Kōura</v>
      </c>
      <c r="J985" t="str">
        <f t="shared" si="112"/>
        <v>Native</v>
      </c>
      <c r="K985" t="str">
        <f t="shared" si="113"/>
        <v>Yes</v>
      </c>
      <c r="L985">
        <v>1</v>
      </c>
      <c r="M985" t="s">
        <v>177</v>
      </c>
      <c r="N985">
        <v>39</v>
      </c>
      <c r="O985">
        <v>41</v>
      </c>
      <c r="T985" t="str">
        <f t="shared" si="108"/>
        <v/>
      </c>
    </row>
    <row r="986" spans="1:20" x14ac:dyDescent="0.55000000000000004">
      <c r="A986">
        <v>22</v>
      </c>
      <c r="B986" s="15" t="str">
        <f t="shared" si="114"/>
        <v>22_1</v>
      </c>
      <c r="C986" s="20">
        <v>45778.614583333336</v>
      </c>
      <c r="D986" t="s">
        <v>175</v>
      </c>
      <c r="E986">
        <v>2</v>
      </c>
      <c r="F986" t="s">
        <v>115</v>
      </c>
      <c r="G986" t="str">
        <f t="shared" si="109"/>
        <v>Paranephrops planifrons</v>
      </c>
      <c r="H986" t="str">
        <f t="shared" si="110"/>
        <v>Freshwater_crayfish</v>
      </c>
      <c r="I986" t="str">
        <f t="shared" si="111"/>
        <v>Kōura</v>
      </c>
      <c r="J986" t="str">
        <f t="shared" si="112"/>
        <v>Native</v>
      </c>
      <c r="K986" t="str">
        <f t="shared" si="113"/>
        <v>Yes</v>
      </c>
      <c r="L986">
        <v>1</v>
      </c>
      <c r="M986" t="s">
        <v>176</v>
      </c>
      <c r="N986">
        <v>25</v>
      </c>
      <c r="O986">
        <v>16</v>
      </c>
      <c r="T986" t="str">
        <f t="shared" si="108"/>
        <v/>
      </c>
    </row>
    <row r="987" spans="1:20" x14ac:dyDescent="0.55000000000000004">
      <c r="A987">
        <v>22</v>
      </c>
      <c r="B987" s="15" t="str">
        <f t="shared" si="114"/>
        <v>22_1</v>
      </c>
      <c r="C987" s="20">
        <v>45778.614583333336</v>
      </c>
      <c r="D987" t="s">
        <v>175</v>
      </c>
      <c r="E987">
        <v>2</v>
      </c>
      <c r="F987" t="s">
        <v>115</v>
      </c>
      <c r="G987" t="str">
        <f t="shared" si="109"/>
        <v>Paranephrops planifrons</v>
      </c>
      <c r="H987" t="str">
        <f t="shared" si="110"/>
        <v>Freshwater_crayfish</v>
      </c>
      <c r="I987" t="str">
        <f t="shared" si="111"/>
        <v>Kōura</v>
      </c>
      <c r="J987" t="str">
        <f t="shared" si="112"/>
        <v>Native</v>
      </c>
      <c r="K987" t="str">
        <f t="shared" si="113"/>
        <v>Yes</v>
      </c>
      <c r="L987">
        <v>1</v>
      </c>
      <c r="M987" t="s">
        <v>176</v>
      </c>
      <c r="N987">
        <v>29</v>
      </c>
      <c r="O987">
        <v>12</v>
      </c>
      <c r="T987" t="str">
        <f t="shared" si="108"/>
        <v/>
      </c>
    </row>
    <row r="988" spans="1:20" x14ac:dyDescent="0.55000000000000004">
      <c r="A988">
        <v>22</v>
      </c>
      <c r="B988" s="15" t="str">
        <f t="shared" si="114"/>
        <v>22_1</v>
      </c>
      <c r="C988" s="20">
        <v>45778.614583333336</v>
      </c>
      <c r="D988" t="s">
        <v>175</v>
      </c>
      <c r="E988">
        <v>2</v>
      </c>
      <c r="F988" t="s">
        <v>115</v>
      </c>
      <c r="G988" t="str">
        <f t="shared" si="109"/>
        <v>Paranephrops planifrons</v>
      </c>
      <c r="H988" t="str">
        <f t="shared" si="110"/>
        <v>Freshwater_crayfish</v>
      </c>
      <c r="I988" t="str">
        <f t="shared" si="111"/>
        <v>Kōura</v>
      </c>
      <c r="J988" t="str">
        <f t="shared" si="112"/>
        <v>Native</v>
      </c>
      <c r="K988" t="str">
        <f t="shared" si="113"/>
        <v>Yes</v>
      </c>
      <c r="L988">
        <v>1</v>
      </c>
      <c r="M988" t="s">
        <v>177</v>
      </c>
      <c r="N988">
        <v>35</v>
      </c>
      <c r="O988">
        <v>36</v>
      </c>
      <c r="T988" t="str">
        <f t="shared" si="108"/>
        <v/>
      </c>
    </row>
    <row r="989" spans="1:20" x14ac:dyDescent="0.55000000000000004">
      <c r="A989">
        <v>22</v>
      </c>
      <c r="B989" s="15" t="str">
        <f t="shared" si="114"/>
        <v>22_1</v>
      </c>
      <c r="C989" s="20">
        <v>45778.614583333336</v>
      </c>
      <c r="D989" t="s">
        <v>175</v>
      </c>
      <c r="E989">
        <v>2</v>
      </c>
      <c r="F989" t="s">
        <v>115</v>
      </c>
      <c r="G989" t="str">
        <f t="shared" si="109"/>
        <v>Paranephrops planifrons</v>
      </c>
      <c r="H989" t="str">
        <f t="shared" si="110"/>
        <v>Freshwater_crayfish</v>
      </c>
      <c r="I989" t="str">
        <f t="shared" si="111"/>
        <v>Kōura</v>
      </c>
      <c r="J989" t="str">
        <f t="shared" si="112"/>
        <v>Native</v>
      </c>
      <c r="K989" t="str">
        <f t="shared" si="113"/>
        <v>Yes</v>
      </c>
      <c r="L989">
        <v>1</v>
      </c>
      <c r="M989" t="s">
        <v>176</v>
      </c>
      <c r="N989">
        <v>22</v>
      </c>
      <c r="O989">
        <v>15</v>
      </c>
      <c r="T989" t="str">
        <f t="shared" si="108"/>
        <v/>
      </c>
    </row>
    <row r="990" spans="1:20" x14ac:dyDescent="0.55000000000000004">
      <c r="A990">
        <v>22</v>
      </c>
      <c r="B990" s="15" t="str">
        <f t="shared" si="114"/>
        <v>22_1</v>
      </c>
      <c r="C990" s="20">
        <v>45778.614583333336</v>
      </c>
      <c r="D990" t="s">
        <v>175</v>
      </c>
      <c r="E990">
        <v>2</v>
      </c>
      <c r="F990" t="s">
        <v>115</v>
      </c>
      <c r="G990" t="str">
        <f t="shared" si="109"/>
        <v>Paranephrops planifrons</v>
      </c>
      <c r="H990" t="str">
        <f t="shared" si="110"/>
        <v>Freshwater_crayfish</v>
      </c>
      <c r="I990" t="str">
        <f t="shared" si="111"/>
        <v>Kōura</v>
      </c>
      <c r="J990" t="str">
        <f t="shared" si="112"/>
        <v>Native</v>
      </c>
      <c r="K990" t="str">
        <f t="shared" si="113"/>
        <v>Yes</v>
      </c>
      <c r="L990">
        <v>1</v>
      </c>
      <c r="M990" t="s">
        <v>176</v>
      </c>
      <c r="N990">
        <v>30</v>
      </c>
      <c r="O990">
        <v>24</v>
      </c>
      <c r="T990" t="str">
        <f t="shared" si="108"/>
        <v/>
      </c>
    </row>
    <row r="991" spans="1:20" x14ac:dyDescent="0.55000000000000004">
      <c r="A991">
        <v>22</v>
      </c>
      <c r="B991" s="15" t="str">
        <f t="shared" si="114"/>
        <v>22_1</v>
      </c>
      <c r="C991" s="20">
        <v>45778.614583333336</v>
      </c>
      <c r="D991" t="s">
        <v>175</v>
      </c>
      <c r="E991">
        <v>2</v>
      </c>
      <c r="F991" t="s">
        <v>115</v>
      </c>
      <c r="G991" t="str">
        <f t="shared" si="109"/>
        <v>Paranephrops planifrons</v>
      </c>
      <c r="H991" t="str">
        <f t="shared" si="110"/>
        <v>Freshwater_crayfish</v>
      </c>
      <c r="I991" t="str">
        <f t="shared" si="111"/>
        <v>Kōura</v>
      </c>
      <c r="J991" t="str">
        <f t="shared" si="112"/>
        <v>Native</v>
      </c>
      <c r="K991" t="str">
        <f t="shared" si="113"/>
        <v>Yes</v>
      </c>
      <c r="L991">
        <v>1</v>
      </c>
      <c r="M991" t="s">
        <v>176</v>
      </c>
      <c r="N991">
        <v>25</v>
      </c>
      <c r="O991">
        <v>14</v>
      </c>
      <c r="T991" t="str">
        <f t="shared" si="108"/>
        <v/>
      </c>
    </row>
    <row r="992" spans="1:20" x14ac:dyDescent="0.55000000000000004">
      <c r="A992">
        <v>22</v>
      </c>
      <c r="B992" s="15" t="str">
        <f t="shared" si="114"/>
        <v>22_1</v>
      </c>
      <c r="C992" s="20">
        <v>45778.614583333336</v>
      </c>
      <c r="D992" t="s">
        <v>175</v>
      </c>
      <c r="E992">
        <v>2</v>
      </c>
      <c r="F992" t="s">
        <v>115</v>
      </c>
      <c r="G992" t="str">
        <f t="shared" si="109"/>
        <v>Paranephrops planifrons</v>
      </c>
      <c r="H992" t="str">
        <f t="shared" si="110"/>
        <v>Freshwater_crayfish</v>
      </c>
      <c r="I992" t="str">
        <f t="shared" si="111"/>
        <v>Kōura</v>
      </c>
      <c r="J992" t="str">
        <f t="shared" si="112"/>
        <v>Native</v>
      </c>
      <c r="K992" t="str">
        <f t="shared" si="113"/>
        <v>Yes</v>
      </c>
      <c r="L992">
        <v>1</v>
      </c>
      <c r="M992" t="s">
        <v>177</v>
      </c>
      <c r="N992">
        <v>20</v>
      </c>
      <c r="O992">
        <v>10</v>
      </c>
      <c r="T992" t="str">
        <f t="shared" si="108"/>
        <v/>
      </c>
    </row>
    <row r="993" spans="1:20" x14ac:dyDescent="0.55000000000000004">
      <c r="A993">
        <v>22</v>
      </c>
      <c r="B993" s="15" t="str">
        <f t="shared" si="114"/>
        <v>22_1</v>
      </c>
      <c r="C993" s="20">
        <v>45778.614583333336</v>
      </c>
      <c r="D993" t="s">
        <v>175</v>
      </c>
      <c r="E993">
        <v>2</v>
      </c>
      <c r="F993" t="s">
        <v>115</v>
      </c>
      <c r="G993" t="str">
        <f t="shared" si="109"/>
        <v>Paranephrops planifrons</v>
      </c>
      <c r="H993" t="str">
        <f t="shared" si="110"/>
        <v>Freshwater_crayfish</v>
      </c>
      <c r="I993" t="str">
        <f t="shared" si="111"/>
        <v>Kōura</v>
      </c>
      <c r="J993" t="str">
        <f t="shared" si="112"/>
        <v>Native</v>
      </c>
      <c r="K993" t="str">
        <f t="shared" si="113"/>
        <v>Yes</v>
      </c>
      <c r="L993">
        <v>1</v>
      </c>
      <c r="M993" t="s">
        <v>177</v>
      </c>
      <c r="N993">
        <v>25</v>
      </c>
      <c r="O993">
        <v>22</v>
      </c>
      <c r="T993" t="str">
        <f t="shared" si="108"/>
        <v/>
      </c>
    </row>
    <row r="994" spans="1:20" x14ac:dyDescent="0.55000000000000004">
      <c r="A994">
        <v>22</v>
      </c>
      <c r="B994" s="15" t="str">
        <f t="shared" si="114"/>
        <v>22_1</v>
      </c>
      <c r="C994" s="20">
        <v>45778.614583333336</v>
      </c>
      <c r="D994" t="s">
        <v>175</v>
      </c>
      <c r="E994">
        <v>2</v>
      </c>
      <c r="F994" t="s">
        <v>115</v>
      </c>
      <c r="G994" t="str">
        <f t="shared" si="109"/>
        <v>Paranephrops planifrons</v>
      </c>
      <c r="H994" t="str">
        <f t="shared" si="110"/>
        <v>Freshwater_crayfish</v>
      </c>
      <c r="I994" t="str">
        <f t="shared" si="111"/>
        <v>Kōura</v>
      </c>
      <c r="J994" t="str">
        <f t="shared" si="112"/>
        <v>Native</v>
      </c>
      <c r="K994" t="str">
        <f t="shared" si="113"/>
        <v>Yes</v>
      </c>
      <c r="L994">
        <v>1</v>
      </c>
      <c r="M994" t="s">
        <v>177</v>
      </c>
      <c r="N994">
        <v>18</v>
      </c>
      <c r="O994">
        <v>9</v>
      </c>
      <c r="P994">
        <v>1</v>
      </c>
      <c r="T994" t="str">
        <f t="shared" si="108"/>
        <v/>
      </c>
    </row>
    <row r="995" spans="1:20" x14ac:dyDescent="0.55000000000000004">
      <c r="A995">
        <v>22</v>
      </c>
      <c r="B995" s="15" t="str">
        <f t="shared" si="114"/>
        <v>22_1</v>
      </c>
      <c r="C995" s="20">
        <v>45778.614583333336</v>
      </c>
      <c r="D995" t="s">
        <v>175</v>
      </c>
      <c r="E995">
        <v>2</v>
      </c>
      <c r="F995" t="s">
        <v>115</v>
      </c>
      <c r="G995" t="str">
        <f t="shared" si="109"/>
        <v>Paranephrops planifrons</v>
      </c>
      <c r="H995" t="str">
        <f t="shared" si="110"/>
        <v>Freshwater_crayfish</v>
      </c>
      <c r="I995" t="str">
        <f t="shared" si="111"/>
        <v>Kōura</v>
      </c>
      <c r="J995" t="str">
        <f t="shared" si="112"/>
        <v>Native</v>
      </c>
      <c r="K995" t="str">
        <f t="shared" si="113"/>
        <v>Yes</v>
      </c>
      <c r="L995">
        <v>1</v>
      </c>
      <c r="M995" t="s">
        <v>177</v>
      </c>
      <c r="N995">
        <v>23</v>
      </c>
      <c r="O995">
        <v>17</v>
      </c>
      <c r="P995">
        <v>1</v>
      </c>
      <c r="T995" t="str">
        <f t="shared" si="108"/>
        <v/>
      </c>
    </row>
    <row r="996" spans="1:20" x14ac:dyDescent="0.55000000000000004">
      <c r="A996">
        <v>22</v>
      </c>
      <c r="B996" s="15" t="str">
        <f t="shared" si="114"/>
        <v>22_1</v>
      </c>
      <c r="C996" s="20">
        <v>45778.614583333336</v>
      </c>
      <c r="D996" t="s">
        <v>175</v>
      </c>
      <c r="E996">
        <v>2</v>
      </c>
      <c r="F996" t="s">
        <v>115</v>
      </c>
      <c r="G996" t="str">
        <f t="shared" si="109"/>
        <v>Paranephrops planifrons</v>
      </c>
      <c r="H996" t="str">
        <f t="shared" si="110"/>
        <v>Freshwater_crayfish</v>
      </c>
      <c r="I996" t="str">
        <f t="shared" si="111"/>
        <v>Kōura</v>
      </c>
      <c r="J996" t="str">
        <f t="shared" si="112"/>
        <v>Native</v>
      </c>
      <c r="K996" t="str">
        <f t="shared" si="113"/>
        <v>Yes</v>
      </c>
      <c r="L996">
        <v>1</v>
      </c>
      <c r="M996" t="s">
        <v>177</v>
      </c>
      <c r="N996">
        <v>24</v>
      </c>
      <c r="O996">
        <v>17</v>
      </c>
      <c r="T996" t="str">
        <f t="shared" si="108"/>
        <v/>
      </c>
    </row>
    <row r="997" spans="1:20" x14ac:dyDescent="0.55000000000000004">
      <c r="A997">
        <v>22</v>
      </c>
      <c r="B997" s="15" t="str">
        <f t="shared" si="114"/>
        <v>22_1</v>
      </c>
      <c r="C997" s="20">
        <v>45778.614583333336</v>
      </c>
      <c r="D997" t="s">
        <v>175</v>
      </c>
      <c r="E997">
        <v>2</v>
      </c>
      <c r="F997" t="s">
        <v>115</v>
      </c>
      <c r="G997" t="str">
        <f>VLOOKUP($F997, $W$1:$AB$10, 2, FALSE)</f>
        <v>Paranephrops planifrons</v>
      </c>
      <c r="H997" t="str">
        <f t="shared" si="110"/>
        <v>Freshwater_crayfish</v>
      </c>
      <c r="I997" t="str">
        <f t="shared" si="111"/>
        <v>Kōura</v>
      </c>
      <c r="J997" t="str">
        <f t="shared" si="112"/>
        <v>Native</v>
      </c>
      <c r="K997" t="str">
        <f t="shared" si="113"/>
        <v>Yes</v>
      </c>
      <c r="L997">
        <v>1</v>
      </c>
      <c r="M997" t="s">
        <v>176</v>
      </c>
      <c r="N997">
        <v>27</v>
      </c>
      <c r="O997">
        <v>14</v>
      </c>
      <c r="T997" t="str">
        <f t="shared" si="108"/>
        <v/>
      </c>
    </row>
    <row r="998" spans="1:20" x14ac:dyDescent="0.55000000000000004">
      <c r="A998">
        <v>22</v>
      </c>
      <c r="B998" s="15" t="str">
        <f t="shared" si="114"/>
        <v>22_1</v>
      </c>
      <c r="C998" s="20">
        <v>45778.614583333336</v>
      </c>
      <c r="D998" t="s">
        <v>175</v>
      </c>
      <c r="E998">
        <v>2</v>
      </c>
      <c r="F998" t="s">
        <v>115</v>
      </c>
      <c r="G998" t="str">
        <f t="shared" ref="G998:G1061" si="115">VLOOKUP($F998, $W$1:$AB$10, 2, FALSE)</f>
        <v>Paranephrops planifrons</v>
      </c>
      <c r="H998" t="str">
        <f t="shared" si="110"/>
        <v>Freshwater_crayfish</v>
      </c>
      <c r="I998" t="str">
        <f t="shared" si="111"/>
        <v>Kōura</v>
      </c>
      <c r="J998" t="str">
        <f t="shared" si="112"/>
        <v>Native</v>
      </c>
      <c r="K998" t="str">
        <f t="shared" si="113"/>
        <v>Yes</v>
      </c>
      <c r="L998">
        <v>1</v>
      </c>
      <c r="M998" t="s">
        <v>176</v>
      </c>
      <c r="N998">
        <v>30</v>
      </c>
      <c r="O998">
        <v>13</v>
      </c>
      <c r="T998" t="str">
        <f t="shared" si="108"/>
        <v/>
      </c>
    </row>
    <row r="999" spans="1:20" x14ac:dyDescent="0.55000000000000004">
      <c r="A999">
        <v>22</v>
      </c>
      <c r="B999" s="15" t="str">
        <f t="shared" si="114"/>
        <v>22_1</v>
      </c>
      <c r="C999" s="20">
        <v>45778.614583333336</v>
      </c>
      <c r="D999" t="s">
        <v>175</v>
      </c>
      <c r="E999">
        <v>2</v>
      </c>
      <c r="F999" t="s">
        <v>115</v>
      </c>
      <c r="G999" t="str">
        <f t="shared" si="115"/>
        <v>Paranephrops planifrons</v>
      </c>
      <c r="H999" t="str">
        <f t="shared" si="110"/>
        <v>Freshwater_crayfish</v>
      </c>
      <c r="I999" t="str">
        <f t="shared" si="111"/>
        <v>Kōura</v>
      </c>
      <c r="J999" t="str">
        <f t="shared" si="112"/>
        <v>Native</v>
      </c>
      <c r="K999" t="str">
        <f t="shared" si="113"/>
        <v>Yes</v>
      </c>
      <c r="L999">
        <v>1</v>
      </c>
      <c r="M999" t="s">
        <v>176</v>
      </c>
      <c r="N999">
        <v>20</v>
      </c>
      <c r="O999">
        <v>6</v>
      </c>
      <c r="T999" t="str">
        <f t="shared" si="108"/>
        <v/>
      </c>
    </row>
    <row r="1000" spans="1:20" x14ac:dyDescent="0.55000000000000004">
      <c r="A1000">
        <v>22</v>
      </c>
      <c r="B1000" s="15" t="str">
        <f t="shared" si="114"/>
        <v>22_1</v>
      </c>
      <c r="C1000" s="20">
        <v>45778.614583333336</v>
      </c>
      <c r="D1000" t="s">
        <v>175</v>
      </c>
      <c r="E1000">
        <v>2</v>
      </c>
      <c r="F1000" t="s">
        <v>115</v>
      </c>
      <c r="G1000" t="str">
        <f t="shared" si="115"/>
        <v>Paranephrops planifrons</v>
      </c>
      <c r="H1000" t="str">
        <f t="shared" si="110"/>
        <v>Freshwater_crayfish</v>
      </c>
      <c r="I1000" t="str">
        <f t="shared" si="111"/>
        <v>Kōura</v>
      </c>
      <c r="J1000" t="str">
        <f t="shared" si="112"/>
        <v>Native</v>
      </c>
      <c r="K1000" t="str">
        <f t="shared" si="113"/>
        <v>Yes</v>
      </c>
      <c r="L1000">
        <v>1</v>
      </c>
      <c r="M1000" t="s">
        <v>177</v>
      </c>
      <c r="N1000">
        <v>30</v>
      </c>
      <c r="O1000">
        <v>16</v>
      </c>
      <c r="T1000" t="str">
        <f t="shared" si="108"/>
        <v/>
      </c>
    </row>
    <row r="1001" spans="1:20" x14ac:dyDescent="0.55000000000000004">
      <c r="A1001">
        <v>22</v>
      </c>
      <c r="B1001" s="15" t="str">
        <f t="shared" si="114"/>
        <v>22_1</v>
      </c>
      <c r="C1001" s="20">
        <v>45778.614583333336</v>
      </c>
      <c r="D1001" t="s">
        <v>175</v>
      </c>
      <c r="E1001">
        <v>2</v>
      </c>
      <c r="F1001" t="s">
        <v>115</v>
      </c>
      <c r="G1001" t="str">
        <f t="shared" si="115"/>
        <v>Paranephrops planifrons</v>
      </c>
      <c r="H1001" t="str">
        <f t="shared" si="110"/>
        <v>Freshwater_crayfish</v>
      </c>
      <c r="I1001" t="str">
        <f t="shared" si="111"/>
        <v>Kōura</v>
      </c>
      <c r="J1001" t="str">
        <f t="shared" si="112"/>
        <v>Native</v>
      </c>
      <c r="K1001" t="str">
        <f t="shared" si="113"/>
        <v>Yes</v>
      </c>
      <c r="L1001">
        <v>1</v>
      </c>
      <c r="M1001" t="s">
        <v>177</v>
      </c>
      <c r="N1001">
        <v>18</v>
      </c>
      <c r="O1001">
        <v>4</v>
      </c>
      <c r="T1001" t="str">
        <f t="shared" si="108"/>
        <v/>
      </c>
    </row>
    <row r="1002" spans="1:20" x14ac:dyDescent="0.55000000000000004">
      <c r="A1002">
        <v>22</v>
      </c>
      <c r="B1002" s="15" t="str">
        <f t="shared" si="114"/>
        <v>22_1</v>
      </c>
      <c r="C1002" s="20">
        <v>45778.614583333336</v>
      </c>
      <c r="D1002" t="s">
        <v>175</v>
      </c>
      <c r="E1002">
        <v>2</v>
      </c>
      <c r="F1002" t="s">
        <v>127</v>
      </c>
      <c r="G1002" t="str">
        <f t="shared" si="115"/>
        <v>Galaxias brevipinnis</v>
      </c>
      <c r="H1002" t="str">
        <f t="shared" si="110"/>
        <v>Climbing_galaxias</v>
      </c>
      <c r="I1002" t="str">
        <f t="shared" si="111"/>
        <v>Kōaro</v>
      </c>
      <c r="J1002" t="str">
        <f t="shared" si="112"/>
        <v>Native</v>
      </c>
      <c r="K1002" t="str">
        <f t="shared" si="113"/>
        <v>Yes</v>
      </c>
      <c r="L1002">
        <v>205</v>
      </c>
      <c r="T1002" t="str">
        <f t="shared" si="108"/>
        <v/>
      </c>
    </row>
    <row r="1003" spans="1:20" x14ac:dyDescent="0.55000000000000004">
      <c r="A1003">
        <v>22</v>
      </c>
      <c r="B1003" s="15" t="str">
        <f t="shared" si="114"/>
        <v>22_1</v>
      </c>
      <c r="C1003" s="20">
        <v>45778.614583333336</v>
      </c>
      <c r="D1003" t="s">
        <v>175</v>
      </c>
      <c r="E1003">
        <v>2</v>
      </c>
      <c r="F1003" t="s">
        <v>133</v>
      </c>
      <c r="G1003" t="str">
        <f t="shared" si="115"/>
        <v>Retropinna retropinna</v>
      </c>
      <c r="H1003" t="str">
        <f t="shared" si="110"/>
        <v>Common_smelt</v>
      </c>
      <c r="I1003" t="str">
        <f t="shared" si="111"/>
        <v>Common_smelt</v>
      </c>
      <c r="J1003" t="str">
        <f t="shared" si="112"/>
        <v>Native</v>
      </c>
      <c r="K1003" t="str">
        <f t="shared" si="113"/>
        <v>No</v>
      </c>
      <c r="O1003">
        <v>452</v>
      </c>
      <c r="S1003">
        <v>2.5</v>
      </c>
      <c r="T1003">
        <f t="shared" si="108"/>
        <v>591.47</v>
      </c>
    </row>
    <row r="1004" spans="1:20" x14ac:dyDescent="0.55000000000000004">
      <c r="A1004">
        <v>22</v>
      </c>
      <c r="B1004" s="15" t="str">
        <f t="shared" si="114"/>
        <v>22_1</v>
      </c>
      <c r="C1004" s="20">
        <v>45778.614583333336</v>
      </c>
      <c r="D1004" t="s">
        <v>175</v>
      </c>
      <c r="E1004">
        <v>2</v>
      </c>
      <c r="F1004" t="s">
        <v>127</v>
      </c>
      <c r="G1004" t="str">
        <f t="shared" si="115"/>
        <v>Galaxias brevipinnis</v>
      </c>
      <c r="H1004" t="str">
        <f t="shared" si="110"/>
        <v>Climbing_galaxias</v>
      </c>
      <c r="I1004" t="str">
        <f t="shared" si="111"/>
        <v>Kōaro</v>
      </c>
      <c r="J1004" t="str">
        <f t="shared" si="112"/>
        <v>Native</v>
      </c>
      <c r="K1004" t="str">
        <f t="shared" si="113"/>
        <v>Yes</v>
      </c>
      <c r="L1004">
        <v>3</v>
      </c>
      <c r="T1004" t="str">
        <f t="shared" si="108"/>
        <v/>
      </c>
    </row>
    <row r="1005" spans="1:20" x14ac:dyDescent="0.55000000000000004">
      <c r="A1005">
        <v>22</v>
      </c>
      <c r="B1005" s="15" t="str">
        <f t="shared" si="114"/>
        <v>22_1</v>
      </c>
      <c r="C1005" s="20">
        <v>45778.614583333336</v>
      </c>
      <c r="D1005" t="s">
        <v>175</v>
      </c>
      <c r="E1005">
        <v>2</v>
      </c>
      <c r="F1005" t="s">
        <v>135</v>
      </c>
      <c r="G1005" t="str">
        <f t="shared" si="115"/>
        <v>Gobiomorphus cotidianus</v>
      </c>
      <c r="H1005" t="str">
        <f t="shared" si="110"/>
        <v>Common_bully</v>
      </c>
      <c r="I1005" t="str">
        <f t="shared" si="111"/>
        <v>Toitoi</v>
      </c>
      <c r="J1005" t="str">
        <f t="shared" si="112"/>
        <v>Native</v>
      </c>
      <c r="K1005" t="str">
        <f t="shared" si="113"/>
        <v>No</v>
      </c>
      <c r="O1005">
        <v>575</v>
      </c>
      <c r="S1005">
        <v>2.5</v>
      </c>
      <c r="T1005">
        <f t="shared" si="108"/>
        <v>591.47</v>
      </c>
    </row>
    <row r="1006" spans="1:20" x14ac:dyDescent="0.55000000000000004">
      <c r="A1006">
        <v>22</v>
      </c>
      <c r="B1006" s="15" t="str">
        <f t="shared" si="114"/>
        <v>22_1</v>
      </c>
      <c r="C1006" s="20">
        <v>45778.614583333336</v>
      </c>
      <c r="D1006" t="s">
        <v>175</v>
      </c>
      <c r="E1006">
        <v>2</v>
      </c>
      <c r="F1006" t="s">
        <v>127</v>
      </c>
      <c r="G1006" t="str">
        <f t="shared" si="115"/>
        <v>Galaxias brevipinnis</v>
      </c>
      <c r="H1006" t="str">
        <f t="shared" si="110"/>
        <v>Climbing_galaxias</v>
      </c>
      <c r="I1006" t="str">
        <f t="shared" si="111"/>
        <v>Kōaro</v>
      </c>
      <c r="J1006" t="str">
        <f t="shared" si="112"/>
        <v>Native</v>
      </c>
      <c r="K1006" t="str">
        <f t="shared" si="113"/>
        <v>Yes</v>
      </c>
      <c r="L1006">
        <v>2</v>
      </c>
      <c r="T1006" t="str">
        <f t="shared" si="108"/>
        <v/>
      </c>
    </row>
    <row r="1007" spans="1:20" x14ac:dyDescent="0.55000000000000004">
      <c r="A1007">
        <v>22</v>
      </c>
      <c r="B1007" s="15" t="str">
        <f t="shared" si="114"/>
        <v>22_1</v>
      </c>
      <c r="C1007" s="20">
        <v>45778.614583333336</v>
      </c>
      <c r="D1007" t="s">
        <v>175</v>
      </c>
      <c r="E1007">
        <v>2</v>
      </c>
      <c r="F1007" t="s">
        <v>135</v>
      </c>
      <c r="G1007" t="str">
        <f t="shared" si="115"/>
        <v>Gobiomorphus cotidianus</v>
      </c>
      <c r="H1007" t="str">
        <f t="shared" si="110"/>
        <v>Common_bully</v>
      </c>
      <c r="I1007" t="str">
        <f t="shared" si="111"/>
        <v>Toitoi</v>
      </c>
      <c r="J1007" t="str">
        <f t="shared" si="112"/>
        <v>Native</v>
      </c>
      <c r="K1007" t="str">
        <f t="shared" si="113"/>
        <v>No</v>
      </c>
      <c r="O1007">
        <v>621</v>
      </c>
      <c r="S1007">
        <v>2.5</v>
      </c>
      <c r="T1007">
        <f t="shared" si="108"/>
        <v>591.47</v>
      </c>
    </row>
    <row r="1008" spans="1:20" x14ac:dyDescent="0.55000000000000004">
      <c r="A1008">
        <v>22</v>
      </c>
      <c r="B1008" s="15" t="str">
        <f t="shared" si="114"/>
        <v>22_1</v>
      </c>
      <c r="C1008" s="20">
        <v>45778.614583333336</v>
      </c>
      <c r="D1008" t="s">
        <v>175</v>
      </c>
      <c r="E1008">
        <v>2</v>
      </c>
      <c r="F1008" t="s">
        <v>135</v>
      </c>
      <c r="G1008" t="str">
        <f t="shared" si="115"/>
        <v>Gobiomorphus cotidianus</v>
      </c>
      <c r="H1008" t="str">
        <f t="shared" si="110"/>
        <v>Common_bully</v>
      </c>
      <c r="I1008" t="str">
        <f t="shared" si="111"/>
        <v>Toitoi</v>
      </c>
      <c r="J1008" t="str">
        <f t="shared" si="112"/>
        <v>Native</v>
      </c>
      <c r="K1008" t="str">
        <f t="shared" si="113"/>
        <v>No</v>
      </c>
      <c r="O1008">
        <v>478</v>
      </c>
      <c r="S1008">
        <v>2</v>
      </c>
      <c r="T1008">
        <f t="shared" si="108"/>
        <v>473.17599999999999</v>
      </c>
    </row>
    <row r="1009" spans="1:20" x14ac:dyDescent="0.55000000000000004">
      <c r="A1009">
        <v>22</v>
      </c>
      <c r="B1009" s="15" t="str">
        <f t="shared" si="114"/>
        <v>22_1</v>
      </c>
      <c r="C1009" s="20">
        <v>45778.614583333336</v>
      </c>
      <c r="D1009" t="s">
        <v>175</v>
      </c>
      <c r="E1009">
        <v>2</v>
      </c>
      <c r="F1009" t="s">
        <v>127</v>
      </c>
      <c r="G1009" t="str">
        <f t="shared" si="115"/>
        <v>Galaxias brevipinnis</v>
      </c>
      <c r="H1009" t="str">
        <f t="shared" si="110"/>
        <v>Climbing_galaxias</v>
      </c>
      <c r="I1009" t="str">
        <f t="shared" si="111"/>
        <v>Kōaro</v>
      </c>
      <c r="J1009" t="str">
        <f t="shared" si="112"/>
        <v>Native</v>
      </c>
      <c r="K1009" t="str">
        <f t="shared" si="113"/>
        <v>Yes</v>
      </c>
      <c r="L1009">
        <v>1</v>
      </c>
      <c r="T1009" t="str">
        <f t="shared" si="108"/>
        <v/>
      </c>
    </row>
    <row r="1010" spans="1:20" x14ac:dyDescent="0.55000000000000004">
      <c r="A1010">
        <v>22</v>
      </c>
      <c r="B1010" s="15" t="str">
        <f t="shared" si="114"/>
        <v>22_1</v>
      </c>
      <c r="C1010" s="20">
        <v>45778.614583333336</v>
      </c>
      <c r="D1010" t="s">
        <v>175</v>
      </c>
      <c r="E1010">
        <v>2</v>
      </c>
      <c r="F1010" t="s">
        <v>135</v>
      </c>
      <c r="G1010" t="str">
        <f t="shared" si="115"/>
        <v>Gobiomorphus cotidianus</v>
      </c>
      <c r="H1010" t="str">
        <f t="shared" si="110"/>
        <v>Common_bully</v>
      </c>
      <c r="I1010" t="str">
        <f t="shared" si="111"/>
        <v>Toitoi</v>
      </c>
      <c r="J1010" t="str">
        <f t="shared" si="112"/>
        <v>Native</v>
      </c>
      <c r="K1010" t="str">
        <f t="shared" si="113"/>
        <v>No</v>
      </c>
      <c r="O1010">
        <v>285</v>
      </c>
      <c r="S1010">
        <v>0.25</v>
      </c>
      <c r="T1010">
        <f t="shared" si="108"/>
        <v>59.146999999999998</v>
      </c>
    </row>
    <row r="1011" spans="1:20" x14ac:dyDescent="0.55000000000000004">
      <c r="A1011">
        <v>22</v>
      </c>
      <c r="B1011" s="15" t="str">
        <f t="shared" si="114"/>
        <v>22_1</v>
      </c>
      <c r="C1011" s="20">
        <v>45778.614583333336</v>
      </c>
      <c r="D1011" t="s">
        <v>175</v>
      </c>
      <c r="E1011">
        <v>2</v>
      </c>
      <c r="F1011" t="s">
        <v>115</v>
      </c>
      <c r="G1011" t="str">
        <f t="shared" si="115"/>
        <v>Paranephrops planifrons</v>
      </c>
      <c r="H1011" t="str">
        <f t="shared" si="110"/>
        <v>Freshwater_crayfish</v>
      </c>
      <c r="I1011" t="str">
        <f t="shared" si="111"/>
        <v>Kōura</v>
      </c>
      <c r="J1011" t="str">
        <f t="shared" si="112"/>
        <v>Native</v>
      </c>
      <c r="K1011" t="str">
        <f t="shared" si="113"/>
        <v>Yes</v>
      </c>
      <c r="L1011">
        <v>1</v>
      </c>
      <c r="M1011" t="s">
        <v>177</v>
      </c>
      <c r="N1011">
        <v>34</v>
      </c>
      <c r="O1011">
        <v>40</v>
      </c>
      <c r="T1011" t="str">
        <f t="shared" si="108"/>
        <v/>
      </c>
    </row>
    <row r="1012" spans="1:20" x14ac:dyDescent="0.55000000000000004">
      <c r="A1012">
        <v>22</v>
      </c>
      <c r="B1012" s="15" t="str">
        <f t="shared" si="114"/>
        <v>22_1</v>
      </c>
      <c r="C1012" s="20">
        <v>45778.614583333336</v>
      </c>
      <c r="D1012" t="s">
        <v>175</v>
      </c>
      <c r="E1012">
        <v>2</v>
      </c>
      <c r="F1012" t="s">
        <v>115</v>
      </c>
      <c r="G1012" t="str">
        <f t="shared" si="115"/>
        <v>Paranephrops planifrons</v>
      </c>
      <c r="H1012" t="str">
        <f t="shared" si="110"/>
        <v>Freshwater_crayfish</v>
      </c>
      <c r="I1012" t="str">
        <f t="shared" si="111"/>
        <v>Kōura</v>
      </c>
      <c r="J1012" t="str">
        <f t="shared" si="112"/>
        <v>Native</v>
      </c>
      <c r="K1012" t="str">
        <f t="shared" si="113"/>
        <v>Yes</v>
      </c>
      <c r="L1012">
        <v>1</v>
      </c>
      <c r="M1012" t="s">
        <v>176</v>
      </c>
      <c r="N1012">
        <v>34</v>
      </c>
      <c r="O1012">
        <v>29</v>
      </c>
      <c r="P1012">
        <v>1</v>
      </c>
      <c r="T1012" t="str">
        <f t="shared" ref="T1012:T1075" si="116">IF(S1012&lt;&gt;"", S1012*236.588, "")</f>
        <v/>
      </c>
    </row>
    <row r="1013" spans="1:20" x14ac:dyDescent="0.55000000000000004">
      <c r="A1013">
        <v>22</v>
      </c>
      <c r="B1013" s="15" t="str">
        <f t="shared" si="114"/>
        <v>22_1</v>
      </c>
      <c r="C1013" s="20">
        <v>45778.614583333336</v>
      </c>
      <c r="D1013" t="s">
        <v>175</v>
      </c>
      <c r="E1013">
        <v>2</v>
      </c>
      <c r="F1013" t="s">
        <v>115</v>
      </c>
      <c r="G1013" t="str">
        <f t="shared" si="115"/>
        <v>Paranephrops planifrons</v>
      </c>
      <c r="H1013" t="str">
        <f t="shared" si="110"/>
        <v>Freshwater_crayfish</v>
      </c>
      <c r="I1013" t="str">
        <f t="shared" si="111"/>
        <v>Kōura</v>
      </c>
      <c r="J1013" t="str">
        <f t="shared" si="112"/>
        <v>Native</v>
      </c>
      <c r="K1013" t="str">
        <f t="shared" si="113"/>
        <v>Yes</v>
      </c>
      <c r="L1013">
        <v>1</v>
      </c>
      <c r="M1013" t="s">
        <v>177</v>
      </c>
      <c r="N1013">
        <v>29</v>
      </c>
      <c r="O1013">
        <v>27</v>
      </c>
      <c r="T1013" t="str">
        <f t="shared" si="116"/>
        <v/>
      </c>
    </row>
    <row r="1014" spans="1:20" x14ac:dyDescent="0.55000000000000004">
      <c r="A1014">
        <v>22</v>
      </c>
      <c r="B1014" s="15" t="str">
        <f t="shared" si="114"/>
        <v>22_1</v>
      </c>
      <c r="C1014" s="20">
        <v>45778.614583333336</v>
      </c>
      <c r="D1014" t="s">
        <v>175</v>
      </c>
      <c r="E1014">
        <v>2</v>
      </c>
      <c r="F1014" t="s">
        <v>115</v>
      </c>
      <c r="G1014" t="str">
        <f t="shared" si="115"/>
        <v>Paranephrops planifrons</v>
      </c>
      <c r="H1014" t="str">
        <f t="shared" si="110"/>
        <v>Freshwater_crayfish</v>
      </c>
      <c r="I1014" t="str">
        <f t="shared" si="111"/>
        <v>Kōura</v>
      </c>
      <c r="J1014" t="str">
        <f t="shared" si="112"/>
        <v>Native</v>
      </c>
      <c r="K1014" t="str">
        <f t="shared" si="113"/>
        <v>Yes</v>
      </c>
      <c r="L1014">
        <v>1</v>
      </c>
      <c r="M1014" t="s">
        <v>177</v>
      </c>
      <c r="N1014">
        <v>25</v>
      </c>
      <c r="O1014">
        <v>16</v>
      </c>
      <c r="P1014">
        <v>1</v>
      </c>
      <c r="T1014" t="str">
        <f t="shared" si="116"/>
        <v/>
      </c>
    </row>
    <row r="1015" spans="1:20" x14ac:dyDescent="0.55000000000000004">
      <c r="A1015">
        <v>22</v>
      </c>
      <c r="B1015" s="15" t="str">
        <f t="shared" si="114"/>
        <v>22_1</v>
      </c>
      <c r="C1015" s="20">
        <v>45778.614583333336</v>
      </c>
      <c r="D1015" t="s">
        <v>175</v>
      </c>
      <c r="E1015">
        <v>2</v>
      </c>
      <c r="F1015" t="s">
        <v>115</v>
      </c>
      <c r="G1015" t="str">
        <f t="shared" si="115"/>
        <v>Paranephrops planifrons</v>
      </c>
      <c r="H1015" t="str">
        <f t="shared" si="110"/>
        <v>Freshwater_crayfish</v>
      </c>
      <c r="I1015" t="str">
        <f t="shared" si="111"/>
        <v>Kōura</v>
      </c>
      <c r="J1015" t="str">
        <f t="shared" si="112"/>
        <v>Native</v>
      </c>
      <c r="K1015" t="str">
        <f t="shared" si="113"/>
        <v>Yes</v>
      </c>
      <c r="L1015">
        <v>1</v>
      </c>
      <c r="M1015" t="s">
        <v>177</v>
      </c>
      <c r="N1015">
        <v>30</v>
      </c>
      <c r="O1015">
        <v>18</v>
      </c>
      <c r="T1015" t="str">
        <f t="shared" si="116"/>
        <v/>
      </c>
    </row>
    <row r="1016" spans="1:20" x14ac:dyDescent="0.55000000000000004">
      <c r="A1016">
        <v>22</v>
      </c>
      <c r="B1016" s="15" t="str">
        <f t="shared" si="114"/>
        <v>22_1</v>
      </c>
      <c r="C1016" s="20">
        <v>45778.614583333336</v>
      </c>
      <c r="D1016" t="s">
        <v>175</v>
      </c>
      <c r="E1016">
        <v>2</v>
      </c>
      <c r="F1016" t="s">
        <v>115</v>
      </c>
      <c r="G1016" t="str">
        <f t="shared" si="115"/>
        <v>Paranephrops planifrons</v>
      </c>
      <c r="H1016" t="str">
        <f t="shared" si="110"/>
        <v>Freshwater_crayfish</v>
      </c>
      <c r="I1016" t="str">
        <f t="shared" si="111"/>
        <v>Kōura</v>
      </c>
      <c r="J1016" t="str">
        <f t="shared" si="112"/>
        <v>Native</v>
      </c>
      <c r="K1016" t="str">
        <f t="shared" si="113"/>
        <v>Yes</v>
      </c>
      <c r="L1016">
        <v>1</v>
      </c>
      <c r="M1016" t="s">
        <v>177</v>
      </c>
      <c r="N1016">
        <v>27</v>
      </c>
      <c r="O1016">
        <v>15</v>
      </c>
      <c r="T1016" t="str">
        <f t="shared" si="116"/>
        <v/>
      </c>
    </row>
    <row r="1017" spans="1:20" x14ac:dyDescent="0.55000000000000004">
      <c r="A1017">
        <v>22</v>
      </c>
      <c r="B1017" s="15" t="str">
        <f t="shared" si="114"/>
        <v>22_1</v>
      </c>
      <c r="C1017" s="20">
        <v>45778.614583333336</v>
      </c>
      <c r="D1017" t="s">
        <v>175</v>
      </c>
      <c r="E1017">
        <v>2</v>
      </c>
      <c r="F1017" t="s">
        <v>115</v>
      </c>
      <c r="G1017" t="str">
        <f t="shared" si="115"/>
        <v>Paranephrops planifrons</v>
      </c>
      <c r="H1017" t="str">
        <f t="shared" si="110"/>
        <v>Freshwater_crayfish</v>
      </c>
      <c r="I1017" t="str">
        <f t="shared" si="111"/>
        <v>Kōura</v>
      </c>
      <c r="J1017" t="str">
        <f t="shared" si="112"/>
        <v>Native</v>
      </c>
      <c r="K1017" t="str">
        <f t="shared" si="113"/>
        <v>Yes</v>
      </c>
      <c r="L1017">
        <v>1</v>
      </c>
      <c r="M1017" t="s">
        <v>177</v>
      </c>
      <c r="N1017">
        <v>30</v>
      </c>
      <c r="O1017">
        <v>20</v>
      </c>
      <c r="T1017" t="str">
        <f t="shared" si="116"/>
        <v/>
      </c>
    </row>
    <row r="1018" spans="1:20" x14ac:dyDescent="0.55000000000000004">
      <c r="A1018">
        <v>22</v>
      </c>
      <c r="B1018" s="15" t="str">
        <f t="shared" si="114"/>
        <v>22_1</v>
      </c>
      <c r="C1018" s="20">
        <v>45778.614583333336</v>
      </c>
      <c r="D1018" t="s">
        <v>175</v>
      </c>
      <c r="E1018">
        <v>2</v>
      </c>
      <c r="F1018" t="s">
        <v>115</v>
      </c>
      <c r="G1018" t="str">
        <f t="shared" si="115"/>
        <v>Paranephrops planifrons</v>
      </c>
      <c r="H1018" t="str">
        <f t="shared" si="110"/>
        <v>Freshwater_crayfish</v>
      </c>
      <c r="I1018" t="str">
        <f t="shared" si="111"/>
        <v>Kōura</v>
      </c>
      <c r="J1018" t="str">
        <f t="shared" si="112"/>
        <v>Native</v>
      </c>
      <c r="K1018" t="str">
        <f t="shared" si="113"/>
        <v>Yes</v>
      </c>
      <c r="L1018">
        <v>1</v>
      </c>
      <c r="M1018" t="s">
        <v>176</v>
      </c>
      <c r="N1018">
        <v>23</v>
      </c>
      <c r="O1018">
        <v>10</v>
      </c>
      <c r="T1018" t="str">
        <f t="shared" si="116"/>
        <v/>
      </c>
    </row>
    <row r="1019" spans="1:20" x14ac:dyDescent="0.55000000000000004">
      <c r="A1019">
        <v>22</v>
      </c>
      <c r="B1019" s="15" t="str">
        <f t="shared" si="114"/>
        <v>22_1</v>
      </c>
      <c r="C1019" s="20">
        <v>45778.614583333336</v>
      </c>
      <c r="D1019" t="s">
        <v>175</v>
      </c>
      <c r="E1019">
        <v>2</v>
      </c>
      <c r="F1019" t="s">
        <v>115</v>
      </c>
      <c r="G1019" t="str">
        <f t="shared" si="115"/>
        <v>Paranephrops planifrons</v>
      </c>
      <c r="H1019" t="str">
        <f t="shared" si="110"/>
        <v>Freshwater_crayfish</v>
      </c>
      <c r="I1019" t="str">
        <f t="shared" si="111"/>
        <v>Kōura</v>
      </c>
      <c r="J1019" t="str">
        <f t="shared" si="112"/>
        <v>Native</v>
      </c>
      <c r="K1019" t="str">
        <f t="shared" si="113"/>
        <v>Yes</v>
      </c>
      <c r="L1019">
        <v>1</v>
      </c>
      <c r="M1019" t="s">
        <v>177</v>
      </c>
      <c r="N1019">
        <v>25</v>
      </c>
      <c r="O1019">
        <v>10</v>
      </c>
      <c r="T1019" t="str">
        <f t="shared" si="116"/>
        <v/>
      </c>
    </row>
    <row r="1020" spans="1:20" x14ac:dyDescent="0.55000000000000004">
      <c r="A1020">
        <v>22</v>
      </c>
      <c r="B1020" s="15" t="str">
        <f t="shared" si="114"/>
        <v>22_1</v>
      </c>
      <c r="C1020" s="20">
        <v>45778.614583333336</v>
      </c>
      <c r="D1020" t="s">
        <v>175</v>
      </c>
      <c r="E1020">
        <v>2</v>
      </c>
      <c r="F1020" t="s">
        <v>115</v>
      </c>
      <c r="G1020" t="str">
        <f t="shared" si="115"/>
        <v>Paranephrops planifrons</v>
      </c>
      <c r="H1020" t="str">
        <f t="shared" si="110"/>
        <v>Freshwater_crayfish</v>
      </c>
      <c r="I1020" t="str">
        <f t="shared" si="111"/>
        <v>Kōura</v>
      </c>
      <c r="J1020" t="str">
        <f t="shared" si="112"/>
        <v>Native</v>
      </c>
      <c r="K1020" t="str">
        <f t="shared" si="113"/>
        <v>Yes</v>
      </c>
      <c r="L1020">
        <v>1</v>
      </c>
      <c r="M1020" t="s">
        <v>176</v>
      </c>
      <c r="N1020">
        <v>25</v>
      </c>
      <c r="O1020">
        <v>15</v>
      </c>
      <c r="Q1020">
        <v>1</v>
      </c>
      <c r="T1020" t="str">
        <f t="shared" si="116"/>
        <v/>
      </c>
    </row>
    <row r="1021" spans="1:20" x14ac:dyDescent="0.55000000000000004">
      <c r="A1021">
        <v>22</v>
      </c>
      <c r="B1021" s="15" t="str">
        <f t="shared" si="114"/>
        <v>22_1</v>
      </c>
      <c r="C1021" s="20">
        <v>45778.614583333336</v>
      </c>
      <c r="D1021" t="s">
        <v>175</v>
      </c>
      <c r="E1021">
        <v>2</v>
      </c>
      <c r="F1021" t="s">
        <v>115</v>
      </c>
      <c r="G1021" t="str">
        <f t="shared" si="115"/>
        <v>Paranephrops planifrons</v>
      </c>
      <c r="H1021" t="str">
        <f t="shared" si="110"/>
        <v>Freshwater_crayfish</v>
      </c>
      <c r="I1021" t="str">
        <f t="shared" si="111"/>
        <v>Kōura</v>
      </c>
      <c r="J1021" t="str">
        <f t="shared" si="112"/>
        <v>Native</v>
      </c>
      <c r="K1021" t="str">
        <f t="shared" si="113"/>
        <v>Yes</v>
      </c>
      <c r="L1021">
        <v>1</v>
      </c>
      <c r="M1021" t="s">
        <v>176</v>
      </c>
      <c r="N1021">
        <v>29</v>
      </c>
      <c r="O1021">
        <v>20</v>
      </c>
      <c r="R1021">
        <v>1</v>
      </c>
      <c r="T1021" t="str">
        <f t="shared" si="116"/>
        <v/>
      </c>
    </row>
    <row r="1022" spans="1:20" x14ac:dyDescent="0.55000000000000004">
      <c r="A1022">
        <v>22</v>
      </c>
      <c r="B1022" s="15" t="str">
        <f t="shared" si="114"/>
        <v>22_1</v>
      </c>
      <c r="C1022" s="20">
        <v>45778.614583333336</v>
      </c>
      <c r="D1022" t="s">
        <v>175</v>
      </c>
      <c r="E1022">
        <v>2</v>
      </c>
      <c r="F1022" t="s">
        <v>115</v>
      </c>
      <c r="G1022" t="str">
        <f t="shared" si="115"/>
        <v>Paranephrops planifrons</v>
      </c>
      <c r="H1022" t="str">
        <f t="shared" si="110"/>
        <v>Freshwater_crayfish</v>
      </c>
      <c r="I1022" t="str">
        <f t="shared" si="111"/>
        <v>Kōura</v>
      </c>
      <c r="J1022" t="str">
        <f t="shared" si="112"/>
        <v>Native</v>
      </c>
      <c r="K1022" t="str">
        <f t="shared" si="113"/>
        <v>Yes</v>
      </c>
      <c r="L1022">
        <v>1</v>
      </c>
      <c r="M1022" t="s">
        <v>176</v>
      </c>
      <c r="N1022">
        <v>28</v>
      </c>
      <c r="O1022">
        <v>22</v>
      </c>
      <c r="T1022" t="str">
        <f t="shared" si="116"/>
        <v/>
      </c>
    </row>
    <row r="1023" spans="1:20" x14ac:dyDescent="0.55000000000000004">
      <c r="A1023">
        <v>22</v>
      </c>
      <c r="B1023" s="15" t="str">
        <f t="shared" si="114"/>
        <v>22_1</v>
      </c>
      <c r="C1023" s="20">
        <v>45778.614583333336</v>
      </c>
      <c r="D1023" t="s">
        <v>175</v>
      </c>
      <c r="E1023">
        <v>2</v>
      </c>
      <c r="F1023" t="s">
        <v>115</v>
      </c>
      <c r="G1023" t="str">
        <f t="shared" si="115"/>
        <v>Paranephrops planifrons</v>
      </c>
      <c r="H1023" t="str">
        <f t="shared" si="110"/>
        <v>Freshwater_crayfish</v>
      </c>
      <c r="I1023" t="str">
        <f t="shared" si="111"/>
        <v>Kōura</v>
      </c>
      <c r="J1023" t="str">
        <f t="shared" si="112"/>
        <v>Native</v>
      </c>
      <c r="K1023" t="str">
        <f t="shared" si="113"/>
        <v>Yes</v>
      </c>
      <c r="L1023">
        <v>1</v>
      </c>
      <c r="M1023" t="s">
        <v>177</v>
      </c>
      <c r="N1023">
        <v>22</v>
      </c>
      <c r="O1023">
        <v>16</v>
      </c>
      <c r="T1023" t="str">
        <f t="shared" si="116"/>
        <v/>
      </c>
    </row>
    <row r="1024" spans="1:20" x14ac:dyDescent="0.55000000000000004">
      <c r="A1024">
        <v>22</v>
      </c>
      <c r="B1024" s="15" t="str">
        <f t="shared" si="114"/>
        <v>22_1</v>
      </c>
      <c r="C1024" s="20">
        <v>45778.614583333336</v>
      </c>
      <c r="D1024" t="s">
        <v>175</v>
      </c>
      <c r="E1024">
        <v>2</v>
      </c>
      <c r="F1024" t="s">
        <v>115</v>
      </c>
      <c r="G1024" t="str">
        <f t="shared" si="115"/>
        <v>Paranephrops planifrons</v>
      </c>
      <c r="H1024" t="str">
        <f t="shared" si="110"/>
        <v>Freshwater_crayfish</v>
      </c>
      <c r="I1024" t="str">
        <f t="shared" si="111"/>
        <v>Kōura</v>
      </c>
      <c r="J1024" t="str">
        <f t="shared" si="112"/>
        <v>Native</v>
      </c>
      <c r="K1024" t="str">
        <f t="shared" si="113"/>
        <v>Yes</v>
      </c>
      <c r="L1024">
        <v>1</v>
      </c>
      <c r="M1024" t="s">
        <v>177</v>
      </c>
      <c r="N1024">
        <v>18</v>
      </c>
      <c r="O1024">
        <v>4</v>
      </c>
      <c r="P1024">
        <v>1</v>
      </c>
      <c r="T1024" t="str">
        <f t="shared" si="116"/>
        <v/>
      </c>
    </row>
    <row r="1025" spans="1:21" x14ac:dyDescent="0.55000000000000004">
      <c r="A1025">
        <v>22</v>
      </c>
      <c r="B1025" s="15" t="str">
        <f t="shared" si="114"/>
        <v>22_1</v>
      </c>
      <c r="C1025" s="20">
        <v>45778.614583333336</v>
      </c>
      <c r="D1025" t="s">
        <v>175</v>
      </c>
      <c r="E1025">
        <v>2</v>
      </c>
      <c r="F1025" t="s">
        <v>115</v>
      </c>
      <c r="G1025" t="str">
        <f t="shared" si="115"/>
        <v>Paranephrops planifrons</v>
      </c>
      <c r="H1025" t="str">
        <f t="shared" ref="H1025:H1088" si="117">VLOOKUP($F1025, $W$1:$AB$10, 3, FALSE)</f>
        <v>Freshwater_crayfish</v>
      </c>
      <c r="I1025" t="str">
        <f t="shared" ref="I1025:I1088" si="118">VLOOKUP($F1025, $W$1:$AB$10, 4, FALSE)</f>
        <v>Kōura</v>
      </c>
      <c r="J1025" t="str">
        <f t="shared" ref="J1025:J1088" si="119">VLOOKUP($F1025, $W$1:$AC$10, 5, FALSE)</f>
        <v>Native</v>
      </c>
      <c r="K1025" t="str">
        <f t="shared" ref="K1025:K1088" si="120">VLOOKUP($F1025, $W$1:$AB$10, 6, FALSE)</f>
        <v>Yes</v>
      </c>
      <c r="L1025">
        <v>1</v>
      </c>
      <c r="M1025" t="s">
        <v>176</v>
      </c>
      <c r="N1025">
        <v>22</v>
      </c>
      <c r="O1025">
        <v>8</v>
      </c>
      <c r="T1025" t="str">
        <f t="shared" si="116"/>
        <v/>
      </c>
    </row>
    <row r="1026" spans="1:21" x14ac:dyDescent="0.55000000000000004">
      <c r="A1026">
        <v>22</v>
      </c>
      <c r="B1026" s="15" t="str">
        <f t="shared" si="114"/>
        <v>22_1</v>
      </c>
      <c r="C1026" s="20">
        <v>45778.614583333336</v>
      </c>
      <c r="D1026" t="s">
        <v>175</v>
      </c>
      <c r="E1026">
        <v>2</v>
      </c>
      <c r="F1026" t="s">
        <v>115</v>
      </c>
      <c r="G1026" t="str">
        <f t="shared" si="115"/>
        <v>Paranephrops planifrons</v>
      </c>
      <c r="H1026" t="str">
        <f t="shared" si="117"/>
        <v>Freshwater_crayfish</v>
      </c>
      <c r="I1026" t="str">
        <f t="shared" si="118"/>
        <v>Kōura</v>
      </c>
      <c r="J1026" t="str">
        <f t="shared" si="119"/>
        <v>Native</v>
      </c>
      <c r="K1026" t="str">
        <f t="shared" si="120"/>
        <v>Yes</v>
      </c>
      <c r="L1026">
        <v>1</v>
      </c>
      <c r="M1026" t="s">
        <v>177</v>
      </c>
      <c r="N1026">
        <v>23</v>
      </c>
      <c r="O1026">
        <v>3</v>
      </c>
      <c r="P1026">
        <v>1</v>
      </c>
      <c r="T1026" t="str">
        <f t="shared" si="116"/>
        <v/>
      </c>
    </row>
    <row r="1027" spans="1:21" x14ac:dyDescent="0.55000000000000004">
      <c r="A1027">
        <v>22</v>
      </c>
      <c r="B1027" s="15" t="str">
        <f t="shared" si="114"/>
        <v>22_1</v>
      </c>
      <c r="C1027" s="20">
        <v>45778.614583333336</v>
      </c>
      <c r="D1027" t="s">
        <v>175</v>
      </c>
      <c r="E1027">
        <v>2</v>
      </c>
      <c r="F1027" t="s">
        <v>115</v>
      </c>
      <c r="G1027" t="str">
        <f t="shared" si="115"/>
        <v>Paranephrops planifrons</v>
      </c>
      <c r="H1027" t="str">
        <f t="shared" si="117"/>
        <v>Freshwater_crayfish</v>
      </c>
      <c r="I1027" t="str">
        <f t="shared" si="118"/>
        <v>Kōura</v>
      </c>
      <c r="J1027" t="str">
        <f t="shared" si="119"/>
        <v>Native</v>
      </c>
      <c r="K1027" t="str">
        <f t="shared" si="120"/>
        <v>Yes</v>
      </c>
      <c r="L1027">
        <v>1</v>
      </c>
      <c r="M1027" t="s">
        <v>176</v>
      </c>
      <c r="N1027">
        <v>20</v>
      </c>
      <c r="O1027">
        <v>3</v>
      </c>
      <c r="T1027" t="str">
        <f t="shared" si="116"/>
        <v/>
      </c>
    </row>
    <row r="1028" spans="1:21" x14ac:dyDescent="0.55000000000000004">
      <c r="A1028">
        <v>22</v>
      </c>
      <c r="B1028" s="15" t="str">
        <f t="shared" si="114"/>
        <v>22_1</v>
      </c>
      <c r="C1028" s="20">
        <v>45778.614583333336</v>
      </c>
      <c r="D1028" t="s">
        <v>175</v>
      </c>
      <c r="E1028">
        <v>2</v>
      </c>
      <c r="F1028" t="s">
        <v>115</v>
      </c>
      <c r="G1028" t="str">
        <f t="shared" si="115"/>
        <v>Paranephrops planifrons</v>
      </c>
      <c r="H1028" t="str">
        <f t="shared" si="117"/>
        <v>Freshwater_crayfish</v>
      </c>
      <c r="I1028" t="str">
        <f t="shared" si="118"/>
        <v>Kōura</v>
      </c>
      <c r="J1028" t="str">
        <f t="shared" si="119"/>
        <v>Native</v>
      </c>
      <c r="K1028" t="str">
        <f t="shared" si="120"/>
        <v>Yes</v>
      </c>
      <c r="L1028">
        <v>1</v>
      </c>
      <c r="M1028" t="s">
        <v>176</v>
      </c>
      <c r="N1028">
        <v>15</v>
      </c>
      <c r="O1028">
        <v>3</v>
      </c>
      <c r="T1028" t="str">
        <f t="shared" si="116"/>
        <v/>
      </c>
    </row>
    <row r="1029" spans="1:21" x14ac:dyDescent="0.55000000000000004">
      <c r="A1029">
        <v>22</v>
      </c>
      <c r="B1029" s="15" t="str">
        <f t="shared" si="114"/>
        <v>22_1</v>
      </c>
      <c r="C1029" s="20">
        <v>45778.614583333336</v>
      </c>
      <c r="D1029" t="s">
        <v>175</v>
      </c>
      <c r="E1029">
        <v>2</v>
      </c>
      <c r="F1029" t="s">
        <v>115</v>
      </c>
      <c r="G1029" t="str">
        <f t="shared" si="115"/>
        <v>Paranephrops planifrons</v>
      </c>
      <c r="H1029" t="str">
        <f t="shared" si="117"/>
        <v>Freshwater_crayfish</v>
      </c>
      <c r="I1029" t="str">
        <f t="shared" si="118"/>
        <v>Kōura</v>
      </c>
      <c r="J1029" t="str">
        <f t="shared" si="119"/>
        <v>Native</v>
      </c>
      <c r="K1029" t="str">
        <f t="shared" si="120"/>
        <v>Yes</v>
      </c>
      <c r="L1029">
        <v>1</v>
      </c>
      <c r="M1029" t="s">
        <v>176</v>
      </c>
      <c r="N1029">
        <v>15</v>
      </c>
      <c r="O1029">
        <v>4</v>
      </c>
      <c r="T1029" t="str">
        <f t="shared" si="116"/>
        <v/>
      </c>
      <c r="U1029" t="s">
        <v>184</v>
      </c>
    </row>
    <row r="1030" spans="1:21" x14ac:dyDescent="0.55000000000000004">
      <c r="A1030">
        <v>22</v>
      </c>
      <c r="B1030" s="15" t="str">
        <f t="shared" si="114"/>
        <v>22_1</v>
      </c>
      <c r="C1030" s="20">
        <v>45778.614583333336</v>
      </c>
      <c r="D1030" t="s">
        <v>175</v>
      </c>
      <c r="E1030">
        <v>2</v>
      </c>
      <c r="F1030" t="s">
        <v>115</v>
      </c>
      <c r="G1030" t="str">
        <f t="shared" si="115"/>
        <v>Paranephrops planifrons</v>
      </c>
      <c r="H1030" t="str">
        <f t="shared" si="117"/>
        <v>Freshwater_crayfish</v>
      </c>
      <c r="I1030" t="str">
        <f t="shared" si="118"/>
        <v>Kōura</v>
      </c>
      <c r="J1030" t="str">
        <f t="shared" si="119"/>
        <v>Native</v>
      </c>
      <c r="K1030" t="str">
        <f t="shared" si="120"/>
        <v>Yes</v>
      </c>
      <c r="L1030">
        <v>1</v>
      </c>
      <c r="M1030" t="s">
        <v>177</v>
      </c>
      <c r="N1030">
        <v>16</v>
      </c>
      <c r="O1030">
        <v>4</v>
      </c>
      <c r="T1030" t="str">
        <f t="shared" si="116"/>
        <v/>
      </c>
    </row>
    <row r="1031" spans="1:21" x14ac:dyDescent="0.55000000000000004">
      <c r="A1031">
        <v>22</v>
      </c>
      <c r="B1031" s="15" t="str">
        <f t="shared" ref="B1031:B1053" si="121">A1031 &amp; "_1"</f>
        <v>22_1</v>
      </c>
      <c r="C1031" s="20">
        <v>45778.614583333336</v>
      </c>
      <c r="D1031" t="s">
        <v>175</v>
      </c>
      <c r="E1031">
        <v>2</v>
      </c>
      <c r="F1031" t="s">
        <v>115</v>
      </c>
      <c r="G1031" t="str">
        <f t="shared" si="115"/>
        <v>Paranephrops planifrons</v>
      </c>
      <c r="H1031" t="str">
        <f t="shared" si="117"/>
        <v>Freshwater_crayfish</v>
      </c>
      <c r="I1031" t="str">
        <f t="shared" si="118"/>
        <v>Kōura</v>
      </c>
      <c r="J1031" t="str">
        <f t="shared" si="119"/>
        <v>Native</v>
      </c>
      <c r="K1031" t="str">
        <f t="shared" si="120"/>
        <v>Yes</v>
      </c>
      <c r="L1031">
        <v>1</v>
      </c>
      <c r="M1031" t="s">
        <v>176</v>
      </c>
      <c r="N1031">
        <v>13</v>
      </c>
      <c r="O1031">
        <v>3</v>
      </c>
      <c r="T1031" t="str">
        <f t="shared" si="116"/>
        <v/>
      </c>
    </row>
    <row r="1032" spans="1:21" x14ac:dyDescent="0.55000000000000004">
      <c r="A1032">
        <v>22</v>
      </c>
      <c r="B1032" s="15" t="str">
        <f t="shared" si="121"/>
        <v>22_1</v>
      </c>
      <c r="C1032" s="20">
        <v>45778.614583333336</v>
      </c>
      <c r="D1032" t="s">
        <v>175</v>
      </c>
      <c r="E1032">
        <v>2</v>
      </c>
      <c r="F1032" t="s">
        <v>115</v>
      </c>
      <c r="G1032" t="str">
        <f t="shared" si="115"/>
        <v>Paranephrops planifrons</v>
      </c>
      <c r="H1032" t="str">
        <f t="shared" si="117"/>
        <v>Freshwater_crayfish</v>
      </c>
      <c r="I1032" t="str">
        <f t="shared" si="118"/>
        <v>Kōura</v>
      </c>
      <c r="J1032" t="str">
        <f t="shared" si="119"/>
        <v>Native</v>
      </c>
      <c r="K1032" t="str">
        <f t="shared" si="120"/>
        <v>Yes</v>
      </c>
      <c r="L1032">
        <v>1</v>
      </c>
      <c r="M1032" t="s">
        <v>176</v>
      </c>
      <c r="N1032">
        <v>25</v>
      </c>
      <c r="O1032">
        <v>7</v>
      </c>
      <c r="T1032" t="str">
        <f t="shared" si="116"/>
        <v/>
      </c>
    </row>
    <row r="1033" spans="1:21" x14ac:dyDescent="0.55000000000000004">
      <c r="A1033">
        <v>22</v>
      </c>
      <c r="B1033" s="15" t="str">
        <f t="shared" si="121"/>
        <v>22_1</v>
      </c>
      <c r="C1033" s="20">
        <v>45778.614583333336</v>
      </c>
      <c r="D1033" t="s">
        <v>175</v>
      </c>
      <c r="E1033">
        <v>2</v>
      </c>
      <c r="F1033" t="s">
        <v>115</v>
      </c>
      <c r="G1033" t="str">
        <f t="shared" si="115"/>
        <v>Paranephrops planifrons</v>
      </c>
      <c r="H1033" t="str">
        <f t="shared" si="117"/>
        <v>Freshwater_crayfish</v>
      </c>
      <c r="I1033" t="str">
        <f t="shared" si="118"/>
        <v>Kōura</v>
      </c>
      <c r="J1033" t="str">
        <f t="shared" si="119"/>
        <v>Native</v>
      </c>
      <c r="K1033" t="str">
        <f t="shared" si="120"/>
        <v>Yes</v>
      </c>
      <c r="L1033">
        <v>1</v>
      </c>
      <c r="M1033" t="s">
        <v>177</v>
      </c>
      <c r="N1033">
        <v>16</v>
      </c>
      <c r="O1033">
        <v>5</v>
      </c>
      <c r="T1033" t="str">
        <f t="shared" si="116"/>
        <v/>
      </c>
    </row>
    <row r="1034" spans="1:21" x14ac:dyDescent="0.55000000000000004">
      <c r="A1034">
        <v>22</v>
      </c>
      <c r="B1034" s="15" t="str">
        <f t="shared" si="121"/>
        <v>22_1</v>
      </c>
      <c r="C1034" s="20">
        <v>45778.614583333336</v>
      </c>
      <c r="D1034" t="s">
        <v>175</v>
      </c>
      <c r="E1034">
        <v>2</v>
      </c>
      <c r="F1034" t="s">
        <v>115</v>
      </c>
      <c r="G1034" t="str">
        <f t="shared" si="115"/>
        <v>Paranephrops planifrons</v>
      </c>
      <c r="H1034" t="str">
        <f t="shared" si="117"/>
        <v>Freshwater_crayfish</v>
      </c>
      <c r="I1034" t="str">
        <f t="shared" si="118"/>
        <v>Kōura</v>
      </c>
      <c r="J1034" t="str">
        <f t="shared" si="119"/>
        <v>Native</v>
      </c>
      <c r="K1034" t="str">
        <f t="shared" si="120"/>
        <v>Yes</v>
      </c>
      <c r="L1034">
        <v>1</v>
      </c>
      <c r="M1034" t="s">
        <v>177</v>
      </c>
      <c r="N1034">
        <v>23</v>
      </c>
      <c r="O1034">
        <v>5</v>
      </c>
      <c r="T1034" t="str">
        <f t="shared" si="116"/>
        <v/>
      </c>
    </row>
    <row r="1035" spans="1:21" x14ac:dyDescent="0.55000000000000004">
      <c r="A1035">
        <v>22</v>
      </c>
      <c r="B1035" s="15" t="str">
        <f t="shared" si="121"/>
        <v>22_1</v>
      </c>
      <c r="C1035" s="20">
        <v>45778.614583333336</v>
      </c>
      <c r="D1035" t="s">
        <v>175</v>
      </c>
      <c r="E1035">
        <v>2</v>
      </c>
      <c r="F1035" t="s">
        <v>115</v>
      </c>
      <c r="G1035" t="str">
        <f t="shared" si="115"/>
        <v>Paranephrops planifrons</v>
      </c>
      <c r="H1035" t="str">
        <f t="shared" si="117"/>
        <v>Freshwater_crayfish</v>
      </c>
      <c r="I1035" t="str">
        <f t="shared" si="118"/>
        <v>Kōura</v>
      </c>
      <c r="J1035" t="str">
        <f t="shared" si="119"/>
        <v>Native</v>
      </c>
      <c r="K1035" t="str">
        <f t="shared" si="120"/>
        <v>Yes</v>
      </c>
      <c r="L1035">
        <v>1</v>
      </c>
      <c r="M1035" t="s">
        <v>176</v>
      </c>
      <c r="N1035">
        <v>20</v>
      </c>
      <c r="O1035">
        <v>4</v>
      </c>
      <c r="T1035" t="str">
        <f t="shared" si="116"/>
        <v/>
      </c>
    </row>
    <row r="1036" spans="1:21" x14ac:dyDescent="0.55000000000000004">
      <c r="A1036">
        <v>22</v>
      </c>
      <c r="B1036" s="15" t="str">
        <f t="shared" si="121"/>
        <v>22_1</v>
      </c>
      <c r="C1036" s="20">
        <v>45778.614583333336</v>
      </c>
      <c r="D1036" t="s">
        <v>175</v>
      </c>
      <c r="E1036">
        <v>2</v>
      </c>
      <c r="F1036" t="s">
        <v>115</v>
      </c>
      <c r="G1036" t="str">
        <f t="shared" si="115"/>
        <v>Paranephrops planifrons</v>
      </c>
      <c r="H1036" t="str">
        <f t="shared" si="117"/>
        <v>Freshwater_crayfish</v>
      </c>
      <c r="I1036" t="str">
        <f t="shared" si="118"/>
        <v>Kōura</v>
      </c>
      <c r="J1036" t="str">
        <f t="shared" si="119"/>
        <v>Native</v>
      </c>
      <c r="K1036" t="str">
        <f t="shared" si="120"/>
        <v>Yes</v>
      </c>
      <c r="L1036">
        <v>1</v>
      </c>
      <c r="M1036" t="s">
        <v>176</v>
      </c>
      <c r="N1036">
        <v>21</v>
      </c>
      <c r="O1036">
        <v>6</v>
      </c>
      <c r="T1036" t="str">
        <f t="shared" si="116"/>
        <v/>
      </c>
    </row>
    <row r="1037" spans="1:21" x14ac:dyDescent="0.55000000000000004">
      <c r="A1037">
        <v>22</v>
      </c>
      <c r="B1037" s="15" t="str">
        <f t="shared" si="121"/>
        <v>22_1</v>
      </c>
      <c r="C1037" s="20">
        <v>45778.614583333336</v>
      </c>
      <c r="D1037" t="s">
        <v>175</v>
      </c>
      <c r="E1037">
        <v>2</v>
      </c>
      <c r="F1037" t="s">
        <v>115</v>
      </c>
      <c r="G1037" t="str">
        <f t="shared" si="115"/>
        <v>Paranephrops planifrons</v>
      </c>
      <c r="H1037" t="str">
        <f t="shared" si="117"/>
        <v>Freshwater_crayfish</v>
      </c>
      <c r="I1037" t="str">
        <f t="shared" si="118"/>
        <v>Kōura</v>
      </c>
      <c r="J1037" t="str">
        <f t="shared" si="119"/>
        <v>Native</v>
      </c>
      <c r="K1037" t="str">
        <f t="shared" si="120"/>
        <v>Yes</v>
      </c>
      <c r="L1037">
        <v>1</v>
      </c>
      <c r="M1037" t="s">
        <v>176</v>
      </c>
      <c r="N1037">
        <v>17</v>
      </c>
      <c r="O1037">
        <v>3</v>
      </c>
      <c r="T1037" t="str">
        <f t="shared" si="116"/>
        <v/>
      </c>
    </row>
    <row r="1038" spans="1:21" x14ac:dyDescent="0.55000000000000004">
      <c r="A1038">
        <v>22</v>
      </c>
      <c r="B1038" s="15" t="str">
        <f t="shared" si="121"/>
        <v>22_1</v>
      </c>
      <c r="C1038" s="20">
        <v>45778.614583333336</v>
      </c>
      <c r="D1038" t="s">
        <v>175</v>
      </c>
      <c r="E1038">
        <v>2</v>
      </c>
      <c r="F1038" t="s">
        <v>115</v>
      </c>
      <c r="G1038" t="str">
        <f t="shared" si="115"/>
        <v>Paranephrops planifrons</v>
      </c>
      <c r="H1038" t="str">
        <f t="shared" si="117"/>
        <v>Freshwater_crayfish</v>
      </c>
      <c r="I1038" t="str">
        <f t="shared" si="118"/>
        <v>Kōura</v>
      </c>
      <c r="J1038" t="str">
        <f t="shared" si="119"/>
        <v>Native</v>
      </c>
      <c r="K1038" t="str">
        <f t="shared" si="120"/>
        <v>Yes</v>
      </c>
      <c r="L1038">
        <v>1</v>
      </c>
      <c r="M1038" t="s">
        <v>177</v>
      </c>
      <c r="N1038">
        <v>28</v>
      </c>
      <c r="O1038">
        <v>12</v>
      </c>
      <c r="T1038" t="str">
        <f t="shared" si="116"/>
        <v/>
      </c>
    </row>
    <row r="1039" spans="1:21" x14ac:dyDescent="0.55000000000000004">
      <c r="A1039">
        <v>22</v>
      </c>
      <c r="B1039" s="15" t="str">
        <f t="shared" si="121"/>
        <v>22_1</v>
      </c>
      <c r="C1039" s="20">
        <v>45778.614583333336</v>
      </c>
      <c r="D1039" t="s">
        <v>175</v>
      </c>
      <c r="E1039">
        <v>2</v>
      </c>
      <c r="F1039" t="s">
        <v>115</v>
      </c>
      <c r="G1039" t="str">
        <f t="shared" si="115"/>
        <v>Paranephrops planifrons</v>
      </c>
      <c r="H1039" t="str">
        <f t="shared" si="117"/>
        <v>Freshwater_crayfish</v>
      </c>
      <c r="I1039" t="str">
        <f t="shared" si="118"/>
        <v>Kōura</v>
      </c>
      <c r="J1039" t="str">
        <f t="shared" si="119"/>
        <v>Native</v>
      </c>
      <c r="K1039" t="str">
        <f t="shared" si="120"/>
        <v>Yes</v>
      </c>
      <c r="L1039">
        <v>1</v>
      </c>
      <c r="M1039" t="s">
        <v>177</v>
      </c>
      <c r="N1039">
        <v>27</v>
      </c>
      <c r="O1039">
        <v>15</v>
      </c>
      <c r="P1039">
        <v>1</v>
      </c>
      <c r="T1039" t="str">
        <f t="shared" si="116"/>
        <v/>
      </c>
    </row>
    <row r="1040" spans="1:21" x14ac:dyDescent="0.55000000000000004">
      <c r="A1040">
        <v>22</v>
      </c>
      <c r="B1040" s="15" t="str">
        <f t="shared" si="121"/>
        <v>22_1</v>
      </c>
      <c r="C1040" s="20">
        <v>45778.614583333336</v>
      </c>
      <c r="D1040" t="s">
        <v>175</v>
      </c>
      <c r="E1040">
        <v>2</v>
      </c>
      <c r="F1040" t="s">
        <v>115</v>
      </c>
      <c r="G1040" t="str">
        <f t="shared" si="115"/>
        <v>Paranephrops planifrons</v>
      </c>
      <c r="H1040" t="str">
        <f t="shared" si="117"/>
        <v>Freshwater_crayfish</v>
      </c>
      <c r="I1040" t="str">
        <f t="shared" si="118"/>
        <v>Kōura</v>
      </c>
      <c r="J1040" t="str">
        <f t="shared" si="119"/>
        <v>Native</v>
      </c>
      <c r="K1040" t="str">
        <f t="shared" si="120"/>
        <v>Yes</v>
      </c>
      <c r="L1040">
        <v>1</v>
      </c>
      <c r="M1040" t="s">
        <v>176</v>
      </c>
      <c r="N1040">
        <v>26</v>
      </c>
      <c r="O1040">
        <v>17</v>
      </c>
      <c r="Q1040">
        <v>1</v>
      </c>
      <c r="T1040" t="str">
        <f t="shared" si="116"/>
        <v/>
      </c>
    </row>
    <row r="1041" spans="1:21" x14ac:dyDescent="0.55000000000000004">
      <c r="A1041">
        <v>22</v>
      </c>
      <c r="B1041" s="15" t="str">
        <f t="shared" si="121"/>
        <v>22_1</v>
      </c>
      <c r="C1041" s="20">
        <v>45778.614583333336</v>
      </c>
      <c r="D1041" t="s">
        <v>175</v>
      </c>
      <c r="E1041">
        <v>2</v>
      </c>
      <c r="F1041" t="s">
        <v>115</v>
      </c>
      <c r="G1041" t="str">
        <f t="shared" si="115"/>
        <v>Paranephrops planifrons</v>
      </c>
      <c r="H1041" t="str">
        <f t="shared" si="117"/>
        <v>Freshwater_crayfish</v>
      </c>
      <c r="I1041" t="str">
        <f t="shared" si="118"/>
        <v>Kōura</v>
      </c>
      <c r="J1041" t="str">
        <f t="shared" si="119"/>
        <v>Native</v>
      </c>
      <c r="K1041" t="str">
        <f t="shared" si="120"/>
        <v>Yes</v>
      </c>
      <c r="L1041">
        <v>1</v>
      </c>
      <c r="M1041" t="s">
        <v>176</v>
      </c>
      <c r="N1041">
        <v>21</v>
      </c>
      <c r="O1041">
        <v>8</v>
      </c>
      <c r="T1041" t="str">
        <f t="shared" si="116"/>
        <v/>
      </c>
      <c r="U1041" t="s">
        <v>184</v>
      </c>
    </row>
    <row r="1042" spans="1:21" x14ac:dyDescent="0.55000000000000004">
      <c r="A1042">
        <v>22</v>
      </c>
      <c r="B1042" s="15" t="str">
        <f t="shared" si="121"/>
        <v>22_1</v>
      </c>
      <c r="C1042" s="20">
        <v>45778.614583333336</v>
      </c>
      <c r="D1042" t="s">
        <v>175</v>
      </c>
      <c r="E1042">
        <v>2</v>
      </c>
      <c r="F1042" t="s">
        <v>115</v>
      </c>
      <c r="G1042" t="str">
        <f t="shared" si="115"/>
        <v>Paranephrops planifrons</v>
      </c>
      <c r="H1042" t="str">
        <f t="shared" si="117"/>
        <v>Freshwater_crayfish</v>
      </c>
      <c r="I1042" t="str">
        <f t="shared" si="118"/>
        <v>Kōura</v>
      </c>
      <c r="J1042" t="str">
        <f t="shared" si="119"/>
        <v>Native</v>
      </c>
      <c r="K1042" t="str">
        <f t="shared" si="120"/>
        <v>Yes</v>
      </c>
      <c r="L1042">
        <v>1</v>
      </c>
      <c r="M1042" t="s">
        <v>176</v>
      </c>
      <c r="N1042">
        <v>27</v>
      </c>
      <c r="O1042">
        <v>19</v>
      </c>
      <c r="Q1042">
        <v>1</v>
      </c>
      <c r="T1042" t="str">
        <f t="shared" si="116"/>
        <v/>
      </c>
    </row>
    <row r="1043" spans="1:21" x14ac:dyDescent="0.55000000000000004">
      <c r="A1043">
        <v>22</v>
      </c>
      <c r="B1043" s="15" t="str">
        <f t="shared" si="121"/>
        <v>22_1</v>
      </c>
      <c r="C1043" s="20">
        <v>45778.614583333336</v>
      </c>
      <c r="D1043" t="s">
        <v>175</v>
      </c>
      <c r="E1043">
        <v>2</v>
      </c>
      <c r="F1043" t="s">
        <v>115</v>
      </c>
      <c r="G1043" t="str">
        <f t="shared" si="115"/>
        <v>Paranephrops planifrons</v>
      </c>
      <c r="H1043" t="str">
        <f t="shared" si="117"/>
        <v>Freshwater_crayfish</v>
      </c>
      <c r="I1043" t="str">
        <f t="shared" si="118"/>
        <v>Kōura</v>
      </c>
      <c r="J1043" t="str">
        <f t="shared" si="119"/>
        <v>Native</v>
      </c>
      <c r="K1043" t="str">
        <f t="shared" si="120"/>
        <v>Yes</v>
      </c>
      <c r="L1043">
        <v>1</v>
      </c>
      <c r="M1043" t="s">
        <v>177</v>
      </c>
      <c r="N1043">
        <v>27</v>
      </c>
      <c r="O1043">
        <v>17</v>
      </c>
      <c r="T1043" t="str">
        <f t="shared" si="116"/>
        <v/>
      </c>
    </row>
    <row r="1044" spans="1:21" x14ac:dyDescent="0.55000000000000004">
      <c r="A1044">
        <v>22</v>
      </c>
      <c r="B1044" s="15" t="str">
        <f t="shared" si="121"/>
        <v>22_1</v>
      </c>
      <c r="C1044" s="20">
        <v>45778.614583333336</v>
      </c>
      <c r="D1044" t="s">
        <v>175</v>
      </c>
      <c r="E1044">
        <v>2</v>
      </c>
      <c r="F1044" t="s">
        <v>115</v>
      </c>
      <c r="G1044" t="str">
        <f t="shared" si="115"/>
        <v>Paranephrops planifrons</v>
      </c>
      <c r="H1044" t="str">
        <f t="shared" si="117"/>
        <v>Freshwater_crayfish</v>
      </c>
      <c r="I1044" t="str">
        <f t="shared" si="118"/>
        <v>Kōura</v>
      </c>
      <c r="J1044" t="str">
        <f t="shared" si="119"/>
        <v>Native</v>
      </c>
      <c r="K1044" t="str">
        <f t="shared" si="120"/>
        <v>Yes</v>
      </c>
      <c r="L1044">
        <v>1</v>
      </c>
      <c r="M1044" t="s">
        <v>177</v>
      </c>
      <c r="N1044">
        <v>20</v>
      </c>
      <c r="O1044">
        <v>4</v>
      </c>
      <c r="T1044" t="str">
        <f t="shared" si="116"/>
        <v/>
      </c>
    </row>
    <row r="1045" spans="1:21" x14ac:dyDescent="0.55000000000000004">
      <c r="A1045">
        <v>22</v>
      </c>
      <c r="B1045" s="15" t="str">
        <f t="shared" si="121"/>
        <v>22_1</v>
      </c>
      <c r="C1045" s="20">
        <v>45778.614583333336</v>
      </c>
      <c r="D1045" t="s">
        <v>175</v>
      </c>
      <c r="E1045">
        <v>2</v>
      </c>
      <c r="F1045" t="s">
        <v>115</v>
      </c>
      <c r="G1045" t="str">
        <f t="shared" si="115"/>
        <v>Paranephrops planifrons</v>
      </c>
      <c r="H1045" t="str">
        <f t="shared" si="117"/>
        <v>Freshwater_crayfish</v>
      </c>
      <c r="I1045" t="str">
        <f t="shared" si="118"/>
        <v>Kōura</v>
      </c>
      <c r="J1045" t="str">
        <f t="shared" si="119"/>
        <v>Native</v>
      </c>
      <c r="K1045" t="str">
        <f t="shared" si="120"/>
        <v>Yes</v>
      </c>
      <c r="L1045">
        <v>1</v>
      </c>
      <c r="M1045" t="s">
        <v>176</v>
      </c>
      <c r="N1045">
        <v>25</v>
      </c>
      <c r="O1045">
        <v>15</v>
      </c>
      <c r="T1045" t="str">
        <f t="shared" si="116"/>
        <v/>
      </c>
    </row>
    <row r="1046" spans="1:21" x14ac:dyDescent="0.55000000000000004">
      <c r="A1046">
        <v>22</v>
      </c>
      <c r="B1046" s="15" t="str">
        <f t="shared" si="121"/>
        <v>22_1</v>
      </c>
      <c r="C1046" s="20">
        <v>45778.614583333336</v>
      </c>
      <c r="D1046" t="s">
        <v>175</v>
      </c>
      <c r="E1046">
        <v>2</v>
      </c>
      <c r="F1046" t="s">
        <v>115</v>
      </c>
      <c r="G1046" t="str">
        <f t="shared" si="115"/>
        <v>Paranephrops planifrons</v>
      </c>
      <c r="H1046" t="str">
        <f t="shared" si="117"/>
        <v>Freshwater_crayfish</v>
      </c>
      <c r="I1046" t="str">
        <f t="shared" si="118"/>
        <v>Kōura</v>
      </c>
      <c r="J1046" t="str">
        <f t="shared" si="119"/>
        <v>Native</v>
      </c>
      <c r="K1046" t="str">
        <f t="shared" si="120"/>
        <v>Yes</v>
      </c>
      <c r="L1046">
        <v>1</v>
      </c>
      <c r="M1046" t="s">
        <v>176</v>
      </c>
      <c r="N1046">
        <v>28</v>
      </c>
      <c r="O1046">
        <v>15</v>
      </c>
      <c r="T1046" t="str">
        <f t="shared" si="116"/>
        <v/>
      </c>
    </row>
    <row r="1047" spans="1:21" x14ac:dyDescent="0.55000000000000004">
      <c r="A1047">
        <v>22</v>
      </c>
      <c r="B1047" s="15" t="str">
        <f t="shared" si="121"/>
        <v>22_1</v>
      </c>
      <c r="C1047" s="20">
        <v>45778.614583333336</v>
      </c>
      <c r="D1047" t="s">
        <v>175</v>
      </c>
      <c r="E1047">
        <v>2</v>
      </c>
      <c r="F1047" t="s">
        <v>115</v>
      </c>
      <c r="G1047" t="str">
        <f t="shared" si="115"/>
        <v>Paranephrops planifrons</v>
      </c>
      <c r="H1047" t="str">
        <f t="shared" si="117"/>
        <v>Freshwater_crayfish</v>
      </c>
      <c r="I1047" t="str">
        <f t="shared" si="118"/>
        <v>Kōura</v>
      </c>
      <c r="J1047" t="str">
        <f t="shared" si="119"/>
        <v>Native</v>
      </c>
      <c r="K1047" t="str">
        <f t="shared" si="120"/>
        <v>Yes</v>
      </c>
      <c r="L1047">
        <v>1</v>
      </c>
      <c r="M1047" t="s">
        <v>177</v>
      </c>
      <c r="N1047">
        <v>15</v>
      </c>
      <c r="O1047">
        <v>4</v>
      </c>
      <c r="T1047" t="str">
        <f t="shared" si="116"/>
        <v/>
      </c>
    </row>
    <row r="1048" spans="1:21" x14ac:dyDescent="0.55000000000000004">
      <c r="A1048">
        <v>22</v>
      </c>
      <c r="B1048" s="15" t="str">
        <f t="shared" si="121"/>
        <v>22_1</v>
      </c>
      <c r="C1048" s="20">
        <v>45778.614583333336</v>
      </c>
      <c r="D1048" t="s">
        <v>175</v>
      </c>
      <c r="E1048">
        <v>2</v>
      </c>
      <c r="F1048" t="s">
        <v>115</v>
      </c>
      <c r="G1048" t="str">
        <f t="shared" si="115"/>
        <v>Paranephrops planifrons</v>
      </c>
      <c r="H1048" t="str">
        <f t="shared" si="117"/>
        <v>Freshwater_crayfish</v>
      </c>
      <c r="I1048" t="str">
        <f t="shared" si="118"/>
        <v>Kōura</v>
      </c>
      <c r="J1048" t="str">
        <f t="shared" si="119"/>
        <v>Native</v>
      </c>
      <c r="K1048" t="str">
        <f t="shared" si="120"/>
        <v>Yes</v>
      </c>
      <c r="L1048">
        <v>1</v>
      </c>
      <c r="M1048" t="s">
        <v>176</v>
      </c>
      <c r="N1048">
        <v>18</v>
      </c>
      <c r="O1048">
        <v>4</v>
      </c>
      <c r="T1048" t="str">
        <f t="shared" si="116"/>
        <v/>
      </c>
    </row>
    <row r="1049" spans="1:21" x14ac:dyDescent="0.55000000000000004">
      <c r="A1049">
        <v>22</v>
      </c>
      <c r="B1049" s="15" t="str">
        <f t="shared" si="121"/>
        <v>22_1</v>
      </c>
      <c r="C1049" s="20">
        <v>45778.614583333336</v>
      </c>
      <c r="D1049" t="s">
        <v>175</v>
      </c>
      <c r="E1049">
        <v>2</v>
      </c>
      <c r="F1049" t="s">
        <v>115</v>
      </c>
      <c r="G1049" t="str">
        <f t="shared" si="115"/>
        <v>Paranephrops planifrons</v>
      </c>
      <c r="H1049" t="str">
        <f t="shared" si="117"/>
        <v>Freshwater_crayfish</v>
      </c>
      <c r="I1049" t="str">
        <f t="shared" si="118"/>
        <v>Kōura</v>
      </c>
      <c r="J1049" t="str">
        <f t="shared" si="119"/>
        <v>Native</v>
      </c>
      <c r="K1049" t="str">
        <f t="shared" si="120"/>
        <v>Yes</v>
      </c>
      <c r="L1049">
        <v>1</v>
      </c>
      <c r="M1049" t="s">
        <v>177</v>
      </c>
      <c r="N1049">
        <v>19</v>
      </c>
      <c r="O1049">
        <v>4</v>
      </c>
      <c r="T1049" t="str">
        <f t="shared" si="116"/>
        <v/>
      </c>
    </row>
    <row r="1050" spans="1:21" x14ac:dyDescent="0.55000000000000004">
      <c r="A1050">
        <v>22</v>
      </c>
      <c r="B1050" s="15" t="str">
        <f t="shared" si="121"/>
        <v>22_1</v>
      </c>
      <c r="C1050" s="20">
        <v>45778.614583333336</v>
      </c>
      <c r="D1050" t="s">
        <v>175</v>
      </c>
      <c r="E1050">
        <v>2</v>
      </c>
      <c r="F1050" t="s">
        <v>115</v>
      </c>
      <c r="G1050" t="str">
        <f t="shared" si="115"/>
        <v>Paranephrops planifrons</v>
      </c>
      <c r="H1050" t="str">
        <f t="shared" si="117"/>
        <v>Freshwater_crayfish</v>
      </c>
      <c r="I1050" t="str">
        <f t="shared" si="118"/>
        <v>Kōura</v>
      </c>
      <c r="J1050" t="str">
        <f t="shared" si="119"/>
        <v>Native</v>
      </c>
      <c r="K1050" t="str">
        <f t="shared" si="120"/>
        <v>Yes</v>
      </c>
      <c r="L1050">
        <v>1</v>
      </c>
      <c r="M1050" t="s">
        <v>176</v>
      </c>
      <c r="N1050">
        <v>20</v>
      </c>
      <c r="O1050">
        <v>4</v>
      </c>
      <c r="T1050" t="str">
        <f t="shared" si="116"/>
        <v/>
      </c>
    </row>
    <row r="1051" spans="1:21" x14ac:dyDescent="0.55000000000000004">
      <c r="A1051">
        <v>22</v>
      </c>
      <c r="B1051" s="15" t="str">
        <f t="shared" si="121"/>
        <v>22_1</v>
      </c>
      <c r="C1051" s="20">
        <v>45778.614583333336</v>
      </c>
      <c r="D1051" t="s">
        <v>175</v>
      </c>
      <c r="E1051">
        <v>2</v>
      </c>
      <c r="F1051" t="s">
        <v>115</v>
      </c>
      <c r="G1051" t="str">
        <f t="shared" si="115"/>
        <v>Paranephrops planifrons</v>
      </c>
      <c r="H1051" t="str">
        <f t="shared" si="117"/>
        <v>Freshwater_crayfish</v>
      </c>
      <c r="I1051" t="str">
        <f t="shared" si="118"/>
        <v>Kōura</v>
      </c>
      <c r="J1051" t="str">
        <f t="shared" si="119"/>
        <v>Native</v>
      </c>
      <c r="K1051" t="str">
        <f t="shared" si="120"/>
        <v>Yes</v>
      </c>
      <c r="L1051">
        <v>1</v>
      </c>
      <c r="M1051" t="s">
        <v>176</v>
      </c>
      <c r="N1051">
        <v>29</v>
      </c>
      <c r="O1051">
        <v>15</v>
      </c>
      <c r="T1051" t="str">
        <f t="shared" si="116"/>
        <v/>
      </c>
    </row>
    <row r="1052" spans="1:21" x14ac:dyDescent="0.55000000000000004">
      <c r="A1052">
        <v>22</v>
      </c>
      <c r="B1052" s="15" t="str">
        <f t="shared" si="121"/>
        <v>22_1</v>
      </c>
      <c r="C1052" s="20">
        <v>45778.614583333336</v>
      </c>
      <c r="D1052" t="s">
        <v>175</v>
      </c>
      <c r="E1052">
        <v>2</v>
      </c>
      <c r="F1052" t="s">
        <v>115</v>
      </c>
      <c r="G1052" t="str">
        <f t="shared" si="115"/>
        <v>Paranephrops planifrons</v>
      </c>
      <c r="H1052" t="str">
        <f t="shared" si="117"/>
        <v>Freshwater_crayfish</v>
      </c>
      <c r="I1052" t="str">
        <f t="shared" si="118"/>
        <v>Kōura</v>
      </c>
      <c r="J1052" t="str">
        <f t="shared" si="119"/>
        <v>Native</v>
      </c>
      <c r="K1052" t="str">
        <f t="shared" si="120"/>
        <v>Yes</v>
      </c>
      <c r="L1052">
        <v>1</v>
      </c>
      <c r="M1052" t="s">
        <v>177</v>
      </c>
      <c r="N1052">
        <v>25</v>
      </c>
      <c r="O1052">
        <v>12</v>
      </c>
      <c r="T1052" t="str">
        <f t="shared" si="116"/>
        <v/>
      </c>
    </row>
    <row r="1053" spans="1:21" x14ac:dyDescent="0.55000000000000004">
      <c r="A1053">
        <v>22</v>
      </c>
      <c r="B1053" s="15" t="str">
        <f t="shared" si="121"/>
        <v>22_1</v>
      </c>
      <c r="C1053" s="20">
        <v>45778.614583333336</v>
      </c>
      <c r="D1053" t="s">
        <v>175</v>
      </c>
      <c r="E1053">
        <v>2</v>
      </c>
      <c r="F1053" t="s">
        <v>115</v>
      </c>
      <c r="G1053" t="str">
        <f t="shared" si="115"/>
        <v>Paranephrops planifrons</v>
      </c>
      <c r="H1053" t="str">
        <f t="shared" si="117"/>
        <v>Freshwater_crayfish</v>
      </c>
      <c r="I1053" t="str">
        <f t="shared" si="118"/>
        <v>Kōura</v>
      </c>
      <c r="J1053" t="str">
        <f t="shared" si="119"/>
        <v>Native</v>
      </c>
      <c r="K1053" t="str">
        <f t="shared" si="120"/>
        <v>Yes</v>
      </c>
      <c r="L1053">
        <v>1</v>
      </c>
      <c r="M1053" t="s">
        <v>177</v>
      </c>
      <c r="N1053">
        <v>22</v>
      </c>
      <c r="O1053">
        <v>10</v>
      </c>
      <c r="P1053">
        <v>1</v>
      </c>
      <c r="T1053" t="str">
        <f t="shared" si="116"/>
        <v/>
      </c>
    </row>
    <row r="1054" spans="1:21" x14ac:dyDescent="0.55000000000000004">
      <c r="A1054">
        <v>3</v>
      </c>
      <c r="B1054" s="15" t="str">
        <f t="shared" ref="B1054:B1117" si="122">A1054 &amp; "_2"</f>
        <v>3_2</v>
      </c>
      <c r="C1054" s="20">
        <v>45855.583333333336</v>
      </c>
      <c r="D1054" t="s">
        <v>174</v>
      </c>
      <c r="E1054">
        <v>2</v>
      </c>
      <c r="F1054" t="s">
        <v>135</v>
      </c>
      <c r="G1054" t="str">
        <f t="shared" si="115"/>
        <v>Gobiomorphus cotidianus</v>
      </c>
      <c r="H1054" t="str">
        <f t="shared" si="117"/>
        <v>Common_bully</v>
      </c>
      <c r="I1054" t="str">
        <f t="shared" si="118"/>
        <v>Toitoi</v>
      </c>
      <c r="J1054" t="str">
        <f t="shared" si="119"/>
        <v>Native</v>
      </c>
      <c r="K1054" t="str">
        <f t="shared" si="120"/>
        <v>No</v>
      </c>
      <c r="L1054">
        <v>1</v>
      </c>
      <c r="O1054">
        <v>1</v>
      </c>
      <c r="T1054" t="str">
        <f t="shared" si="116"/>
        <v/>
      </c>
    </row>
    <row r="1055" spans="1:21" x14ac:dyDescent="0.55000000000000004">
      <c r="A1055">
        <v>3</v>
      </c>
      <c r="B1055" s="15" t="str">
        <f t="shared" si="122"/>
        <v>3_2</v>
      </c>
      <c r="C1055" s="20">
        <v>45855.583333333336</v>
      </c>
      <c r="D1055" t="s">
        <v>175</v>
      </c>
      <c r="E1055">
        <v>1</v>
      </c>
      <c r="F1055" t="s">
        <v>127</v>
      </c>
      <c r="G1055" t="str">
        <f t="shared" si="115"/>
        <v>Galaxias brevipinnis</v>
      </c>
      <c r="H1055" t="str">
        <f t="shared" si="117"/>
        <v>Climbing_galaxias</v>
      </c>
      <c r="I1055" t="str">
        <f t="shared" si="118"/>
        <v>Kōaro</v>
      </c>
      <c r="J1055" t="str">
        <f t="shared" si="119"/>
        <v>Native</v>
      </c>
      <c r="K1055" t="str">
        <f t="shared" si="120"/>
        <v>Yes</v>
      </c>
      <c r="L1055">
        <v>1</v>
      </c>
      <c r="N1055">
        <v>95</v>
      </c>
      <c r="O1055">
        <v>6</v>
      </c>
      <c r="T1055" t="str">
        <f t="shared" si="116"/>
        <v/>
      </c>
    </row>
    <row r="1056" spans="1:21" x14ac:dyDescent="0.55000000000000004">
      <c r="A1056">
        <v>3</v>
      </c>
      <c r="B1056" s="15" t="str">
        <f t="shared" si="122"/>
        <v>3_2</v>
      </c>
      <c r="C1056" s="20">
        <v>45855.583333333336</v>
      </c>
      <c r="D1056" t="s">
        <v>175</v>
      </c>
      <c r="E1056">
        <v>1</v>
      </c>
      <c r="F1056" t="s">
        <v>127</v>
      </c>
      <c r="G1056" t="str">
        <f t="shared" si="115"/>
        <v>Galaxias brevipinnis</v>
      </c>
      <c r="H1056" t="str">
        <f t="shared" si="117"/>
        <v>Climbing_galaxias</v>
      </c>
      <c r="I1056" t="str">
        <f t="shared" si="118"/>
        <v>Kōaro</v>
      </c>
      <c r="J1056" t="str">
        <f t="shared" si="119"/>
        <v>Native</v>
      </c>
      <c r="K1056" t="str">
        <f t="shared" si="120"/>
        <v>Yes</v>
      </c>
      <c r="L1056">
        <v>1</v>
      </c>
      <c r="N1056">
        <v>95</v>
      </c>
      <c r="O1056">
        <v>9</v>
      </c>
      <c r="T1056" t="str">
        <f t="shared" si="116"/>
        <v/>
      </c>
    </row>
    <row r="1057" spans="1:21" x14ac:dyDescent="0.55000000000000004">
      <c r="A1057">
        <v>3</v>
      </c>
      <c r="B1057" s="15" t="str">
        <f t="shared" si="122"/>
        <v>3_2</v>
      </c>
      <c r="C1057" s="20">
        <v>45855.583333333336</v>
      </c>
      <c r="D1057" t="s">
        <v>175</v>
      </c>
      <c r="E1057">
        <v>1</v>
      </c>
      <c r="F1057" t="s">
        <v>127</v>
      </c>
      <c r="G1057" t="str">
        <f t="shared" si="115"/>
        <v>Galaxias brevipinnis</v>
      </c>
      <c r="H1057" t="str">
        <f t="shared" si="117"/>
        <v>Climbing_galaxias</v>
      </c>
      <c r="I1057" t="str">
        <f t="shared" si="118"/>
        <v>Kōaro</v>
      </c>
      <c r="J1057" t="str">
        <f t="shared" si="119"/>
        <v>Native</v>
      </c>
      <c r="K1057" t="str">
        <f t="shared" si="120"/>
        <v>Yes</v>
      </c>
      <c r="L1057">
        <v>1</v>
      </c>
      <c r="N1057">
        <v>110</v>
      </c>
      <c r="O1057">
        <v>12</v>
      </c>
      <c r="T1057" t="str">
        <f t="shared" si="116"/>
        <v/>
      </c>
    </row>
    <row r="1058" spans="1:21" x14ac:dyDescent="0.55000000000000004">
      <c r="A1058">
        <v>3</v>
      </c>
      <c r="B1058" s="15" t="str">
        <f t="shared" si="122"/>
        <v>3_2</v>
      </c>
      <c r="C1058" s="20">
        <v>45855.583333333336</v>
      </c>
      <c r="D1058" t="s">
        <v>175</v>
      </c>
      <c r="E1058">
        <v>1</v>
      </c>
      <c r="F1058" t="s">
        <v>127</v>
      </c>
      <c r="G1058" t="str">
        <f t="shared" si="115"/>
        <v>Galaxias brevipinnis</v>
      </c>
      <c r="H1058" t="str">
        <f t="shared" si="117"/>
        <v>Climbing_galaxias</v>
      </c>
      <c r="I1058" t="str">
        <f t="shared" si="118"/>
        <v>Kōaro</v>
      </c>
      <c r="J1058" t="str">
        <f t="shared" si="119"/>
        <v>Native</v>
      </c>
      <c r="K1058" t="str">
        <f t="shared" si="120"/>
        <v>Yes</v>
      </c>
      <c r="L1058">
        <v>1</v>
      </c>
      <c r="N1058">
        <v>95</v>
      </c>
      <c r="O1058">
        <v>10</v>
      </c>
      <c r="T1058" t="str">
        <f t="shared" si="116"/>
        <v/>
      </c>
    </row>
    <row r="1059" spans="1:21" x14ac:dyDescent="0.55000000000000004">
      <c r="A1059">
        <v>3</v>
      </c>
      <c r="B1059" s="15" t="str">
        <f t="shared" si="122"/>
        <v>3_2</v>
      </c>
      <c r="C1059" s="20">
        <v>45855.583333333336</v>
      </c>
      <c r="D1059" t="s">
        <v>175</v>
      </c>
      <c r="E1059">
        <v>1</v>
      </c>
      <c r="F1059" t="s">
        <v>127</v>
      </c>
      <c r="G1059" t="str">
        <f t="shared" si="115"/>
        <v>Galaxias brevipinnis</v>
      </c>
      <c r="H1059" t="str">
        <f t="shared" si="117"/>
        <v>Climbing_galaxias</v>
      </c>
      <c r="I1059" t="str">
        <f t="shared" si="118"/>
        <v>Kōaro</v>
      </c>
      <c r="J1059" t="str">
        <f t="shared" si="119"/>
        <v>Native</v>
      </c>
      <c r="K1059" t="str">
        <f t="shared" si="120"/>
        <v>Yes</v>
      </c>
      <c r="L1059">
        <v>1</v>
      </c>
      <c r="N1059">
        <v>100</v>
      </c>
      <c r="O1059">
        <v>9</v>
      </c>
      <c r="T1059" t="str">
        <f t="shared" si="116"/>
        <v/>
      </c>
    </row>
    <row r="1060" spans="1:21" x14ac:dyDescent="0.55000000000000004">
      <c r="A1060">
        <v>3</v>
      </c>
      <c r="B1060" s="15" t="str">
        <f t="shared" si="122"/>
        <v>3_2</v>
      </c>
      <c r="C1060" s="20">
        <v>45855.583333333336</v>
      </c>
      <c r="D1060" t="s">
        <v>175</v>
      </c>
      <c r="E1060">
        <v>1</v>
      </c>
      <c r="F1060" t="s">
        <v>127</v>
      </c>
      <c r="G1060" t="str">
        <f t="shared" si="115"/>
        <v>Galaxias brevipinnis</v>
      </c>
      <c r="H1060" t="str">
        <f t="shared" si="117"/>
        <v>Climbing_galaxias</v>
      </c>
      <c r="I1060" t="str">
        <f t="shared" si="118"/>
        <v>Kōaro</v>
      </c>
      <c r="J1060" t="str">
        <f t="shared" si="119"/>
        <v>Native</v>
      </c>
      <c r="K1060" t="str">
        <f t="shared" si="120"/>
        <v>Yes</v>
      </c>
      <c r="L1060">
        <v>1</v>
      </c>
      <c r="N1060">
        <v>110</v>
      </c>
      <c r="O1060">
        <v>13</v>
      </c>
      <c r="T1060" t="str">
        <f t="shared" si="116"/>
        <v/>
      </c>
    </row>
    <row r="1061" spans="1:21" x14ac:dyDescent="0.55000000000000004">
      <c r="A1061">
        <v>3</v>
      </c>
      <c r="B1061" s="15" t="str">
        <f t="shared" si="122"/>
        <v>3_2</v>
      </c>
      <c r="C1061" s="20">
        <v>45855.583333333336</v>
      </c>
      <c r="D1061" t="s">
        <v>175</v>
      </c>
      <c r="E1061">
        <v>1</v>
      </c>
      <c r="F1061" t="s">
        <v>127</v>
      </c>
      <c r="G1061" t="str">
        <f t="shared" si="115"/>
        <v>Galaxias brevipinnis</v>
      </c>
      <c r="H1061" t="str">
        <f t="shared" si="117"/>
        <v>Climbing_galaxias</v>
      </c>
      <c r="I1061" t="str">
        <f t="shared" si="118"/>
        <v>Kōaro</v>
      </c>
      <c r="J1061" t="str">
        <f t="shared" si="119"/>
        <v>Native</v>
      </c>
      <c r="K1061" t="str">
        <f t="shared" si="120"/>
        <v>Yes</v>
      </c>
      <c r="L1061">
        <v>1</v>
      </c>
      <c r="N1061">
        <v>85</v>
      </c>
      <c r="O1061">
        <v>7</v>
      </c>
      <c r="T1061" t="str">
        <f t="shared" si="116"/>
        <v/>
      </c>
    </row>
    <row r="1062" spans="1:21" x14ac:dyDescent="0.55000000000000004">
      <c r="A1062">
        <v>3</v>
      </c>
      <c r="B1062" s="15" t="str">
        <f t="shared" si="122"/>
        <v>3_2</v>
      </c>
      <c r="C1062" s="20">
        <v>45855.583333333336</v>
      </c>
      <c r="D1062" t="s">
        <v>175</v>
      </c>
      <c r="E1062">
        <v>1</v>
      </c>
      <c r="F1062" t="s">
        <v>127</v>
      </c>
      <c r="G1062" t="str">
        <f t="shared" ref="G1062:G1125" si="123">VLOOKUP($F1062, $W$1:$AB$10, 2, FALSE)</f>
        <v>Galaxias brevipinnis</v>
      </c>
      <c r="H1062" t="str">
        <f t="shared" si="117"/>
        <v>Climbing_galaxias</v>
      </c>
      <c r="I1062" t="str">
        <f t="shared" si="118"/>
        <v>Kōaro</v>
      </c>
      <c r="J1062" t="str">
        <f t="shared" si="119"/>
        <v>Native</v>
      </c>
      <c r="K1062" t="str">
        <f t="shared" si="120"/>
        <v>Yes</v>
      </c>
      <c r="L1062">
        <v>1</v>
      </c>
      <c r="N1062">
        <v>100</v>
      </c>
      <c r="O1062">
        <v>7</v>
      </c>
      <c r="T1062" t="str">
        <f t="shared" si="116"/>
        <v/>
      </c>
    </row>
    <row r="1063" spans="1:21" x14ac:dyDescent="0.55000000000000004">
      <c r="A1063">
        <v>3</v>
      </c>
      <c r="B1063" s="15" t="str">
        <f t="shared" si="122"/>
        <v>3_2</v>
      </c>
      <c r="C1063" s="20">
        <v>45855.583333333336</v>
      </c>
      <c r="D1063" t="s">
        <v>175</v>
      </c>
      <c r="E1063">
        <v>1</v>
      </c>
      <c r="F1063" t="s">
        <v>127</v>
      </c>
      <c r="G1063" t="str">
        <f t="shared" si="123"/>
        <v>Galaxias brevipinnis</v>
      </c>
      <c r="H1063" t="str">
        <f t="shared" si="117"/>
        <v>Climbing_galaxias</v>
      </c>
      <c r="I1063" t="str">
        <f t="shared" si="118"/>
        <v>Kōaro</v>
      </c>
      <c r="J1063" t="str">
        <f t="shared" si="119"/>
        <v>Native</v>
      </c>
      <c r="K1063" t="str">
        <f t="shared" si="120"/>
        <v>Yes</v>
      </c>
      <c r="L1063">
        <v>1</v>
      </c>
      <c r="N1063">
        <v>83</v>
      </c>
      <c r="O1063">
        <v>4</v>
      </c>
      <c r="T1063" t="str">
        <f t="shared" si="116"/>
        <v/>
      </c>
    </row>
    <row r="1064" spans="1:21" x14ac:dyDescent="0.55000000000000004">
      <c r="A1064">
        <v>3</v>
      </c>
      <c r="B1064" s="15" t="str">
        <f t="shared" si="122"/>
        <v>3_2</v>
      </c>
      <c r="C1064" s="20">
        <v>45855.583333333336</v>
      </c>
      <c r="D1064" t="s">
        <v>175</v>
      </c>
      <c r="E1064">
        <v>1</v>
      </c>
      <c r="F1064" t="s">
        <v>127</v>
      </c>
      <c r="G1064" t="str">
        <f t="shared" si="123"/>
        <v>Galaxias brevipinnis</v>
      </c>
      <c r="H1064" t="str">
        <f t="shared" si="117"/>
        <v>Climbing_galaxias</v>
      </c>
      <c r="I1064" t="str">
        <f t="shared" si="118"/>
        <v>Kōaro</v>
      </c>
      <c r="J1064" t="str">
        <f t="shared" si="119"/>
        <v>Native</v>
      </c>
      <c r="K1064" t="str">
        <f t="shared" si="120"/>
        <v>Yes</v>
      </c>
      <c r="L1064">
        <v>1</v>
      </c>
      <c r="N1064">
        <v>95</v>
      </c>
      <c r="O1064">
        <v>8</v>
      </c>
      <c r="T1064" t="str">
        <f t="shared" si="116"/>
        <v/>
      </c>
    </row>
    <row r="1065" spans="1:21" x14ac:dyDescent="0.55000000000000004">
      <c r="A1065">
        <v>3</v>
      </c>
      <c r="B1065" s="15" t="str">
        <f t="shared" si="122"/>
        <v>3_2</v>
      </c>
      <c r="C1065" s="20">
        <v>45855.583333333336</v>
      </c>
      <c r="D1065" t="s">
        <v>175</v>
      </c>
      <c r="E1065">
        <v>1</v>
      </c>
      <c r="F1065" t="s">
        <v>127</v>
      </c>
      <c r="G1065" t="str">
        <f t="shared" si="123"/>
        <v>Galaxias brevipinnis</v>
      </c>
      <c r="H1065" t="str">
        <f t="shared" si="117"/>
        <v>Climbing_galaxias</v>
      </c>
      <c r="I1065" t="str">
        <f t="shared" si="118"/>
        <v>Kōaro</v>
      </c>
      <c r="J1065" t="str">
        <f t="shared" si="119"/>
        <v>Native</v>
      </c>
      <c r="K1065" t="str">
        <f t="shared" si="120"/>
        <v>Yes</v>
      </c>
      <c r="L1065">
        <v>1</v>
      </c>
      <c r="N1065">
        <v>93</v>
      </c>
      <c r="O1065">
        <v>8</v>
      </c>
      <c r="T1065" t="str">
        <f t="shared" si="116"/>
        <v/>
      </c>
    </row>
    <row r="1066" spans="1:21" x14ac:dyDescent="0.55000000000000004">
      <c r="A1066">
        <v>3</v>
      </c>
      <c r="B1066" s="15" t="str">
        <f t="shared" si="122"/>
        <v>3_2</v>
      </c>
      <c r="C1066" s="20">
        <v>45855.583333333336</v>
      </c>
      <c r="D1066" t="s">
        <v>175</v>
      </c>
      <c r="E1066">
        <v>1</v>
      </c>
      <c r="F1066" t="s">
        <v>127</v>
      </c>
      <c r="G1066" t="str">
        <f t="shared" si="123"/>
        <v>Galaxias brevipinnis</v>
      </c>
      <c r="H1066" t="str">
        <f t="shared" si="117"/>
        <v>Climbing_galaxias</v>
      </c>
      <c r="I1066" t="str">
        <f t="shared" si="118"/>
        <v>Kōaro</v>
      </c>
      <c r="J1066" t="str">
        <f t="shared" si="119"/>
        <v>Native</v>
      </c>
      <c r="K1066" t="str">
        <f t="shared" si="120"/>
        <v>Yes</v>
      </c>
      <c r="L1066">
        <v>1</v>
      </c>
      <c r="N1066">
        <v>97</v>
      </c>
      <c r="O1066">
        <v>9</v>
      </c>
      <c r="T1066" t="str">
        <f t="shared" si="116"/>
        <v/>
      </c>
    </row>
    <row r="1067" spans="1:21" x14ac:dyDescent="0.55000000000000004">
      <c r="A1067">
        <v>3</v>
      </c>
      <c r="B1067" s="15" t="str">
        <f t="shared" si="122"/>
        <v>3_2</v>
      </c>
      <c r="C1067" s="20">
        <v>45855.583333333336</v>
      </c>
      <c r="D1067" t="s">
        <v>175</v>
      </c>
      <c r="E1067">
        <v>1</v>
      </c>
      <c r="F1067" t="s">
        <v>133</v>
      </c>
      <c r="G1067" t="str">
        <f t="shared" si="123"/>
        <v>Retropinna retropinna</v>
      </c>
      <c r="H1067" t="str">
        <f t="shared" si="117"/>
        <v>Common_smelt</v>
      </c>
      <c r="I1067" t="str">
        <f t="shared" si="118"/>
        <v>Common_smelt</v>
      </c>
      <c r="J1067" t="str">
        <f t="shared" si="119"/>
        <v>Native</v>
      </c>
      <c r="K1067" t="str">
        <f t="shared" si="120"/>
        <v>No</v>
      </c>
      <c r="L1067">
        <v>4</v>
      </c>
      <c r="O1067">
        <v>4</v>
      </c>
      <c r="T1067" t="str">
        <f t="shared" si="116"/>
        <v/>
      </c>
    </row>
    <row r="1068" spans="1:21" x14ac:dyDescent="0.55000000000000004">
      <c r="A1068">
        <v>3</v>
      </c>
      <c r="B1068" s="15" t="str">
        <f t="shared" si="122"/>
        <v>3_2</v>
      </c>
      <c r="C1068" s="20">
        <v>45855.583333333336</v>
      </c>
      <c r="D1068" t="s">
        <v>175</v>
      </c>
      <c r="E1068">
        <v>1</v>
      </c>
      <c r="F1068" t="s">
        <v>135</v>
      </c>
      <c r="G1068" t="str">
        <f t="shared" si="123"/>
        <v>Gobiomorphus cotidianus</v>
      </c>
      <c r="H1068" t="str">
        <f t="shared" si="117"/>
        <v>Common_bully</v>
      </c>
      <c r="I1068" t="str">
        <f t="shared" si="118"/>
        <v>Toitoi</v>
      </c>
      <c r="J1068" t="str">
        <f t="shared" si="119"/>
        <v>Native</v>
      </c>
      <c r="K1068" t="str">
        <f t="shared" si="120"/>
        <v>No</v>
      </c>
      <c r="O1068">
        <v>453</v>
      </c>
      <c r="S1068">
        <v>2.5</v>
      </c>
      <c r="T1068">
        <f t="shared" si="116"/>
        <v>591.47</v>
      </c>
    </row>
    <row r="1069" spans="1:21" x14ac:dyDescent="0.55000000000000004">
      <c r="A1069">
        <v>4</v>
      </c>
      <c r="B1069" s="15" t="str">
        <f t="shared" si="122"/>
        <v>4_2</v>
      </c>
      <c r="C1069" s="20">
        <v>45855.572916666664</v>
      </c>
      <c r="D1069" t="s">
        <v>174</v>
      </c>
      <c r="E1069">
        <v>2</v>
      </c>
      <c r="F1069" t="s">
        <v>135</v>
      </c>
      <c r="G1069" t="str">
        <f t="shared" si="123"/>
        <v>Gobiomorphus cotidianus</v>
      </c>
      <c r="H1069" t="str">
        <f t="shared" si="117"/>
        <v>Common_bully</v>
      </c>
      <c r="I1069" t="str">
        <f t="shared" si="118"/>
        <v>Toitoi</v>
      </c>
      <c r="J1069" t="str">
        <f t="shared" si="119"/>
        <v>Native</v>
      </c>
      <c r="K1069" t="str">
        <f t="shared" si="120"/>
        <v>No</v>
      </c>
      <c r="L1069">
        <v>5</v>
      </c>
      <c r="O1069">
        <v>3</v>
      </c>
      <c r="T1069" t="str">
        <f t="shared" si="116"/>
        <v/>
      </c>
      <c r="U1069" t="s">
        <v>319</v>
      </c>
    </row>
    <row r="1070" spans="1:21" x14ac:dyDescent="0.55000000000000004">
      <c r="A1070">
        <v>4</v>
      </c>
      <c r="B1070" s="15" t="str">
        <f t="shared" si="122"/>
        <v>4_2</v>
      </c>
      <c r="C1070" s="20">
        <v>45855.572916666664</v>
      </c>
      <c r="D1070" t="s">
        <v>175</v>
      </c>
      <c r="E1070">
        <v>2</v>
      </c>
      <c r="F1070" t="s">
        <v>115</v>
      </c>
      <c r="G1070" t="str">
        <f t="shared" si="123"/>
        <v>Paranephrops planifrons</v>
      </c>
      <c r="H1070" t="str">
        <f t="shared" si="117"/>
        <v>Freshwater_crayfish</v>
      </c>
      <c r="I1070" t="str">
        <f t="shared" si="118"/>
        <v>Kōura</v>
      </c>
      <c r="J1070" t="str">
        <f t="shared" si="119"/>
        <v>Native</v>
      </c>
      <c r="K1070" t="str">
        <f t="shared" si="120"/>
        <v>Yes</v>
      </c>
      <c r="L1070">
        <v>1</v>
      </c>
      <c r="M1070" t="s">
        <v>176</v>
      </c>
      <c r="N1070">
        <v>31</v>
      </c>
      <c r="O1070">
        <v>22</v>
      </c>
      <c r="T1070" t="str">
        <f t="shared" si="116"/>
        <v/>
      </c>
      <c r="U1070" t="s">
        <v>320</v>
      </c>
    </row>
    <row r="1071" spans="1:21" x14ac:dyDescent="0.55000000000000004">
      <c r="A1071">
        <v>4</v>
      </c>
      <c r="B1071" s="15" t="str">
        <f t="shared" si="122"/>
        <v>4_2</v>
      </c>
      <c r="C1071" s="20">
        <v>45855.572916666664</v>
      </c>
      <c r="D1071" t="s">
        <v>175</v>
      </c>
      <c r="E1071">
        <v>2</v>
      </c>
      <c r="F1071" t="s">
        <v>115</v>
      </c>
      <c r="G1071" t="str">
        <f t="shared" si="123"/>
        <v>Paranephrops planifrons</v>
      </c>
      <c r="H1071" t="str">
        <f t="shared" si="117"/>
        <v>Freshwater_crayfish</v>
      </c>
      <c r="I1071" t="str">
        <f t="shared" si="118"/>
        <v>Kōura</v>
      </c>
      <c r="J1071" t="str">
        <f t="shared" si="119"/>
        <v>Native</v>
      </c>
      <c r="K1071" t="str">
        <f t="shared" si="120"/>
        <v>Yes</v>
      </c>
      <c r="L1071">
        <v>1</v>
      </c>
      <c r="M1071" t="s">
        <v>176</v>
      </c>
      <c r="N1071">
        <v>21</v>
      </c>
      <c r="O1071">
        <v>13</v>
      </c>
      <c r="Q1071">
        <v>1</v>
      </c>
      <c r="T1071" t="str">
        <f t="shared" si="116"/>
        <v/>
      </c>
      <c r="U1071" t="s">
        <v>320</v>
      </c>
    </row>
    <row r="1072" spans="1:21" x14ac:dyDescent="0.55000000000000004">
      <c r="A1072">
        <v>4</v>
      </c>
      <c r="B1072" s="15" t="str">
        <f t="shared" si="122"/>
        <v>4_2</v>
      </c>
      <c r="C1072" s="20">
        <v>45855.572916666664</v>
      </c>
      <c r="D1072" t="s">
        <v>175</v>
      </c>
      <c r="E1072">
        <v>2</v>
      </c>
      <c r="F1072" t="s">
        <v>127</v>
      </c>
      <c r="G1072" t="str">
        <f t="shared" si="123"/>
        <v>Galaxias brevipinnis</v>
      </c>
      <c r="H1072" t="str">
        <f t="shared" si="117"/>
        <v>Climbing_galaxias</v>
      </c>
      <c r="I1072" t="str">
        <f t="shared" si="118"/>
        <v>Kōaro</v>
      </c>
      <c r="J1072" t="str">
        <f t="shared" si="119"/>
        <v>Native</v>
      </c>
      <c r="K1072" t="str">
        <f t="shared" si="120"/>
        <v>Yes</v>
      </c>
      <c r="L1072">
        <v>1</v>
      </c>
      <c r="N1072">
        <v>185</v>
      </c>
      <c r="O1072">
        <v>81</v>
      </c>
      <c r="T1072" t="str">
        <f t="shared" si="116"/>
        <v/>
      </c>
      <c r="U1072" t="s">
        <v>320</v>
      </c>
    </row>
    <row r="1073" spans="1:21" x14ac:dyDescent="0.55000000000000004">
      <c r="A1073">
        <v>4</v>
      </c>
      <c r="B1073" s="15" t="str">
        <f t="shared" si="122"/>
        <v>4_2</v>
      </c>
      <c r="C1073" s="20">
        <v>45855.572916666664</v>
      </c>
      <c r="D1073" t="s">
        <v>175</v>
      </c>
      <c r="E1073">
        <v>2</v>
      </c>
      <c r="F1073" t="s">
        <v>127</v>
      </c>
      <c r="G1073" t="str">
        <f t="shared" si="123"/>
        <v>Galaxias brevipinnis</v>
      </c>
      <c r="H1073" t="str">
        <f t="shared" si="117"/>
        <v>Climbing_galaxias</v>
      </c>
      <c r="I1073" t="str">
        <f t="shared" si="118"/>
        <v>Kōaro</v>
      </c>
      <c r="J1073" t="str">
        <f t="shared" si="119"/>
        <v>Native</v>
      </c>
      <c r="K1073" t="str">
        <f t="shared" si="120"/>
        <v>Yes</v>
      </c>
      <c r="L1073">
        <v>1</v>
      </c>
      <c r="N1073">
        <v>50</v>
      </c>
      <c r="O1073">
        <v>1</v>
      </c>
      <c r="T1073" t="str">
        <f t="shared" si="116"/>
        <v/>
      </c>
      <c r="U1073" t="s">
        <v>320</v>
      </c>
    </row>
    <row r="1074" spans="1:21" x14ac:dyDescent="0.55000000000000004">
      <c r="A1074">
        <v>4</v>
      </c>
      <c r="B1074" s="15" t="str">
        <f t="shared" si="122"/>
        <v>4_2</v>
      </c>
      <c r="C1074" s="20">
        <v>45855.572916666664</v>
      </c>
      <c r="D1074" t="s">
        <v>175</v>
      </c>
      <c r="E1074">
        <v>2</v>
      </c>
      <c r="F1074" t="s">
        <v>135</v>
      </c>
      <c r="G1074" t="str">
        <f t="shared" si="123"/>
        <v>Gobiomorphus cotidianus</v>
      </c>
      <c r="H1074" t="str">
        <f t="shared" si="117"/>
        <v>Common_bully</v>
      </c>
      <c r="I1074" t="str">
        <f t="shared" si="118"/>
        <v>Toitoi</v>
      </c>
      <c r="J1074" t="str">
        <f t="shared" si="119"/>
        <v>Native</v>
      </c>
      <c r="K1074" t="str">
        <f t="shared" si="120"/>
        <v>No</v>
      </c>
      <c r="O1074">
        <v>239</v>
      </c>
      <c r="S1074">
        <v>1.5</v>
      </c>
      <c r="T1074">
        <f t="shared" si="116"/>
        <v>354.88200000000001</v>
      </c>
      <c r="U1074" t="s">
        <v>320</v>
      </c>
    </row>
    <row r="1075" spans="1:21" x14ac:dyDescent="0.55000000000000004">
      <c r="A1075">
        <v>5</v>
      </c>
      <c r="B1075" s="15" t="str">
        <f t="shared" si="122"/>
        <v>5_2</v>
      </c>
      <c r="C1075" s="20">
        <v>45855.479166666664</v>
      </c>
      <c r="D1075" t="s">
        <v>174</v>
      </c>
      <c r="E1075">
        <v>2</v>
      </c>
      <c r="F1075" t="s">
        <v>135</v>
      </c>
      <c r="G1075" t="str">
        <f t="shared" si="123"/>
        <v>Gobiomorphus cotidianus</v>
      </c>
      <c r="H1075" t="str">
        <f t="shared" si="117"/>
        <v>Common_bully</v>
      </c>
      <c r="I1075" t="str">
        <f t="shared" si="118"/>
        <v>Toitoi</v>
      </c>
      <c r="J1075" t="str">
        <f t="shared" si="119"/>
        <v>Native</v>
      </c>
      <c r="K1075" t="str">
        <f t="shared" si="120"/>
        <v>No</v>
      </c>
      <c r="L1075">
        <v>20</v>
      </c>
      <c r="O1075">
        <v>29</v>
      </c>
      <c r="T1075" t="str">
        <f t="shared" si="116"/>
        <v/>
      </c>
    </row>
    <row r="1076" spans="1:21" x14ac:dyDescent="0.55000000000000004">
      <c r="A1076">
        <v>5</v>
      </c>
      <c r="B1076" s="15" t="str">
        <f t="shared" si="122"/>
        <v>5_2</v>
      </c>
      <c r="C1076" s="20">
        <v>45855.479166666664</v>
      </c>
      <c r="D1076" t="s">
        <v>175</v>
      </c>
      <c r="E1076">
        <v>2</v>
      </c>
      <c r="F1076" t="s">
        <v>133</v>
      </c>
      <c r="G1076" t="str">
        <f t="shared" si="123"/>
        <v>Retropinna retropinna</v>
      </c>
      <c r="H1076" t="str">
        <f t="shared" si="117"/>
        <v>Common_smelt</v>
      </c>
      <c r="I1076" t="str">
        <f t="shared" si="118"/>
        <v>Common_smelt</v>
      </c>
      <c r="J1076" t="str">
        <f t="shared" si="119"/>
        <v>Native</v>
      </c>
      <c r="K1076" t="str">
        <f t="shared" si="120"/>
        <v>No</v>
      </c>
      <c r="L1076">
        <v>26</v>
      </c>
      <c r="O1076">
        <v>19</v>
      </c>
      <c r="T1076" t="str">
        <f t="shared" ref="T1076:T1139" si="124">IF(S1076&lt;&gt;"", S1076*236.588, "")</f>
        <v/>
      </c>
    </row>
    <row r="1077" spans="1:21" x14ac:dyDescent="0.55000000000000004">
      <c r="A1077">
        <v>5</v>
      </c>
      <c r="B1077" s="15" t="str">
        <f t="shared" si="122"/>
        <v>5_2</v>
      </c>
      <c r="C1077" s="20">
        <v>45855.479166666664</v>
      </c>
      <c r="D1077" t="s">
        <v>175</v>
      </c>
      <c r="E1077">
        <v>2</v>
      </c>
      <c r="F1077" t="s">
        <v>127</v>
      </c>
      <c r="G1077" t="str">
        <f t="shared" si="123"/>
        <v>Galaxias brevipinnis</v>
      </c>
      <c r="H1077" t="str">
        <f t="shared" si="117"/>
        <v>Climbing_galaxias</v>
      </c>
      <c r="I1077" t="str">
        <f t="shared" si="118"/>
        <v>Kōaro</v>
      </c>
      <c r="J1077" t="str">
        <f t="shared" si="119"/>
        <v>Native</v>
      </c>
      <c r="K1077" t="str">
        <f t="shared" si="120"/>
        <v>Yes</v>
      </c>
      <c r="L1077">
        <v>1</v>
      </c>
      <c r="N1077">
        <v>55</v>
      </c>
      <c r="O1077">
        <v>3</v>
      </c>
      <c r="T1077" t="str">
        <f t="shared" si="124"/>
        <v/>
      </c>
    </row>
    <row r="1078" spans="1:21" x14ac:dyDescent="0.55000000000000004">
      <c r="A1078">
        <v>5</v>
      </c>
      <c r="B1078" s="15" t="str">
        <f t="shared" si="122"/>
        <v>5_2</v>
      </c>
      <c r="C1078" s="20">
        <v>45855.479166666664</v>
      </c>
      <c r="D1078" t="s">
        <v>175</v>
      </c>
      <c r="E1078">
        <v>2</v>
      </c>
      <c r="F1078" t="s">
        <v>127</v>
      </c>
      <c r="G1078" t="str">
        <f t="shared" si="123"/>
        <v>Galaxias brevipinnis</v>
      </c>
      <c r="H1078" t="str">
        <f t="shared" si="117"/>
        <v>Climbing_galaxias</v>
      </c>
      <c r="I1078" t="str">
        <f t="shared" si="118"/>
        <v>Kōaro</v>
      </c>
      <c r="J1078" t="str">
        <f t="shared" si="119"/>
        <v>Native</v>
      </c>
      <c r="K1078" t="str">
        <f t="shared" si="120"/>
        <v>Yes</v>
      </c>
      <c r="L1078">
        <v>1</v>
      </c>
      <c r="N1078">
        <v>75</v>
      </c>
      <c r="O1078">
        <v>3</v>
      </c>
      <c r="T1078" t="str">
        <f t="shared" si="124"/>
        <v/>
      </c>
    </row>
    <row r="1079" spans="1:21" x14ac:dyDescent="0.55000000000000004">
      <c r="A1079">
        <v>5</v>
      </c>
      <c r="B1079" s="15" t="str">
        <f t="shared" si="122"/>
        <v>5_2</v>
      </c>
      <c r="C1079" s="20">
        <v>45855.479166666664</v>
      </c>
      <c r="D1079" t="s">
        <v>175</v>
      </c>
      <c r="E1079">
        <v>2</v>
      </c>
      <c r="F1079" t="s">
        <v>127</v>
      </c>
      <c r="G1079" t="str">
        <f t="shared" si="123"/>
        <v>Galaxias brevipinnis</v>
      </c>
      <c r="H1079" t="str">
        <f t="shared" si="117"/>
        <v>Climbing_galaxias</v>
      </c>
      <c r="I1079" t="str">
        <f t="shared" si="118"/>
        <v>Kōaro</v>
      </c>
      <c r="J1079" t="str">
        <f t="shared" si="119"/>
        <v>Native</v>
      </c>
      <c r="K1079" t="str">
        <f t="shared" si="120"/>
        <v>Yes</v>
      </c>
      <c r="L1079">
        <v>1</v>
      </c>
      <c r="N1079">
        <v>100</v>
      </c>
      <c r="O1079">
        <v>9</v>
      </c>
      <c r="T1079" t="str">
        <f t="shared" si="124"/>
        <v/>
      </c>
    </row>
    <row r="1080" spans="1:21" x14ac:dyDescent="0.55000000000000004">
      <c r="A1080">
        <v>5</v>
      </c>
      <c r="B1080" s="15" t="str">
        <f t="shared" si="122"/>
        <v>5_2</v>
      </c>
      <c r="C1080" s="20">
        <v>45855.479166666664</v>
      </c>
      <c r="D1080" t="s">
        <v>175</v>
      </c>
      <c r="E1080">
        <v>2</v>
      </c>
      <c r="F1080" t="s">
        <v>127</v>
      </c>
      <c r="G1080" t="str">
        <f t="shared" si="123"/>
        <v>Galaxias brevipinnis</v>
      </c>
      <c r="H1080" t="str">
        <f t="shared" si="117"/>
        <v>Climbing_galaxias</v>
      </c>
      <c r="I1080" t="str">
        <f t="shared" si="118"/>
        <v>Kōaro</v>
      </c>
      <c r="J1080" t="str">
        <f t="shared" si="119"/>
        <v>Native</v>
      </c>
      <c r="K1080" t="str">
        <f t="shared" si="120"/>
        <v>Yes</v>
      </c>
      <c r="L1080">
        <v>1</v>
      </c>
      <c r="N1080">
        <v>90</v>
      </c>
      <c r="O1080">
        <v>8</v>
      </c>
      <c r="T1080" t="str">
        <f t="shared" si="124"/>
        <v/>
      </c>
    </row>
    <row r="1081" spans="1:21" x14ac:dyDescent="0.55000000000000004">
      <c r="A1081">
        <v>5</v>
      </c>
      <c r="B1081" s="15" t="str">
        <f t="shared" si="122"/>
        <v>5_2</v>
      </c>
      <c r="C1081" s="20">
        <v>45855.479166666664</v>
      </c>
      <c r="D1081" t="s">
        <v>175</v>
      </c>
      <c r="E1081">
        <v>2</v>
      </c>
      <c r="F1081" t="s">
        <v>135</v>
      </c>
      <c r="G1081" t="str">
        <f t="shared" si="123"/>
        <v>Gobiomorphus cotidianus</v>
      </c>
      <c r="H1081" t="str">
        <f t="shared" si="117"/>
        <v>Common_bully</v>
      </c>
      <c r="I1081" t="str">
        <f t="shared" si="118"/>
        <v>Toitoi</v>
      </c>
      <c r="J1081" t="str">
        <f t="shared" si="119"/>
        <v>Native</v>
      </c>
      <c r="K1081" t="str">
        <f t="shared" si="120"/>
        <v>No</v>
      </c>
      <c r="O1081">
        <v>506</v>
      </c>
      <c r="S1081">
        <v>2.5</v>
      </c>
      <c r="T1081">
        <f t="shared" si="124"/>
        <v>591.47</v>
      </c>
    </row>
    <row r="1082" spans="1:21" x14ac:dyDescent="0.55000000000000004">
      <c r="A1082">
        <v>5</v>
      </c>
      <c r="B1082" s="15" t="str">
        <f t="shared" si="122"/>
        <v>5_2</v>
      </c>
      <c r="C1082" s="20">
        <v>45855.479166666664</v>
      </c>
      <c r="D1082" t="s">
        <v>175</v>
      </c>
      <c r="E1082">
        <v>2</v>
      </c>
      <c r="F1082" t="s">
        <v>135</v>
      </c>
      <c r="G1082" t="str">
        <f t="shared" si="123"/>
        <v>Gobiomorphus cotidianus</v>
      </c>
      <c r="H1082" t="str">
        <f t="shared" si="117"/>
        <v>Common_bully</v>
      </c>
      <c r="I1082" t="str">
        <f t="shared" si="118"/>
        <v>Toitoi</v>
      </c>
      <c r="J1082" t="str">
        <f t="shared" si="119"/>
        <v>Native</v>
      </c>
      <c r="K1082" t="str">
        <f t="shared" si="120"/>
        <v>No</v>
      </c>
      <c r="O1082">
        <v>393</v>
      </c>
      <c r="S1082">
        <v>2</v>
      </c>
      <c r="T1082">
        <f t="shared" si="124"/>
        <v>473.17599999999999</v>
      </c>
    </row>
    <row r="1083" spans="1:21" x14ac:dyDescent="0.55000000000000004">
      <c r="A1083">
        <v>5</v>
      </c>
      <c r="B1083" s="15" t="str">
        <f t="shared" si="122"/>
        <v>5_2</v>
      </c>
      <c r="C1083" s="20">
        <v>45855.479166666664</v>
      </c>
      <c r="D1083" t="s">
        <v>175</v>
      </c>
      <c r="E1083">
        <v>2</v>
      </c>
      <c r="F1083" t="s">
        <v>124</v>
      </c>
      <c r="G1083" t="str">
        <f t="shared" si="123"/>
        <v>Carassius auratus</v>
      </c>
      <c r="H1083" t="str">
        <f t="shared" si="117"/>
        <v>Goldfish</v>
      </c>
      <c r="I1083" t="str">
        <f t="shared" si="118"/>
        <v>Morihana</v>
      </c>
      <c r="J1083" t="str">
        <f t="shared" si="119"/>
        <v>Nonnative</v>
      </c>
      <c r="K1083" t="str">
        <f t="shared" si="120"/>
        <v>No</v>
      </c>
      <c r="L1083">
        <v>1</v>
      </c>
      <c r="N1083">
        <v>33</v>
      </c>
      <c r="O1083">
        <v>1</v>
      </c>
      <c r="T1083" t="str">
        <f t="shared" si="124"/>
        <v/>
      </c>
    </row>
    <row r="1084" spans="1:21" x14ac:dyDescent="0.55000000000000004">
      <c r="A1084">
        <v>6</v>
      </c>
      <c r="B1084" s="15" t="str">
        <f t="shared" si="122"/>
        <v>6_2</v>
      </c>
      <c r="C1084" s="20">
        <v>45855.465277777781</v>
      </c>
      <c r="D1084" t="s">
        <v>174</v>
      </c>
      <c r="E1084">
        <v>2</v>
      </c>
      <c r="F1084" t="s">
        <v>135</v>
      </c>
      <c r="G1084" t="str">
        <f t="shared" si="123"/>
        <v>Gobiomorphus cotidianus</v>
      </c>
      <c r="H1084" t="str">
        <f t="shared" si="117"/>
        <v>Common_bully</v>
      </c>
      <c r="I1084" t="str">
        <f t="shared" si="118"/>
        <v>Toitoi</v>
      </c>
      <c r="J1084" t="str">
        <f t="shared" si="119"/>
        <v>Native</v>
      </c>
      <c r="K1084" t="str">
        <f t="shared" si="120"/>
        <v>No</v>
      </c>
      <c r="L1084">
        <v>7</v>
      </c>
      <c r="O1084">
        <v>5</v>
      </c>
      <c r="T1084" t="str">
        <f t="shared" si="124"/>
        <v/>
      </c>
    </row>
    <row r="1085" spans="1:21" x14ac:dyDescent="0.55000000000000004">
      <c r="A1085">
        <v>6</v>
      </c>
      <c r="B1085" s="15" t="str">
        <f t="shared" si="122"/>
        <v>6_2</v>
      </c>
      <c r="C1085" s="20">
        <v>45855.465277777781</v>
      </c>
      <c r="D1085" t="s">
        <v>175</v>
      </c>
      <c r="E1085">
        <v>2</v>
      </c>
      <c r="F1085" t="s">
        <v>130</v>
      </c>
      <c r="G1085" t="str">
        <f t="shared" si="123"/>
        <v>Oncorhynchus mykiss</v>
      </c>
      <c r="H1085" t="str">
        <f t="shared" si="117"/>
        <v>Rainbow_trout</v>
      </c>
      <c r="I1085" t="str">
        <f t="shared" si="118"/>
        <v>Rainbow_trout</v>
      </c>
      <c r="J1085" t="str">
        <f t="shared" si="119"/>
        <v>Nonnative</v>
      </c>
      <c r="K1085" t="str">
        <f t="shared" si="120"/>
        <v>No</v>
      </c>
      <c r="L1085">
        <v>1</v>
      </c>
      <c r="N1085">
        <v>450</v>
      </c>
      <c r="O1085">
        <v>600</v>
      </c>
      <c r="T1085" t="str">
        <f t="shared" si="124"/>
        <v/>
      </c>
    </row>
    <row r="1086" spans="1:21" x14ac:dyDescent="0.55000000000000004">
      <c r="A1086">
        <v>6</v>
      </c>
      <c r="B1086" s="15" t="str">
        <f t="shared" si="122"/>
        <v>6_2</v>
      </c>
      <c r="C1086" s="20">
        <v>45855.465277777781</v>
      </c>
      <c r="D1086" t="s">
        <v>175</v>
      </c>
      <c r="E1086">
        <v>2</v>
      </c>
      <c r="F1086" t="s">
        <v>127</v>
      </c>
      <c r="G1086" t="str">
        <f t="shared" si="123"/>
        <v>Galaxias brevipinnis</v>
      </c>
      <c r="H1086" t="str">
        <f t="shared" si="117"/>
        <v>Climbing_galaxias</v>
      </c>
      <c r="I1086" t="str">
        <f t="shared" si="118"/>
        <v>Kōaro</v>
      </c>
      <c r="J1086" t="str">
        <f t="shared" si="119"/>
        <v>Native</v>
      </c>
      <c r="K1086" t="str">
        <f t="shared" si="120"/>
        <v>Yes</v>
      </c>
      <c r="L1086">
        <v>1</v>
      </c>
      <c r="N1086">
        <v>80</v>
      </c>
      <c r="O1086">
        <v>5</v>
      </c>
      <c r="T1086" t="str">
        <f t="shared" si="124"/>
        <v/>
      </c>
    </row>
    <row r="1087" spans="1:21" x14ac:dyDescent="0.55000000000000004">
      <c r="A1087">
        <v>6</v>
      </c>
      <c r="B1087" s="15" t="str">
        <f t="shared" si="122"/>
        <v>6_2</v>
      </c>
      <c r="C1087" s="20">
        <v>45855.465277777781</v>
      </c>
      <c r="D1087" t="s">
        <v>175</v>
      </c>
      <c r="E1087">
        <v>2</v>
      </c>
      <c r="F1087" t="s">
        <v>133</v>
      </c>
      <c r="G1087" t="str">
        <f t="shared" si="123"/>
        <v>Retropinna retropinna</v>
      </c>
      <c r="H1087" t="str">
        <f t="shared" si="117"/>
        <v>Common_smelt</v>
      </c>
      <c r="I1087" t="str">
        <f t="shared" si="118"/>
        <v>Common_smelt</v>
      </c>
      <c r="J1087" t="str">
        <f t="shared" si="119"/>
        <v>Native</v>
      </c>
      <c r="K1087" t="str">
        <f t="shared" si="120"/>
        <v>No</v>
      </c>
      <c r="L1087">
        <v>20</v>
      </c>
      <c r="O1087">
        <v>14</v>
      </c>
      <c r="T1087" t="str">
        <f t="shared" si="124"/>
        <v/>
      </c>
    </row>
    <row r="1088" spans="1:21" x14ac:dyDescent="0.55000000000000004">
      <c r="A1088">
        <v>6</v>
      </c>
      <c r="B1088" s="15" t="str">
        <f t="shared" si="122"/>
        <v>6_2</v>
      </c>
      <c r="C1088" s="20">
        <v>45855.465277777781</v>
      </c>
      <c r="D1088" t="s">
        <v>175</v>
      </c>
      <c r="E1088">
        <v>2</v>
      </c>
      <c r="F1088" t="s">
        <v>135</v>
      </c>
      <c r="G1088" t="str">
        <f t="shared" si="123"/>
        <v>Gobiomorphus cotidianus</v>
      </c>
      <c r="H1088" t="str">
        <f t="shared" si="117"/>
        <v>Common_bully</v>
      </c>
      <c r="I1088" t="str">
        <f t="shared" si="118"/>
        <v>Toitoi</v>
      </c>
      <c r="J1088" t="str">
        <f t="shared" si="119"/>
        <v>Native</v>
      </c>
      <c r="K1088" t="str">
        <f t="shared" si="120"/>
        <v>No</v>
      </c>
      <c r="O1088">
        <v>587</v>
      </c>
      <c r="S1088">
        <v>2.5</v>
      </c>
      <c r="T1088">
        <f t="shared" si="124"/>
        <v>591.47</v>
      </c>
    </row>
    <row r="1089" spans="1:20" x14ac:dyDescent="0.55000000000000004">
      <c r="A1089">
        <v>6</v>
      </c>
      <c r="B1089" s="15" t="str">
        <f t="shared" si="122"/>
        <v>6_2</v>
      </c>
      <c r="C1089" s="20">
        <v>45855.465277777781</v>
      </c>
      <c r="D1089" t="s">
        <v>175</v>
      </c>
      <c r="E1089">
        <v>2</v>
      </c>
      <c r="F1089" t="s">
        <v>135</v>
      </c>
      <c r="G1089" t="str">
        <f t="shared" si="123"/>
        <v>Gobiomorphus cotidianus</v>
      </c>
      <c r="H1089" t="str">
        <f t="shared" ref="H1089:H1152" si="125">VLOOKUP($F1089, $W$1:$AB$10, 3, FALSE)</f>
        <v>Common_bully</v>
      </c>
      <c r="I1089" t="str">
        <f t="shared" ref="I1089:I1152" si="126">VLOOKUP($F1089, $W$1:$AB$10, 4, FALSE)</f>
        <v>Toitoi</v>
      </c>
      <c r="J1089" t="str">
        <f t="shared" ref="J1089:J1152" si="127">VLOOKUP($F1089, $W$1:$AC$10, 5, FALSE)</f>
        <v>Native</v>
      </c>
      <c r="K1089" t="str">
        <f t="shared" ref="K1089:K1152" si="128">VLOOKUP($F1089, $W$1:$AB$10, 6, FALSE)</f>
        <v>No</v>
      </c>
      <c r="O1089">
        <v>376</v>
      </c>
      <c r="S1089">
        <v>2</v>
      </c>
      <c r="T1089">
        <f t="shared" si="124"/>
        <v>473.17599999999999</v>
      </c>
    </row>
    <row r="1090" spans="1:20" x14ac:dyDescent="0.55000000000000004">
      <c r="A1090">
        <v>7</v>
      </c>
      <c r="B1090" s="15" t="str">
        <f t="shared" si="122"/>
        <v>7_2</v>
      </c>
      <c r="C1090" s="20">
        <v>45855.447916666664</v>
      </c>
      <c r="D1090" t="s">
        <v>174</v>
      </c>
      <c r="E1090">
        <v>2</v>
      </c>
      <c r="F1090" t="s">
        <v>135</v>
      </c>
      <c r="G1090" t="str">
        <f t="shared" si="123"/>
        <v>Gobiomorphus cotidianus</v>
      </c>
      <c r="H1090" t="str">
        <f t="shared" si="125"/>
        <v>Common_bully</v>
      </c>
      <c r="I1090" t="str">
        <f t="shared" si="126"/>
        <v>Toitoi</v>
      </c>
      <c r="J1090" t="str">
        <f t="shared" si="127"/>
        <v>Native</v>
      </c>
      <c r="K1090" t="str">
        <f t="shared" si="128"/>
        <v>No</v>
      </c>
      <c r="L1090">
        <v>9</v>
      </c>
      <c r="O1090">
        <v>13</v>
      </c>
      <c r="T1090" t="str">
        <f t="shared" si="124"/>
        <v/>
      </c>
    </row>
    <row r="1091" spans="1:20" x14ac:dyDescent="0.55000000000000004">
      <c r="A1091">
        <v>7</v>
      </c>
      <c r="B1091" s="15" t="str">
        <f t="shared" si="122"/>
        <v>7_2</v>
      </c>
      <c r="C1091" s="20">
        <v>45855.447916666664</v>
      </c>
      <c r="D1091" t="s">
        <v>175</v>
      </c>
      <c r="E1091">
        <v>2</v>
      </c>
      <c r="F1091" t="s">
        <v>115</v>
      </c>
      <c r="G1091" t="str">
        <f t="shared" si="123"/>
        <v>Paranephrops planifrons</v>
      </c>
      <c r="H1091" t="str">
        <f t="shared" si="125"/>
        <v>Freshwater_crayfish</v>
      </c>
      <c r="I1091" t="str">
        <f t="shared" si="126"/>
        <v>Kōura</v>
      </c>
      <c r="J1091" t="str">
        <f t="shared" si="127"/>
        <v>Native</v>
      </c>
      <c r="K1091" t="str">
        <f t="shared" si="128"/>
        <v>Yes</v>
      </c>
      <c r="L1091">
        <v>1</v>
      </c>
      <c r="M1091" t="s">
        <v>177</v>
      </c>
      <c r="O1091">
        <v>13</v>
      </c>
      <c r="T1091" t="str">
        <f t="shared" si="124"/>
        <v/>
      </c>
    </row>
    <row r="1092" spans="1:20" x14ac:dyDescent="0.55000000000000004">
      <c r="A1092">
        <v>7</v>
      </c>
      <c r="B1092" s="15" t="str">
        <f t="shared" si="122"/>
        <v>7_2</v>
      </c>
      <c r="C1092" s="20">
        <v>45855.447916666664</v>
      </c>
      <c r="D1092" t="s">
        <v>175</v>
      </c>
      <c r="E1092">
        <v>2</v>
      </c>
      <c r="F1092" t="s">
        <v>115</v>
      </c>
      <c r="G1092" t="str">
        <f t="shared" si="123"/>
        <v>Paranephrops planifrons</v>
      </c>
      <c r="H1092" t="str">
        <f t="shared" si="125"/>
        <v>Freshwater_crayfish</v>
      </c>
      <c r="I1092" t="str">
        <f t="shared" si="126"/>
        <v>Kōura</v>
      </c>
      <c r="J1092" t="str">
        <f t="shared" si="127"/>
        <v>Native</v>
      </c>
      <c r="K1092" t="str">
        <f t="shared" si="128"/>
        <v>Yes</v>
      </c>
      <c r="L1092">
        <v>1</v>
      </c>
      <c r="M1092" t="s">
        <v>177</v>
      </c>
      <c r="O1092">
        <v>19</v>
      </c>
      <c r="T1092" t="str">
        <f t="shared" si="124"/>
        <v/>
      </c>
    </row>
    <row r="1093" spans="1:20" x14ac:dyDescent="0.55000000000000004">
      <c r="A1093">
        <v>7</v>
      </c>
      <c r="B1093" s="15" t="str">
        <f t="shared" si="122"/>
        <v>7_2</v>
      </c>
      <c r="C1093" s="20">
        <v>45855.447916666664</v>
      </c>
      <c r="D1093" t="s">
        <v>175</v>
      </c>
      <c r="E1093">
        <v>2</v>
      </c>
      <c r="F1093" t="s">
        <v>115</v>
      </c>
      <c r="G1093" t="str">
        <f t="shared" si="123"/>
        <v>Paranephrops planifrons</v>
      </c>
      <c r="H1093" t="str">
        <f t="shared" si="125"/>
        <v>Freshwater_crayfish</v>
      </c>
      <c r="I1093" t="str">
        <f t="shared" si="126"/>
        <v>Kōura</v>
      </c>
      <c r="J1093" t="str">
        <f t="shared" si="127"/>
        <v>Native</v>
      </c>
      <c r="K1093" t="str">
        <f t="shared" si="128"/>
        <v>Yes</v>
      </c>
      <c r="L1093">
        <v>1</v>
      </c>
      <c r="M1093" t="s">
        <v>177</v>
      </c>
      <c r="O1093">
        <v>9</v>
      </c>
      <c r="T1093" t="str">
        <f t="shared" si="124"/>
        <v/>
      </c>
    </row>
    <row r="1094" spans="1:20" x14ac:dyDescent="0.55000000000000004">
      <c r="A1094">
        <v>7</v>
      </c>
      <c r="B1094" s="15" t="str">
        <f t="shared" si="122"/>
        <v>7_2</v>
      </c>
      <c r="C1094" s="20">
        <v>45855.447916666664</v>
      </c>
      <c r="D1094" t="s">
        <v>175</v>
      </c>
      <c r="E1094">
        <v>2</v>
      </c>
      <c r="F1094" t="s">
        <v>133</v>
      </c>
      <c r="G1094" t="str">
        <f t="shared" si="123"/>
        <v>Retropinna retropinna</v>
      </c>
      <c r="H1094" t="str">
        <f t="shared" si="125"/>
        <v>Common_smelt</v>
      </c>
      <c r="I1094" t="str">
        <f t="shared" si="126"/>
        <v>Common_smelt</v>
      </c>
      <c r="J1094" t="str">
        <f t="shared" si="127"/>
        <v>Native</v>
      </c>
      <c r="K1094" t="str">
        <f t="shared" si="128"/>
        <v>No</v>
      </c>
      <c r="L1094">
        <v>2</v>
      </c>
      <c r="O1094">
        <v>2</v>
      </c>
      <c r="T1094" t="str">
        <f t="shared" si="124"/>
        <v/>
      </c>
    </row>
    <row r="1095" spans="1:20" x14ac:dyDescent="0.55000000000000004">
      <c r="A1095">
        <v>7</v>
      </c>
      <c r="B1095" s="15" t="str">
        <f t="shared" si="122"/>
        <v>7_2</v>
      </c>
      <c r="C1095" s="20">
        <v>45855.447916666664</v>
      </c>
      <c r="D1095" t="s">
        <v>175</v>
      </c>
      <c r="E1095">
        <v>2</v>
      </c>
      <c r="F1095" t="s">
        <v>135</v>
      </c>
      <c r="G1095" t="str">
        <f t="shared" si="123"/>
        <v>Gobiomorphus cotidianus</v>
      </c>
      <c r="H1095" t="str">
        <f t="shared" si="125"/>
        <v>Common_bully</v>
      </c>
      <c r="I1095" t="str">
        <f t="shared" si="126"/>
        <v>Toitoi</v>
      </c>
      <c r="J1095" t="str">
        <f t="shared" si="127"/>
        <v>Native</v>
      </c>
      <c r="K1095" t="str">
        <f t="shared" si="128"/>
        <v>No</v>
      </c>
      <c r="O1095">
        <v>263</v>
      </c>
      <c r="S1095">
        <v>2</v>
      </c>
      <c r="T1095">
        <f t="shared" si="124"/>
        <v>473.17599999999999</v>
      </c>
    </row>
    <row r="1096" spans="1:20" x14ac:dyDescent="0.55000000000000004">
      <c r="A1096">
        <v>7</v>
      </c>
      <c r="B1096" s="15" t="str">
        <f t="shared" si="122"/>
        <v>7_2</v>
      </c>
      <c r="C1096" s="20">
        <v>45855.447916666664</v>
      </c>
      <c r="D1096" t="s">
        <v>175</v>
      </c>
      <c r="E1096">
        <v>2</v>
      </c>
      <c r="F1096" t="s">
        <v>135</v>
      </c>
      <c r="G1096" t="str">
        <f t="shared" si="123"/>
        <v>Gobiomorphus cotidianus</v>
      </c>
      <c r="H1096" t="str">
        <f t="shared" si="125"/>
        <v>Common_bully</v>
      </c>
      <c r="I1096" t="str">
        <f t="shared" si="126"/>
        <v>Toitoi</v>
      </c>
      <c r="J1096" t="str">
        <f t="shared" si="127"/>
        <v>Native</v>
      </c>
      <c r="K1096" t="str">
        <f t="shared" si="128"/>
        <v>No</v>
      </c>
      <c r="O1096">
        <v>88</v>
      </c>
      <c r="S1096">
        <v>0.75</v>
      </c>
      <c r="T1096">
        <f t="shared" si="124"/>
        <v>177.441</v>
      </c>
    </row>
    <row r="1097" spans="1:20" x14ac:dyDescent="0.55000000000000004">
      <c r="A1097">
        <v>8</v>
      </c>
      <c r="B1097" s="15" t="str">
        <f t="shared" si="122"/>
        <v>8_2</v>
      </c>
      <c r="C1097" s="20">
        <v>45855.4375</v>
      </c>
      <c r="D1097" t="s">
        <v>174</v>
      </c>
      <c r="E1097">
        <v>2</v>
      </c>
      <c r="F1097" t="s">
        <v>135</v>
      </c>
      <c r="G1097" t="str">
        <f t="shared" si="123"/>
        <v>Gobiomorphus cotidianus</v>
      </c>
      <c r="H1097" t="str">
        <f t="shared" si="125"/>
        <v>Common_bully</v>
      </c>
      <c r="I1097" t="str">
        <f t="shared" si="126"/>
        <v>Toitoi</v>
      </c>
      <c r="J1097" t="str">
        <f t="shared" si="127"/>
        <v>Native</v>
      </c>
      <c r="K1097" t="str">
        <f t="shared" si="128"/>
        <v>No</v>
      </c>
      <c r="O1097">
        <v>80</v>
      </c>
      <c r="S1097">
        <v>0.5</v>
      </c>
      <c r="T1097">
        <f t="shared" si="124"/>
        <v>118.294</v>
      </c>
    </row>
    <row r="1098" spans="1:20" x14ac:dyDescent="0.55000000000000004">
      <c r="A1098">
        <v>8</v>
      </c>
      <c r="B1098" s="15" t="str">
        <f t="shared" si="122"/>
        <v>8_2</v>
      </c>
      <c r="C1098" s="20">
        <v>45855.4375</v>
      </c>
      <c r="D1098" t="s">
        <v>175</v>
      </c>
      <c r="E1098">
        <v>2</v>
      </c>
      <c r="F1098" t="s">
        <v>133</v>
      </c>
      <c r="G1098" t="str">
        <f t="shared" si="123"/>
        <v>Retropinna retropinna</v>
      </c>
      <c r="H1098" t="str">
        <f t="shared" si="125"/>
        <v>Common_smelt</v>
      </c>
      <c r="I1098" t="str">
        <f t="shared" si="126"/>
        <v>Common_smelt</v>
      </c>
      <c r="J1098" t="str">
        <f t="shared" si="127"/>
        <v>Native</v>
      </c>
      <c r="K1098" t="str">
        <f t="shared" si="128"/>
        <v>No</v>
      </c>
      <c r="L1098">
        <v>4</v>
      </c>
      <c r="O1098">
        <v>4</v>
      </c>
      <c r="T1098" t="str">
        <f t="shared" si="124"/>
        <v/>
      </c>
    </row>
    <row r="1099" spans="1:20" x14ac:dyDescent="0.55000000000000004">
      <c r="A1099">
        <v>8</v>
      </c>
      <c r="B1099" s="15" t="str">
        <f t="shared" si="122"/>
        <v>8_2</v>
      </c>
      <c r="C1099" s="20">
        <v>45855.4375</v>
      </c>
      <c r="D1099" t="s">
        <v>175</v>
      </c>
      <c r="E1099">
        <v>2</v>
      </c>
      <c r="F1099" t="s">
        <v>135</v>
      </c>
      <c r="G1099" t="str">
        <f t="shared" si="123"/>
        <v>Gobiomorphus cotidianus</v>
      </c>
      <c r="H1099" t="str">
        <f t="shared" si="125"/>
        <v>Common_bully</v>
      </c>
      <c r="I1099" t="str">
        <f t="shared" si="126"/>
        <v>Toitoi</v>
      </c>
      <c r="J1099" t="str">
        <f t="shared" si="127"/>
        <v>Native</v>
      </c>
      <c r="K1099" t="str">
        <f t="shared" si="128"/>
        <v>No</v>
      </c>
      <c r="O1099">
        <v>495</v>
      </c>
      <c r="S1099">
        <v>2.5</v>
      </c>
      <c r="T1099">
        <f t="shared" si="124"/>
        <v>591.47</v>
      </c>
    </row>
    <row r="1100" spans="1:20" x14ac:dyDescent="0.55000000000000004">
      <c r="A1100">
        <v>8</v>
      </c>
      <c r="B1100" s="15" t="str">
        <f t="shared" si="122"/>
        <v>8_2</v>
      </c>
      <c r="C1100" s="20">
        <v>45855.4375</v>
      </c>
      <c r="D1100" t="s">
        <v>175</v>
      </c>
      <c r="E1100">
        <v>2</v>
      </c>
      <c r="F1100" t="s">
        <v>135</v>
      </c>
      <c r="G1100" t="str">
        <f t="shared" si="123"/>
        <v>Gobiomorphus cotidianus</v>
      </c>
      <c r="H1100" t="str">
        <f t="shared" si="125"/>
        <v>Common_bully</v>
      </c>
      <c r="I1100" t="str">
        <f t="shared" si="126"/>
        <v>Toitoi</v>
      </c>
      <c r="J1100" t="str">
        <f t="shared" si="127"/>
        <v>Native</v>
      </c>
      <c r="K1100" t="str">
        <f t="shared" si="128"/>
        <v>No</v>
      </c>
      <c r="O1100">
        <v>180</v>
      </c>
      <c r="S1100">
        <v>1</v>
      </c>
      <c r="T1100">
        <f t="shared" si="124"/>
        <v>236.58799999999999</v>
      </c>
    </row>
    <row r="1101" spans="1:20" x14ac:dyDescent="0.55000000000000004">
      <c r="A1101">
        <v>8</v>
      </c>
      <c r="B1101" s="15" t="str">
        <f t="shared" si="122"/>
        <v>8_2</v>
      </c>
      <c r="C1101" s="20">
        <v>45856.4375</v>
      </c>
      <c r="D1101" t="s">
        <v>175</v>
      </c>
      <c r="E1101">
        <v>2</v>
      </c>
      <c r="F1101" t="s">
        <v>127</v>
      </c>
      <c r="G1101" t="str">
        <f t="shared" si="123"/>
        <v>Galaxias brevipinnis</v>
      </c>
      <c r="H1101" t="str">
        <f t="shared" si="125"/>
        <v>Climbing_galaxias</v>
      </c>
      <c r="I1101" t="str">
        <f t="shared" si="126"/>
        <v>Kōaro</v>
      </c>
      <c r="J1101" t="str">
        <f t="shared" si="127"/>
        <v>Native</v>
      </c>
      <c r="K1101" t="str">
        <f t="shared" si="128"/>
        <v>Yes</v>
      </c>
      <c r="L1101">
        <v>1</v>
      </c>
      <c r="N1101">
        <v>65</v>
      </c>
      <c r="O1101">
        <v>6</v>
      </c>
      <c r="T1101" t="str">
        <f t="shared" si="124"/>
        <v/>
      </c>
    </row>
    <row r="1102" spans="1:20" x14ac:dyDescent="0.55000000000000004">
      <c r="A1102">
        <v>9</v>
      </c>
      <c r="B1102" s="15" t="str">
        <f t="shared" si="122"/>
        <v>9_2</v>
      </c>
      <c r="C1102" s="20">
        <v>45856.5</v>
      </c>
      <c r="D1102" t="s">
        <v>174</v>
      </c>
      <c r="E1102">
        <v>2</v>
      </c>
      <c r="F1102" t="s">
        <v>115</v>
      </c>
      <c r="G1102" t="str">
        <f t="shared" si="123"/>
        <v>Paranephrops planifrons</v>
      </c>
      <c r="H1102" t="str">
        <f t="shared" si="125"/>
        <v>Freshwater_crayfish</v>
      </c>
      <c r="I1102" t="str">
        <f t="shared" si="126"/>
        <v>Kōura</v>
      </c>
      <c r="J1102" t="str">
        <f t="shared" si="127"/>
        <v>Native</v>
      </c>
      <c r="K1102" t="str">
        <f t="shared" si="128"/>
        <v>Yes</v>
      </c>
      <c r="L1102">
        <v>1</v>
      </c>
      <c r="M1102" t="s">
        <v>177</v>
      </c>
      <c r="N1102">
        <v>35</v>
      </c>
      <c r="O1102">
        <v>30</v>
      </c>
      <c r="T1102" t="str">
        <f t="shared" si="124"/>
        <v/>
      </c>
    </row>
    <row r="1103" spans="1:20" x14ac:dyDescent="0.55000000000000004">
      <c r="A1103">
        <v>9</v>
      </c>
      <c r="B1103" s="15" t="str">
        <f t="shared" si="122"/>
        <v>9_2</v>
      </c>
      <c r="C1103" s="20">
        <v>45856.5</v>
      </c>
      <c r="D1103" t="s">
        <v>174</v>
      </c>
      <c r="E1103">
        <v>2</v>
      </c>
      <c r="F1103" t="s">
        <v>127</v>
      </c>
      <c r="G1103" t="str">
        <f t="shared" si="123"/>
        <v>Galaxias brevipinnis</v>
      </c>
      <c r="H1103" t="str">
        <f t="shared" si="125"/>
        <v>Climbing_galaxias</v>
      </c>
      <c r="I1103" t="str">
        <f t="shared" si="126"/>
        <v>Kōaro</v>
      </c>
      <c r="J1103" t="str">
        <f t="shared" si="127"/>
        <v>Native</v>
      </c>
      <c r="K1103" t="str">
        <f t="shared" si="128"/>
        <v>Yes</v>
      </c>
      <c r="L1103">
        <v>1</v>
      </c>
      <c r="N1103">
        <v>110</v>
      </c>
      <c r="O1103">
        <v>11</v>
      </c>
      <c r="T1103" t="str">
        <f t="shared" si="124"/>
        <v/>
      </c>
    </row>
    <row r="1104" spans="1:20" x14ac:dyDescent="0.55000000000000004">
      <c r="A1104">
        <v>9</v>
      </c>
      <c r="B1104" s="15" t="str">
        <f t="shared" si="122"/>
        <v>9_2</v>
      </c>
      <c r="C1104" s="20">
        <v>45856.5</v>
      </c>
      <c r="D1104" t="s">
        <v>174</v>
      </c>
      <c r="E1104">
        <v>2</v>
      </c>
      <c r="F1104" t="s">
        <v>135</v>
      </c>
      <c r="G1104" t="str">
        <f t="shared" si="123"/>
        <v>Gobiomorphus cotidianus</v>
      </c>
      <c r="H1104" t="str">
        <f t="shared" si="125"/>
        <v>Common_bully</v>
      </c>
      <c r="I1104" t="str">
        <f t="shared" si="126"/>
        <v>Toitoi</v>
      </c>
      <c r="J1104" t="str">
        <f t="shared" si="127"/>
        <v>Native</v>
      </c>
      <c r="K1104" t="str">
        <f t="shared" si="128"/>
        <v>No</v>
      </c>
      <c r="L1104">
        <v>18</v>
      </c>
      <c r="O1104">
        <v>30</v>
      </c>
      <c r="T1104" t="str">
        <f t="shared" si="124"/>
        <v/>
      </c>
    </row>
    <row r="1105" spans="1:20" x14ac:dyDescent="0.55000000000000004">
      <c r="A1105">
        <v>9</v>
      </c>
      <c r="B1105" s="15" t="str">
        <f t="shared" si="122"/>
        <v>9_2</v>
      </c>
      <c r="C1105" s="20">
        <v>45856.5</v>
      </c>
      <c r="D1105" t="s">
        <v>175</v>
      </c>
      <c r="E1105">
        <v>2</v>
      </c>
      <c r="F1105" t="s">
        <v>115</v>
      </c>
      <c r="G1105" t="str">
        <f t="shared" si="123"/>
        <v>Paranephrops planifrons</v>
      </c>
      <c r="H1105" t="str">
        <f t="shared" si="125"/>
        <v>Freshwater_crayfish</v>
      </c>
      <c r="I1105" t="str">
        <f t="shared" si="126"/>
        <v>Kōura</v>
      </c>
      <c r="J1105" t="str">
        <f t="shared" si="127"/>
        <v>Native</v>
      </c>
      <c r="K1105" t="str">
        <f t="shared" si="128"/>
        <v>Yes</v>
      </c>
      <c r="L1105">
        <v>1</v>
      </c>
      <c r="M1105" t="s">
        <v>177</v>
      </c>
      <c r="N1105">
        <v>41</v>
      </c>
      <c r="O1105">
        <v>41</v>
      </c>
      <c r="T1105" t="str">
        <f t="shared" si="124"/>
        <v/>
      </c>
    </row>
    <row r="1106" spans="1:20" x14ac:dyDescent="0.55000000000000004">
      <c r="A1106">
        <v>9</v>
      </c>
      <c r="B1106" s="15" t="str">
        <f t="shared" si="122"/>
        <v>9_2</v>
      </c>
      <c r="C1106" s="20">
        <v>45856.5</v>
      </c>
      <c r="D1106" t="s">
        <v>175</v>
      </c>
      <c r="E1106">
        <v>2</v>
      </c>
      <c r="F1106" t="s">
        <v>127</v>
      </c>
      <c r="G1106" t="str">
        <f t="shared" si="123"/>
        <v>Galaxias brevipinnis</v>
      </c>
      <c r="H1106" t="str">
        <f t="shared" si="125"/>
        <v>Climbing_galaxias</v>
      </c>
      <c r="I1106" t="str">
        <f t="shared" si="126"/>
        <v>Kōaro</v>
      </c>
      <c r="J1106" t="str">
        <f t="shared" si="127"/>
        <v>Native</v>
      </c>
      <c r="K1106" t="str">
        <f t="shared" si="128"/>
        <v>Yes</v>
      </c>
      <c r="L1106">
        <v>1</v>
      </c>
      <c r="N1106">
        <v>110</v>
      </c>
      <c r="O1106">
        <v>13</v>
      </c>
      <c r="T1106" t="str">
        <f t="shared" si="124"/>
        <v/>
      </c>
    </row>
    <row r="1107" spans="1:20" x14ac:dyDescent="0.55000000000000004">
      <c r="A1107">
        <v>9</v>
      </c>
      <c r="B1107" s="15" t="str">
        <f t="shared" si="122"/>
        <v>9_2</v>
      </c>
      <c r="C1107" s="20">
        <v>45856.5</v>
      </c>
      <c r="D1107" t="s">
        <v>175</v>
      </c>
      <c r="E1107">
        <v>2</v>
      </c>
      <c r="F1107" t="s">
        <v>127</v>
      </c>
      <c r="G1107" t="str">
        <f t="shared" si="123"/>
        <v>Galaxias brevipinnis</v>
      </c>
      <c r="H1107" t="str">
        <f t="shared" si="125"/>
        <v>Climbing_galaxias</v>
      </c>
      <c r="I1107" t="str">
        <f t="shared" si="126"/>
        <v>Kōaro</v>
      </c>
      <c r="J1107" t="str">
        <f t="shared" si="127"/>
        <v>Native</v>
      </c>
      <c r="K1107" t="str">
        <f t="shared" si="128"/>
        <v>Yes</v>
      </c>
      <c r="L1107">
        <v>1</v>
      </c>
      <c r="N1107">
        <v>110</v>
      </c>
      <c r="O1107">
        <v>9</v>
      </c>
      <c r="T1107" t="str">
        <f t="shared" si="124"/>
        <v/>
      </c>
    </row>
    <row r="1108" spans="1:20" x14ac:dyDescent="0.55000000000000004">
      <c r="A1108">
        <v>9</v>
      </c>
      <c r="B1108" s="15" t="str">
        <f t="shared" si="122"/>
        <v>9_2</v>
      </c>
      <c r="C1108" s="20">
        <v>45856.5</v>
      </c>
      <c r="D1108" t="s">
        <v>175</v>
      </c>
      <c r="E1108">
        <v>2</v>
      </c>
      <c r="F1108" t="s">
        <v>127</v>
      </c>
      <c r="G1108" t="str">
        <f t="shared" si="123"/>
        <v>Galaxias brevipinnis</v>
      </c>
      <c r="H1108" t="str">
        <f t="shared" si="125"/>
        <v>Climbing_galaxias</v>
      </c>
      <c r="I1108" t="str">
        <f t="shared" si="126"/>
        <v>Kōaro</v>
      </c>
      <c r="J1108" t="str">
        <f t="shared" si="127"/>
        <v>Native</v>
      </c>
      <c r="K1108" t="str">
        <f t="shared" si="128"/>
        <v>Yes</v>
      </c>
      <c r="L1108">
        <v>1</v>
      </c>
      <c r="N1108">
        <v>50</v>
      </c>
      <c r="O1108">
        <v>1</v>
      </c>
      <c r="T1108" t="str">
        <f t="shared" si="124"/>
        <v/>
      </c>
    </row>
    <row r="1109" spans="1:20" x14ac:dyDescent="0.55000000000000004">
      <c r="A1109">
        <v>9</v>
      </c>
      <c r="B1109" s="15" t="str">
        <f t="shared" si="122"/>
        <v>9_2</v>
      </c>
      <c r="C1109" s="20">
        <v>45856.5</v>
      </c>
      <c r="D1109" t="s">
        <v>175</v>
      </c>
      <c r="E1109">
        <v>2</v>
      </c>
      <c r="F1109" t="s">
        <v>133</v>
      </c>
      <c r="G1109" t="str">
        <f t="shared" si="123"/>
        <v>Retropinna retropinna</v>
      </c>
      <c r="H1109" t="str">
        <f t="shared" si="125"/>
        <v>Common_smelt</v>
      </c>
      <c r="I1109" t="str">
        <f t="shared" si="126"/>
        <v>Common_smelt</v>
      </c>
      <c r="J1109" t="str">
        <f t="shared" si="127"/>
        <v>Native</v>
      </c>
      <c r="K1109" t="str">
        <f t="shared" si="128"/>
        <v>No</v>
      </c>
      <c r="L1109">
        <v>6</v>
      </c>
      <c r="O1109">
        <v>6</v>
      </c>
      <c r="T1109" t="str">
        <f t="shared" si="124"/>
        <v/>
      </c>
    </row>
    <row r="1110" spans="1:20" x14ac:dyDescent="0.55000000000000004">
      <c r="A1110">
        <v>9</v>
      </c>
      <c r="B1110" s="15" t="str">
        <f t="shared" si="122"/>
        <v>9_2</v>
      </c>
      <c r="C1110" s="20">
        <v>45856.5</v>
      </c>
      <c r="D1110" t="s">
        <v>175</v>
      </c>
      <c r="E1110">
        <v>2</v>
      </c>
      <c r="F1110" t="s">
        <v>127</v>
      </c>
      <c r="G1110" t="str">
        <f t="shared" si="123"/>
        <v>Galaxias brevipinnis</v>
      </c>
      <c r="H1110" t="str">
        <f t="shared" si="125"/>
        <v>Climbing_galaxias</v>
      </c>
      <c r="I1110" t="str">
        <f t="shared" si="126"/>
        <v>Kōaro</v>
      </c>
      <c r="J1110" t="str">
        <f t="shared" si="127"/>
        <v>Native</v>
      </c>
      <c r="K1110" t="str">
        <f t="shared" si="128"/>
        <v>Yes</v>
      </c>
      <c r="L1110">
        <v>1</v>
      </c>
      <c r="N1110">
        <v>75</v>
      </c>
      <c r="O1110">
        <v>3</v>
      </c>
      <c r="T1110" t="str">
        <f t="shared" si="124"/>
        <v/>
      </c>
    </row>
    <row r="1111" spans="1:20" x14ac:dyDescent="0.55000000000000004">
      <c r="A1111">
        <v>9</v>
      </c>
      <c r="B1111" s="15" t="str">
        <f t="shared" si="122"/>
        <v>9_2</v>
      </c>
      <c r="C1111" s="20">
        <v>45856.5</v>
      </c>
      <c r="D1111" t="s">
        <v>175</v>
      </c>
      <c r="E1111">
        <v>2</v>
      </c>
      <c r="F1111" t="s">
        <v>127</v>
      </c>
      <c r="G1111" t="str">
        <f t="shared" si="123"/>
        <v>Galaxias brevipinnis</v>
      </c>
      <c r="H1111" t="str">
        <f t="shared" si="125"/>
        <v>Climbing_galaxias</v>
      </c>
      <c r="I1111" t="str">
        <f t="shared" si="126"/>
        <v>Kōaro</v>
      </c>
      <c r="J1111" t="str">
        <f t="shared" si="127"/>
        <v>Native</v>
      </c>
      <c r="K1111" t="str">
        <f t="shared" si="128"/>
        <v>Yes</v>
      </c>
      <c r="L1111">
        <v>1</v>
      </c>
      <c r="N1111">
        <v>83</v>
      </c>
      <c r="O1111">
        <v>4</v>
      </c>
      <c r="T1111" t="str">
        <f t="shared" si="124"/>
        <v/>
      </c>
    </row>
    <row r="1112" spans="1:20" x14ac:dyDescent="0.55000000000000004">
      <c r="A1112">
        <v>9</v>
      </c>
      <c r="B1112" s="15" t="str">
        <f t="shared" si="122"/>
        <v>9_2</v>
      </c>
      <c r="C1112" s="20">
        <v>45856.5</v>
      </c>
      <c r="D1112" t="s">
        <v>175</v>
      </c>
      <c r="E1112">
        <v>2</v>
      </c>
      <c r="F1112" t="s">
        <v>127</v>
      </c>
      <c r="G1112" t="str">
        <f t="shared" si="123"/>
        <v>Galaxias brevipinnis</v>
      </c>
      <c r="H1112" t="str">
        <f t="shared" si="125"/>
        <v>Climbing_galaxias</v>
      </c>
      <c r="I1112" t="str">
        <f t="shared" si="126"/>
        <v>Kōaro</v>
      </c>
      <c r="J1112" t="str">
        <f t="shared" si="127"/>
        <v>Native</v>
      </c>
      <c r="K1112" t="str">
        <f t="shared" si="128"/>
        <v>Yes</v>
      </c>
      <c r="L1112">
        <v>1</v>
      </c>
      <c r="N1112">
        <v>50</v>
      </c>
      <c r="O1112">
        <v>1</v>
      </c>
      <c r="T1112" t="str">
        <f t="shared" si="124"/>
        <v/>
      </c>
    </row>
    <row r="1113" spans="1:20" x14ac:dyDescent="0.55000000000000004">
      <c r="A1113">
        <v>9</v>
      </c>
      <c r="B1113" s="15" t="str">
        <f t="shared" si="122"/>
        <v>9_2</v>
      </c>
      <c r="C1113" s="20">
        <v>45856.5</v>
      </c>
      <c r="D1113" t="s">
        <v>175</v>
      </c>
      <c r="E1113">
        <v>2</v>
      </c>
      <c r="F1113" t="s">
        <v>127</v>
      </c>
      <c r="G1113" t="str">
        <f t="shared" si="123"/>
        <v>Galaxias brevipinnis</v>
      </c>
      <c r="H1113" t="str">
        <f t="shared" si="125"/>
        <v>Climbing_galaxias</v>
      </c>
      <c r="I1113" t="str">
        <f t="shared" si="126"/>
        <v>Kōaro</v>
      </c>
      <c r="J1113" t="str">
        <f t="shared" si="127"/>
        <v>Native</v>
      </c>
      <c r="K1113" t="str">
        <f t="shared" si="128"/>
        <v>Yes</v>
      </c>
      <c r="L1113">
        <v>1</v>
      </c>
      <c r="N1113">
        <v>83</v>
      </c>
      <c r="O1113">
        <v>5</v>
      </c>
      <c r="T1113" t="str">
        <f t="shared" si="124"/>
        <v/>
      </c>
    </row>
    <row r="1114" spans="1:20" x14ac:dyDescent="0.55000000000000004">
      <c r="A1114">
        <v>9</v>
      </c>
      <c r="B1114" s="15" t="str">
        <f t="shared" si="122"/>
        <v>9_2</v>
      </c>
      <c r="C1114" s="20">
        <v>45856.5</v>
      </c>
      <c r="D1114" t="s">
        <v>175</v>
      </c>
      <c r="E1114">
        <v>2</v>
      </c>
      <c r="F1114" t="s">
        <v>127</v>
      </c>
      <c r="G1114" t="str">
        <f t="shared" si="123"/>
        <v>Galaxias brevipinnis</v>
      </c>
      <c r="H1114" t="str">
        <f t="shared" si="125"/>
        <v>Climbing_galaxias</v>
      </c>
      <c r="I1114" t="str">
        <f t="shared" si="126"/>
        <v>Kōaro</v>
      </c>
      <c r="J1114" t="str">
        <f t="shared" si="127"/>
        <v>Native</v>
      </c>
      <c r="K1114" t="str">
        <f t="shared" si="128"/>
        <v>Yes</v>
      </c>
      <c r="L1114">
        <v>1</v>
      </c>
      <c r="N1114">
        <v>75</v>
      </c>
      <c r="O1114">
        <v>3</v>
      </c>
      <c r="T1114" t="str">
        <f t="shared" si="124"/>
        <v/>
      </c>
    </row>
    <row r="1115" spans="1:20" x14ac:dyDescent="0.55000000000000004">
      <c r="A1115">
        <v>9</v>
      </c>
      <c r="B1115" s="15" t="str">
        <f t="shared" si="122"/>
        <v>9_2</v>
      </c>
      <c r="C1115" s="20">
        <v>45856.5</v>
      </c>
      <c r="D1115" t="s">
        <v>175</v>
      </c>
      <c r="E1115">
        <v>2</v>
      </c>
      <c r="F1115" t="s">
        <v>127</v>
      </c>
      <c r="G1115" t="str">
        <f t="shared" si="123"/>
        <v>Galaxias brevipinnis</v>
      </c>
      <c r="H1115" t="str">
        <f t="shared" si="125"/>
        <v>Climbing_galaxias</v>
      </c>
      <c r="I1115" t="str">
        <f t="shared" si="126"/>
        <v>Kōaro</v>
      </c>
      <c r="J1115" t="str">
        <f t="shared" si="127"/>
        <v>Native</v>
      </c>
      <c r="K1115" t="str">
        <f t="shared" si="128"/>
        <v>Yes</v>
      </c>
      <c r="L1115">
        <v>1</v>
      </c>
      <c r="N1115">
        <v>50</v>
      </c>
      <c r="O1115">
        <v>1</v>
      </c>
      <c r="T1115" t="str">
        <f t="shared" si="124"/>
        <v/>
      </c>
    </row>
    <row r="1116" spans="1:20" x14ac:dyDescent="0.55000000000000004">
      <c r="A1116">
        <v>9</v>
      </c>
      <c r="B1116" s="15" t="str">
        <f t="shared" si="122"/>
        <v>9_2</v>
      </c>
      <c r="C1116" s="20">
        <v>45856.5</v>
      </c>
      <c r="D1116" t="s">
        <v>175</v>
      </c>
      <c r="E1116">
        <v>2</v>
      </c>
      <c r="F1116" t="s">
        <v>127</v>
      </c>
      <c r="G1116" t="str">
        <f t="shared" si="123"/>
        <v>Galaxias brevipinnis</v>
      </c>
      <c r="H1116" t="str">
        <f t="shared" si="125"/>
        <v>Climbing_galaxias</v>
      </c>
      <c r="I1116" t="str">
        <f t="shared" si="126"/>
        <v>Kōaro</v>
      </c>
      <c r="J1116" t="str">
        <f t="shared" si="127"/>
        <v>Native</v>
      </c>
      <c r="K1116" t="str">
        <f t="shared" si="128"/>
        <v>Yes</v>
      </c>
      <c r="L1116">
        <v>1</v>
      </c>
      <c r="N1116">
        <v>55</v>
      </c>
      <c r="O1116">
        <v>1</v>
      </c>
      <c r="T1116" t="str">
        <f t="shared" si="124"/>
        <v/>
      </c>
    </row>
    <row r="1117" spans="1:20" x14ac:dyDescent="0.55000000000000004">
      <c r="A1117">
        <v>9</v>
      </c>
      <c r="B1117" s="15" t="str">
        <f t="shared" si="122"/>
        <v>9_2</v>
      </c>
      <c r="C1117" s="20">
        <v>45856.5</v>
      </c>
      <c r="D1117" t="s">
        <v>175</v>
      </c>
      <c r="E1117">
        <v>2</v>
      </c>
      <c r="F1117" t="s">
        <v>135</v>
      </c>
      <c r="G1117" t="str">
        <f t="shared" si="123"/>
        <v>Gobiomorphus cotidianus</v>
      </c>
      <c r="H1117" t="str">
        <f t="shared" si="125"/>
        <v>Common_bully</v>
      </c>
      <c r="I1117" t="str">
        <f t="shared" si="126"/>
        <v>Toitoi</v>
      </c>
      <c r="J1117" t="str">
        <f t="shared" si="127"/>
        <v>Native</v>
      </c>
      <c r="K1117" t="str">
        <f t="shared" si="128"/>
        <v>No</v>
      </c>
      <c r="O1117">
        <v>588</v>
      </c>
      <c r="S1117">
        <v>2.5</v>
      </c>
      <c r="T1117">
        <f t="shared" si="124"/>
        <v>591.47</v>
      </c>
    </row>
    <row r="1118" spans="1:20" x14ac:dyDescent="0.55000000000000004">
      <c r="A1118">
        <v>9</v>
      </c>
      <c r="B1118" s="15" t="str">
        <f t="shared" ref="B1118:B1181" si="129">A1118 &amp; "_2"</f>
        <v>9_2</v>
      </c>
      <c r="C1118" s="20">
        <v>45856.5</v>
      </c>
      <c r="D1118" t="s">
        <v>175</v>
      </c>
      <c r="E1118">
        <v>2</v>
      </c>
      <c r="F1118" t="s">
        <v>127</v>
      </c>
      <c r="G1118" t="str">
        <f t="shared" si="123"/>
        <v>Galaxias brevipinnis</v>
      </c>
      <c r="H1118" t="str">
        <f t="shared" si="125"/>
        <v>Climbing_galaxias</v>
      </c>
      <c r="I1118" t="str">
        <f t="shared" si="126"/>
        <v>Kōaro</v>
      </c>
      <c r="J1118" t="str">
        <f t="shared" si="127"/>
        <v>Native</v>
      </c>
      <c r="K1118" t="str">
        <f t="shared" si="128"/>
        <v>Yes</v>
      </c>
      <c r="L1118">
        <v>1</v>
      </c>
      <c r="N1118">
        <v>50</v>
      </c>
      <c r="O1118">
        <v>1</v>
      </c>
      <c r="T1118" t="str">
        <f t="shared" si="124"/>
        <v/>
      </c>
    </row>
    <row r="1119" spans="1:20" x14ac:dyDescent="0.55000000000000004">
      <c r="A1119">
        <v>9</v>
      </c>
      <c r="B1119" s="15" t="str">
        <f t="shared" si="129"/>
        <v>9_2</v>
      </c>
      <c r="C1119" s="20">
        <v>45856.5</v>
      </c>
      <c r="D1119" t="s">
        <v>175</v>
      </c>
      <c r="E1119">
        <v>2</v>
      </c>
      <c r="F1119" t="s">
        <v>127</v>
      </c>
      <c r="G1119" t="str">
        <f t="shared" si="123"/>
        <v>Galaxias brevipinnis</v>
      </c>
      <c r="H1119" t="str">
        <f t="shared" si="125"/>
        <v>Climbing_galaxias</v>
      </c>
      <c r="I1119" t="str">
        <f t="shared" si="126"/>
        <v>Kōaro</v>
      </c>
      <c r="J1119" t="str">
        <f t="shared" si="127"/>
        <v>Native</v>
      </c>
      <c r="K1119" t="str">
        <f t="shared" si="128"/>
        <v>Yes</v>
      </c>
      <c r="L1119">
        <v>1</v>
      </c>
      <c r="N1119">
        <v>50</v>
      </c>
      <c r="O1119">
        <v>1</v>
      </c>
      <c r="T1119" t="str">
        <f t="shared" si="124"/>
        <v/>
      </c>
    </row>
    <row r="1120" spans="1:20" x14ac:dyDescent="0.55000000000000004">
      <c r="A1120">
        <v>9</v>
      </c>
      <c r="B1120" s="15" t="str">
        <f t="shared" si="129"/>
        <v>9_2</v>
      </c>
      <c r="C1120" s="20">
        <v>45856.5</v>
      </c>
      <c r="D1120" t="s">
        <v>175</v>
      </c>
      <c r="E1120">
        <v>2</v>
      </c>
      <c r="F1120" t="s">
        <v>135</v>
      </c>
      <c r="G1120" t="str">
        <f t="shared" si="123"/>
        <v>Gobiomorphus cotidianus</v>
      </c>
      <c r="H1120" t="str">
        <f t="shared" si="125"/>
        <v>Common_bully</v>
      </c>
      <c r="I1120" t="str">
        <f t="shared" si="126"/>
        <v>Toitoi</v>
      </c>
      <c r="J1120" t="str">
        <f t="shared" si="127"/>
        <v>Native</v>
      </c>
      <c r="K1120" t="str">
        <f t="shared" si="128"/>
        <v>No</v>
      </c>
      <c r="O1120">
        <v>242</v>
      </c>
      <c r="S1120">
        <v>1</v>
      </c>
      <c r="T1120">
        <f t="shared" si="124"/>
        <v>236.58799999999999</v>
      </c>
    </row>
    <row r="1121" spans="1:20" x14ac:dyDescent="0.55000000000000004">
      <c r="A1121">
        <v>10</v>
      </c>
      <c r="B1121" s="15" t="str">
        <f t="shared" si="129"/>
        <v>10_2</v>
      </c>
      <c r="C1121" s="20">
        <v>45856.520833333336</v>
      </c>
      <c r="D1121" t="s">
        <v>174</v>
      </c>
      <c r="E1121">
        <v>2</v>
      </c>
      <c r="F1121" t="s">
        <v>135</v>
      </c>
      <c r="G1121" t="str">
        <f t="shared" si="123"/>
        <v>Gobiomorphus cotidianus</v>
      </c>
      <c r="H1121" t="str">
        <f t="shared" si="125"/>
        <v>Common_bully</v>
      </c>
      <c r="I1121" t="str">
        <f t="shared" si="126"/>
        <v>Toitoi</v>
      </c>
      <c r="J1121" t="str">
        <f t="shared" si="127"/>
        <v>Native</v>
      </c>
      <c r="K1121" t="str">
        <f t="shared" si="128"/>
        <v>No</v>
      </c>
      <c r="L1121">
        <v>11</v>
      </c>
      <c r="O1121">
        <v>22</v>
      </c>
      <c r="T1121" t="str">
        <f t="shared" si="124"/>
        <v/>
      </c>
    </row>
    <row r="1122" spans="1:20" x14ac:dyDescent="0.55000000000000004">
      <c r="A1122">
        <v>10</v>
      </c>
      <c r="B1122" s="15" t="str">
        <f t="shared" si="129"/>
        <v>10_2</v>
      </c>
      <c r="C1122" s="20">
        <v>45856.520833333336</v>
      </c>
      <c r="D1122" t="s">
        <v>175</v>
      </c>
      <c r="E1122">
        <v>2</v>
      </c>
      <c r="F1122" t="s">
        <v>127</v>
      </c>
      <c r="G1122" t="str">
        <f t="shared" si="123"/>
        <v>Galaxias brevipinnis</v>
      </c>
      <c r="H1122" t="str">
        <f t="shared" si="125"/>
        <v>Climbing_galaxias</v>
      </c>
      <c r="I1122" t="str">
        <f t="shared" si="126"/>
        <v>Kōaro</v>
      </c>
      <c r="J1122" t="str">
        <f t="shared" si="127"/>
        <v>Native</v>
      </c>
      <c r="K1122" t="str">
        <f t="shared" si="128"/>
        <v>Yes</v>
      </c>
      <c r="L1122">
        <v>1</v>
      </c>
      <c r="N1122">
        <v>155</v>
      </c>
      <c r="O1122">
        <v>35</v>
      </c>
      <c r="T1122" t="str">
        <f t="shared" si="124"/>
        <v/>
      </c>
    </row>
    <row r="1123" spans="1:20" x14ac:dyDescent="0.55000000000000004">
      <c r="A1123">
        <v>10</v>
      </c>
      <c r="B1123" s="15" t="str">
        <f t="shared" si="129"/>
        <v>10_2</v>
      </c>
      <c r="C1123" s="20">
        <v>45856.520833333336</v>
      </c>
      <c r="D1123" t="s">
        <v>175</v>
      </c>
      <c r="E1123">
        <v>2</v>
      </c>
      <c r="F1123" t="s">
        <v>135</v>
      </c>
      <c r="G1123" t="str">
        <f t="shared" si="123"/>
        <v>Gobiomorphus cotidianus</v>
      </c>
      <c r="H1123" t="str">
        <f t="shared" si="125"/>
        <v>Common_bully</v>
      </c>
      <c r="I1123" t="str">
        <f t="shared" si="126"/>
        <v>Toitoi</v>
      </c>
      <c r="J1123" t="str">
        <f t="shared" si="127"/>
        <v>Native</v>
      </c>
      <c r="K1123" t="str">
        <f t="shared" si="128"/>
        <v>No</v>
      </c>
      <c r="O1123">
        <v>557</v>
      </c>
      <c r="S1123">
        <v>2.5</v>
      </c>
      <c r="T1123">
        <f t="shared" si="124"/>
        <v>591.47</v>
      </c>
    </row>
    <row r="1124" spans="1:20" x14ac:dyDescent="0.55000000000000004">
      <c r="A1124">
        <v>10</v>
      </c>
      <c r="B1124" s="15" t="str">
        <f t="shared" si="129"/>
        <v>10_2</v>
      </c>
      <c r="C1124" s="20">
        <v>45856.520833333336</v>
      </c>
      <c r="D1124" t="s">
        <v>175</v>
      </c>
      <c r="E1124">
        <v>2</v>
      </c>
      <c r="F1124" t="s">
        <v>135</v>
      </c>
      <c r="G1124" t="str">
        <f t="shared" si="123"/>
        <v>Gobiomorphus cotidianus</v>
      </c>
      <c r="H1124" t="str">
        <f t="shared" si="125"/>
        <v>Common_bully</v>
      </c>
      <c r="I1124" t="str">
        <f t="shared" si="126"/>
        <v>Toitoi</v>
      </c>
      <c r="J1124" t="str">
        <f t="shared" si="127"/>
        <v>Native</v>
      </c>
      <c r="K1124" t="str">
        <f t="shared" si="128"/>
        <v>No</v>
      </c>
      <c r="O1124">
        <v>169</v>
      </c>
      <c r="T1124" t="str">
        <f t="shared" si="124"/>
        <v/>
      </c>
    </row>
    <row r="1125" spans="1:20" x14ac:dyDescent="0.55000000000000004">
      <c r="A1125">
        <v>11</v>
      </c>
      <c r="B1125" s="15" t="str">
        <f t="shared" si="129"/>
        <v>11_2</v>
      </c>
      <c r="C1125" s="20">
        <v>45855.368055555555</v>
      </c>
      <c r="D1125" t="s">
        <v>174</v>
      </c>
      <c r="E1125">
        <v>2</v>
      </c>
      <c r="F1125" t="s">
        <v>115</v>
      </c>
      <c r="G1125" t="str">
        <f t="shared" si="123"/>
        <v>Paranephrops planifrons</v>
      </c>
      <c r="H1125" t="str">
        <f t="shared" si="125"/>
        <v>Freshwater_crayfish</v>
      </c>
      <c r="I1125" t="str">
        <f t="shared" si="126"/>
        <v>Kōura</v>
      </c>
      <c r="J1125" t="str">
        <f t="shared" si="127"/>
        <v>Native</v>
      </c>
      <c r="K1125" t="str">
        <f t="shared" si="128"/>
        <v>Yes</v>
      </c>
      <c r="L1125">
        <v>1</v>
      </c>
      <c r="M1125" t="s">
        <v>177</v>
      </c>
      <c r="N1125">
        <v>38</v>
      </c>
      <c r="O1125">
        <v>32</v>
      </c>
      <c r="T1125" t="str">
        <f t="shared" si="124"/>
        <v/>
      </c>
    </row>
    <row r="1126" spans="1:20" x14ac:dyDescent="0.55000000000000004">
      <c r="A1126">
        <v>11</v>
      </c>
      <c r="B1126" s="15" t="str">
        <f t="shared" si="129"/>
        <v>11_2</v>
      </c>
      <c r="C1126" s="20">
        <v>45855.368055555555</v>
      </c>
      <c r="D1126" t="s">
        <v>174</v>
      </c>
      <c r="E1126">
        <v>2</v>
      </c>
      <c r="F1126" t="s">
        <v>115</v>
      </c>
      <c r="G1126" t="str">
        <f t="shared" ref="G1126:G1189" si="130">VLOOKUP($F1126, $W$1:$AB$10, 2, FALSE)</f>
        <v>Paranephrops planifrons</v>
      </c>
      <c r="H1126" t="str">
        <f t="shared" si="125"/>
        <v>Freshwater_crayfish</v>
      </c>
      <c r="I1126" t="str">
        <f t="shared" si="126"/>
        <v>Kōura</v>
      </c>
      <c r="J1126" t="str">
        <f t="shared" si="127"/>
        <v>Native</v>
      </c>
      <c r="K1126" t="str">
        <f t="shared" si="128"/>
        <v>Yes</v>
      </c>
      <c r="L1126">
        <v>1</v>
      </c>
      <c r="M1126" t="s">
        <v>177</v>
      </c>
      <c r="N1126">
        <v>40</v>
      </c>
      <c r="O1126">
        <v>41</v>
      </c>
      <c r="P1126">
        <v>1</v>
      </c>
      <c r="T1126" t="str">
        <f t="shared" si="124"/>
        <v/>
      </c>
    </row>
    <row r="1127" spans="1:20" x14ac:dyDescent="0.55000000000000004">
      <c r="A1127">
        <v>11</v>
      </c>
      <c r="B1127" s="15" t="str">
        <f t="shared" si="129"/>
        <v>11_2</v>
      </c>
      <c r="C1127" s="20">
        <v>45855.368055555555</v>
      </c>
      <c r="D1127" t="s">
        <v>174</v>
      </c>
      <c r="E1127">
        <v>2</v>
      </c>
      <c r="F1127" t="s">
        <v>115</v>
      </c>
      <c r="G1127" t="str">
        <f t="shared" si="130"/>
        <v>Paranephrops planifrons</v>
      </c>
      <c r="H1127" t="str">
        <f t="shared" si="125"/>
        <v>Freshwater_crayfish</v>
      </c>
      <c r="I1127" t="str">
        <f t="shared" si="126"/>
        <v>Kōura</v>
      </c>
      <c r="J1127" t="str">
        <f t="shared" si="127"/>
        <v>Native</v>
      </c>
      <c r="K1127" t="str">
        <f t="shared" si="128"/>
        <v>Yes</v>
      </c>
      <c r="L1127">
        <v>1</v>
      </c>
      <c r="M1127" t="s">
        <v>176</v>
      </c>
      <c r="N1127">
        <v>29</v>
      </c>
      <c r="O1127">
        <v>18</v>
      </c>
      <c r="Q1127">
        <v>1</v>
      </c>
      <c r="T1127" t="str">
        <f t="shared" si="124"/>
        <v/>
      </c>
    </row>
    <row r="1128" spans="1:20" x14ac:dyDescent="0.55000000000000004">
      <c r="A1128">
        <v>11</v>
      </c>
      <c r="B1128" s="15" t="str">
        <f t="shared" si="129"/>
        <v>11_2</v>
      </c>
      <c r="C1128" s="20">
        <v>45855.368055555555</v>
      </c>
      <c r="D1128" t="s">
        <v>174</v>
      </c>
      <c r="E1128">
        <v>2</v>
      </c>
      <c r="F1128" t="s">
        <v>115</v>
      </c>
      <c r="G1128" t="str">
        <f t="shared" si="130"/>
        <v>Paranephrops planifrons</v>
      </c>
      <c r="H1128" t="str">
        <f t="shared" si="125"/>
        <v>Freshwater_crayfish</v>
      </c>
      <c r="I1128" t="str">
        <f t="shared" si="126"/>
        <v>Kōura</v>
      </c>
      <c r="J1128" t="str">
        <f t="shared" si="127"/>
        <v>Native</v>
      </c>
      <c r="K1128" t="str">
        <f t="shared" si="128"/>
        <v>Yes</v>
      </c>
      <c r="L1128">
        <v>1</v>
      </c>
      <c r="M1128" t="s">
        <v>177</v>
      </c>
      <c r="N1128">
        <v>28</v>
      </c>
      <c r="O1128">
        <v>19</v>
      </c>
      <c r="T1128" t="str">
        <f t="shared" si="124"/>
        <v/>
      </c>
    </row>
    <row r="1129" spans="1:20" x14ac:dyDescent="0.55000000000000004">
      <c r="A1129">
        <v>11</v>
      </c>
      <c r="B1129" s="15" t="str">
        <f t="shared" si="129"/>
        <v>11_2</v>
      </c>
      <c r="C1129" s="20">
        <v>45855.368055555555</v>
      </c>
      <c r="D1129" t="s">
        <v>174</v>
      </c>
      <c r="E1129">
        <v>2</v>
      </c>
      <c r="F1129" t="s">
        <v>115</v>
      </c>
      <c r="G1129" t="str">
        <f t="shared" si="130"/>
        <v>Paranephrops planifrons</v>
      </c>
      <c r="H1129" t="str">
        <f t="shared" si="125"/>
        <v>Freshwater_crayfish</v>
      </c>
      <c r="I1129" t="str">
        <f t="shared" si="126"/>
        <v>Kōura</v>
      </c>
      <c r="J1129" t="str">
        <f t="shared" si="127"/>
        <v>Native</v>
      </c>
      <c r="K1129" t="str">
        <f t="shared" si="128"/>
        <v>Yes</v>
      </c>
      <c r="L1129">
        <v>1</v>
      </c>
      <c r="M1129" t="s">
        <v>177</v>
      </c>
      <c r="N1129">
        <v>21</v>
      </c>
      <c r="O1129">
        <v>8</v>
      </c>
      <c r="T1129" t="str">
        <f t="shared" si="124"/>
        <v/>
      </c>
    </row>
    <row r="1130" spans="1:20" x14ac:dyDescent="0.55000000000000004">
      <c r="A1130">
        <v>11</v>
      </c>
      <c r="B1130" s="15" t="str">
        <f t="shared" si="129"/>
        <v>11_2</v>
      </c>
      <c r="C1130" s="20">
        <v>45855.368055555555</v>
      </c>
      <c r="D1130" t="s">
        <v>174</v>
      </c>
      <c r="E1130">
        <v>2</v>
      </c>
      <c r="F1130" t="s">
        <v>115</v>
      </c>
      <c r="G1130" t="str">
        <f t="shared" si="130"/>
        <v>Paranephrops planifrons</v>
      </c>
      <c r="H1130" t="str">
        <f t="shared" si="125"/>
        <v>Freshwater_crayfish</v>
      </c>
      <c r="I1130" t="str">
        <f t="shared" si="126"/>
        <v>Kōura</v>
      </c>
      <c r="J1130" t="str">
        <f t="shared" si="127"/>
        <v>Native</v>
      </c>
      <c r="K1130" t="str">
        <f t="shared" si="128"/>
        <v>Yes</v>
      </c>
      <c r="L1130">
        <v>1</v>
      </c>
      <c r="M1130" t="s">
        <v>177</v>
      </c>
      <c r="N1130">
        <v>30</v>
      </c>
      <c r="O1130">
        <v>19</v>
      </c>
      <c r="T1130" t="str">
        <f t="shared" si="124"/>
        <v/>
      </c>
    </row>
    <row r="1131" spans="1:20" x14ac:dyDescent="0.55000000000000004">
      <c r="A1131">
        <v>11</v>
      </c>
      <c r="B1131" s="15" t="str">
        <f t="shared" si="129"/>
        <v>11_2</v>
      </c>
      <c r="C1131" s="20">
        <v>45855.368055555555</v>
      </c>
      <c r="D1131" t="s">
        <v>174</v>
      </c>
      <c r="E1131">
        <v>2</v>
      </c>
      <c r="F1131" t="s">
        <v>115</v>
      </c>
      <c r="G1131" t="str">
        <f t="shared" si="130"/>
        <v>Paranephrops planifrons</v>
      </c>
      <c r="H1131" t="str">
        <f t="shared" si="125"/>
        <v>Freshwater_crayfish</v>
      </c>
      <c r="I1131" t="str">
        <f t="shared" si="126"/>
        <v>Kōura</v>
      </c>
      <c r="J1131" t="str">
        <f t="shared" si="127"/>
        <v>Native</v>
      </c>
      <c r="K1131" t="str">
        <f t="shared" si="128"/>
        <v>Yes</v>
      </c>
      <c r="L1131">
        <v>1</v>
      </c>
      <c r="M1131" t="s">
        <v>177</v>
      </c>
      <c r="N1131">
        <v>21</v>
      </c>
      <c r="O1131">
        <v>6</v>
      </c>
      <c r="T1131" t="str">
        <f t="shared" si="124"/>
        <v/>
      </c>
    </row>
    <row r="1132" spans="1:20" x14ac:dyDescent="0.55000000000000004">
      <c r="A1132">
        <v>11</v>
      </c>
      <c r="B1132" s="15" t="str">
        <f t="shared" si="129"/>
        <v>11_2</v>
      </c>
      <c r="C1132" s="20">
        <v>45855.368055555555</v>
      </c>
      <c r="D1132" t="s">
        <v>175</v>
      </c>
      <c r="E1132">
        <v>2</v>
      </c>
      <c r="F1132" t="s">
        <v>135</v>
      </c>
      <c r="G1132" t="str">
        <f t="shared" si="130"/>
        <v>Gobiomorphus cotidianus</v>
      </c>
      <c r="H1132" t="str">
        <f t="shared" si="125"/>
        <v>Common_bully</v>
      </c>
      <c r="I1132" t="str">
        <f t="shared" si="126"/>
        <v>Toitoi</v>
      </c>
      <c r="J1132" t="str">
        <f t="shared" si="127"/>
        <v>Native</v>
      </c>
      <c r="K1132" t="str">
        <f t="shared" si="128"/>
        <v>No</v>
      </c>
      <c r="L1132">
        <v>17</v>
      </c>
      <c r="O1132">
        <v>17</v>
      </c>
      <c r="T1132" t="str">
        <f t="shared" si="124"/>
        <v/>
      </c>
    </row>
    <row r="1133" spans="1:20" x14ac:dyDescent="0.55000000000000004">
      <c r="A1133">
        <v>11</v>
      </c>
      <c r="B1133" s="15" t="str">
        <f t="shared" si="129"/>
        <v>11_2</v>
      </c>
      <c r="C1133" s="20">
        <v>45855.368055555555</v>
      </c>
      <c r="D1133" t="s">
        <v>175</v>
      </c>
      <c r="E1133">
        <v>2</v>
      </c>
      <c r="F1133" t="s">
        <v>130</v>
      </c>
      <c r="G1133" t="str">
        <f t="shared" si="130"/>
        <v>Oncorhynchus mykiss</v>
      </c>
      <c r="H1133" t="str">
        <f t="shared" si="125"/>
        <v>Rainbow_trout</v>
      </c>
      <c r="I1133" t="str">
        <f t="shared" si="126"/>
        <v>Rainbow_trout</v>
      </c>
      <c r="J1133" t="str">
        <f t="shared" si="127"/>
        <v>Nonnative</v>
      </c>
      <c r="K1133" t="str">
        <f t="shared" si="128"/>
        <v>No</v>
      </c>
      <c r="L1133">
        <v>1</v>
      </c>
      <c r="N1133">
        <v>255</v>
      </c>
      <c r="O1133">
        <v>176</v>
      </c>
      <c r="T1133" t="str">
        <f t="shared" si="124"/>
        <v/>
      </c>
    </row>
    <row r="1134" spans="1:20" x14ac:dyDescent="0.55000000000000004">
      <c r="A1134">
        <v>11</v>
      </c>
      <c r="B1134" s="15" t="str">
        <f t="shared" si="129"/>
        <v>11_2</v>
      </c>
      <c r="C1134" s="20">
        <v>45855.368055555555</v>
      </c>
      <c r="D1134" t="s">
        <v>175</v>
      </c>
      <c r="E1134">
        <v>2</v>
      </c>
      <c r="F1134" t="s">
        <v>127</v>
      </c>
      <c r="G1134" t="str">
        <f t="shared" si="130"/>
        <v>Galaxias brevipinnis</v>
      </c>
      <c r="H1134" t="str">
        <f t="shared" si="125"/>
        <v>Climbing_galaxias</v>
      </c>
      <c r="I1134" t="str">
        <f t="shared" si="126"/>
        <v>Kōaro</v>
      </c>
      <c r="J1134" t="str">
        <f t="shared" si="127"/>
        <v>Native</v>
      </c>
      <c r="K1134" t="str">
        <f t="shared" si="128"/>
        <v>Yes</v>
      </c>
      <c r="L1134">
        <v>1</v>
      </c>
      <c r="N1134">
        <v>173</v>
      </c>
      <c r="O1134">
        <v>64</v>
      </c>
      <c r="T1134" t="str">
        <f t="shared" si="124"/>
        <v/>
      </c>
    </row>
    <row r="1135" spans="1:20" x14ac:dyDescent="0.55000000000000004">
      <c r="A1135">
        <v>11</v>
      </c>
      <c r="B1135" s="15" t="str">
        <f t="shared" si="129"/>
        <v>11_2</v>
      </c>
      <c r="C1135" s="20">
        <v>45855.368055555555</v>
      </c>
      <c r="D1135" t="s">
        <v>175</v>
      </c>
      <c r="E1135">
        <v>2</v>
      </c>
      <c r="F1135" t="s">
        <v>127</v>
      </c>
      <c r="G1135" t="str">
        <f t="shared" si="130"/>
        <v>Galaxias brevipinnis</v>
      </c>
      <c r="H1135" t="str">
        <f t="shared" si="125"/>
        <v>Climbing_galaxias</v>
      </c>
      <c r="I1135" t="str">
        <f t="shared" si="126"/>
        <v>Kōaro</v>
      </c>
      <c r="J1135" t="str">
        <f t="shared" si="127"/>
        <v>Native</v>
      </c>
      <c r="K1135" t="str">
        <f t="shared" si="128"/>
        <v>Yes</v>
      </c>
      <c r="L1135">
        <v>1</v>
      </c>
      <c r="N1135">
        <v>154</v>
      </c>
      <c r="O1135">
        <v>33</v>
      </c>
      <c r="T1135" t="str">
        <f t="shared" si="124"/>
        <v/>
      </c>
    </row>
    <row r="1136" spans="1:20" x14ac:dyDescent="0.55000000000000004">
      <c r="A1136">
        <v>11</v>
      </c>
      <c r="B1136" s="15" t="str">
        <f t="shared" si="129"/>
        <v>11_2</v>
      </c>
      <c r="C1136" s="20">
        <v>45855.368055555555</v>
      </c>
      <c r="D1136" t="s">
        <v>175</v>
      </c>
      <c r="E1136">
        <v>2</v>
      </c>
      <c r="F1136" t="s">
        <v>115</v>
      </c>
      <c r="G1136" t="str">
        <f t="shared" si="130"/>
        <v>Paranephrops planifrons</v>
      </c>
      <c r="H1136" t="str">
        <f t="shared" si="125"/>
        <v>Freshwater_crayfish</v>
      </c>
      <c r="I1136" t="str">
        <f t="shared" si="126"/>
        <v>Kōura</v>
      </c>
      <c r="J1136" t="str">
        <f t="shared" si="127"/>
        <v>Native</v>
      </c>
      <c r="K1136" t="str">
        <f t="shared" si="128"/>
        <v>Yes</v>
      </c>
      <c r="L1136">
        <v>1</v>
      </c>
      <c r="M1136" t="s">
        <v>177</v>
      </c>
      <c r="N1136">
        <v>36</v>
      </c>
      <c r="O1136">
        <v>34</v>
      </c>
      <c r="T1136" t="str">
        <f t="shared" si="124"/>
        <v/>
      </c>
    </row>
    <row r="1137" spans="1:20" x14ac:dyDescent="0.55000000000000004">
      <c r="A1137">
        <v>11</v>
      </c>
      <c r="B1137" s="15" t="str">
        <f t="shared" si="129"/>
        <v>11_2</v>
      </c>
      <c r="C1137" s="20">
        <v>45855.368055555555</v>
      </c>
      <c r="D1137" t="s">
        <v>175</v>
      </c>
      <c r="E1137">
        <v>2</v>
      </c>
      <c r="F1137" t="s">
        <v>115</v>
      </c>
      <c r="G1137" t="str">
        <f t="shared" si="130"/>
        <v>Paranephrops planifrons</v>
      </c>
      <c r="H1137" t="str">
        <f t="shared" si="125"/>
        <v>Freshwater_crayfish</v>
      </c>
      <c r="I1137" t="str">
        <f t="shared" si="126"/>
        <v>Kōura</v>
      </c>
      <c r="J1137" t="str">
        <f t="shared" si="127"/>
        <v>Native</v>
      </c>
      <c r="K1137" t="str">
        <f t="shared" si="128"/>
        <v>Yes</v>
      </c>
      <c r="L1137">
        <v>1</v>
      </c>
      <c r="M1137" t="s">
        <v>177</v>
      </c>
      <c r="N1137">
        <v>35</v>
      </c>
      <c r="O1137">
        <v>35</v>
      </c>
      <c r="T1137" t="str">
        <f t="shared" si="124"/>
        <v/>
      </c>
    </row>
    <row r="1138" spans="1:20" x14ac:dyDescent="0.55000000000000004">
      <c r="A1138">
        <v>11</v>
      </c>
      <c r="B1138" s="15" t="str">
        <f t="shared" si="129"/>
        <v>11_2</v>
      </c>
      <c r="C1138" s="20">
        <v>45855.368055555555</v>
      </c>
      <c r="D1138" t="s">
        <v>175</v>
      </c>
      <c r="E1138">
        <v>2</v>
      </c>
      <c r="F1138" t="s">
        <v>115</v>
      </c>
      <c r="G1138" t="str">
        <f t="shared" si="130"/>
        <v>Paranephrops planifrons</v>
      </c>
      <c r="H1138" t="str">
        <f t="shared" si="125"/>
        <v>Freshwater_crayfish</v>
      </c>
      <c r="I1138" t="str">
        <f t="shared" si="126"/>
        <v>Kōura</v>
      </c>
      <c r="J1138" t="str">
        <f t="shared" si="127"/>
        <v>Native</v>
      </c>
      <c r="K1138" t="str">
        <f t="shared" si="128"/>
        <v>Yes</v>
      </c>
      <c r="L1138">
        <v>1</v>
      </c>
      <c r="M1138" t="s">
        <v>177</v>
      </c>
      <c r="N1138">
        <v>35</v>
      </c>
      <c r="O1138">
        <v>35</v>
      </c>
      <c r="T1138" t="str">
        <f t="shared" si="124"/>
        <v/>
      </c>
    </row>
    <row r="1139" spans="1:20" x14ac:dyDescent="0.55000000000000004">
      <c r="A1139">
        <v>11</v>
      </c>
      <c r="B1139" s="15" t="str">
        <f t="shared" si="129"/>
        <v>11_2</v>
      </c>
      <c r="C1139" s="20">
        <v>45855.368055555555</v>
      </c>
      <c r="D1139" t="s">
        <v>175</v>
      </c>
      <c r="E1139">
        <v>2</v>
      </c>
      <c r="F1139" t="s">
        <v>115</v>
      </c>
      <c r="G1139" t="str">
        <f t="shared" si="130"/>
        <v>Paranephrops planifrons</v>
      </c>
      <c r="H1139" t="str">
        <f t="shared" si="125"/>
        <v>Freshwater_crayfish</v>
      </c>
      <c r="I1139" t="str">
        <f t="shared" si="126"/>
        <v>Kōura</v>
      </c>
      <c r="J1139" t="str">
        <f t="shared" si="127"/>
        <v>Native</v>
      </c>
      <c r="K1139" t="str">
        <f t="shared" si="128"/>
        <v>Yes</v>
      </c>
      <c r="L1139">
        <v>1</v>
      </c>
      <c r="M1139" t="s">
        <v>176</v>
      </c>
      <c r="N1139">
        <v>27</v>
      </c>
      <c r="O1139">
        <v>16</v>
      </c>
      <c r="T1139" t="str">
        <f t="shared" si="124"/>
        <v/>
      </c>
    </row>
    <row r="1140" spans="1:20" x14ac:dyDescent="0.55000000000000004">
      <c r="A1140">
        <v>11</v>
      </c>
      <c r="B1140" s="15" t="str">
        <f t="shared" si="129"/>
        <v>11_2</v>
      </c>
      <c r="C1140" s="20">
        <v>45855.368055555555</v>
      </c>
      <c r="D1140" t="s">
        <v>175</v>
      </c>
      <c r="E1140">
        <v>2</v>
      </c>
      <c r="F1140" t="s">
        <v>115</v>
      </c>
      <c r="G1140" t="str">
        <f t="shared" si="130"/>
        <v>Paranephrops planifrons</v>
      </c>
      <c r="H1140" t="str">
        <f t="shared" si="125"/>
        <v>Freshwater_crayfish</v>
      </c>
      <c r="I1140" t="str">
        <f t="shared" si="126"/>
        <v>Kōura</v>
      </c>
      <c r="J1140" t="str">
        <f t="shared" si="127"/>
        <v>Native</v>
      </c>
      <c r="K1140" t="str">
        <f t="shared" si="128"/>
        <v>Yes</v>
      </c>
      <c r="L1140">
        <v>1</v>
      </c>
      <c r="M1140" t="s">
        <v>177</v>
      </c>
      <c r="N1140">
        <v>39</v>
      </c>
      <c r="O1140">
        <v>45</v>
      </c>
      <c r="T1140" t="str">
        <f t="shared" ref="T1140:T1203" si="131">IF(S1140&lt;&gt;"", S1140*236.588, "")</f>
        <v/>
      </c>
    </row>
    <row r="1141" spans="1:20" x14ac:dyDescent="0.55000000000000004">
      <c r="A1141">
        <v>11</v>
      </c>
      <c r="B1141" s="15" t="str">
        <f t="shared" si="129"/>
        <v>11_2</v>
      </c>
      <c r="C1141" s="20">
        <v>45855.368055555555</v>
      </c>
      <c r="D1141" t="s">
        <v>175</v>
      </c>
      <c r="E1141">
        <v>2</v>
      </c>
      <c r="F1141" t="s">
        <v>115</v>
      </c>
      <c r="G1141" t="str">
        <f t="shared" si="130"/>
        <v>Paranephrops planifrons</v>
      </c>
      <c r="H1141" t="str">
        <f t="shared" si="125"/>
        <v>Freshwater_crayfish</v>
      </c>
      <c r="I1141" t="str">
        <f t="shared" si="126"/>
        <v>Kōura</v>
      </c>
      <c r="J1141" t="str">
        <f t="shared" si="127"/>
        <v>Native</v>
      </c>
      <c r="K1141" t="str">
        <f t="shared" si="128"/>
        <v>Yes</v>
      </c>
      <c r="L1141">
        <v>1</v>
      </c>
      <c r="M1141" t="s">
        <v>177</v>
      </c>
      <c r="N1141">
        <v>23</v>
      </c>
      <c r="O1141">
        <v>11</v>
      </c>
      <c r="T1141" t="str">
        <f t="shared" si="131"/>
        <v/>
      </c>
    </row>
    <row r="1142" spans="1:20" x14ac:dyDescent="0.55000000000000004">
      <c r="A1142">
        <v>11</v>
      </c>
      <c r="B1142" s="15" t="str">
        <f t="shared" si="129"/>
        <v>11_2</v>
      </c>
      <c r="C1142" s="20">
        <v>45855.368055555555</v>
      </c>
      <c r="D1142" t="s">
        <v>175</v>
      </c>
      <c r="E1142">
        <v>2</v>
      </c>
      <c r="F1142" t="s">
        <v>115</v>
      </c>
      <c r="G1142" t="str">
        <f t="shared" si="130"/>
        <v>Paranephrops planifrons</v>
      </c>
      <c r="H1142" t="str">
        <f t="shared" si="125"/>
        <v>Freshwater_crayfish</v>
      </c>
      <c r="I1142" t="str">
        <f t="shared" si="126"/>
        <v>Kōura</v>
      </c>
      <c r="J1142" t="str">
        <f t="shared" si="127"/>
        <v>Native</v>
      </c>
      <c r="K1142" t="str">
        <f t="shared" si="128"/>
        <v>Yes</v>
      </c>
      <c r="L1142">
        <v>1</v>
      </c>
      <c r="M1142" t="s">
        <v>176</v>
      </c>
      <c r="N1142">
        <v>28</v>
      </c>
      <c r="O1142">
        <v>19</v>
      </c>
      <c r="T1142" t="str">
        <f t="shared" si="131"/>
        <v/>
      </c>
    </row>
    <row r="1143" spans="1:20" x14ac:dyDescent="0.55000000000000004">
      <c r="A1143">
        <v>11</v>
      </c>
      <c r="B1143" s="15" t="str">
        <f t="shared" si="129"/>
        <v>11_2</v>
      </c>
      <c r="C1143" s="20">
        <v>45855.368055555555</v>
      </c>
      <c r="D1143" t="s">
        <v>175</v>
      </c>
      <c r="E1143">
        <v>2</v>
      </c>
      <c r="F1143" t="s">
        <v>115</v>
      </c>
      <c r="G1143" t="str">
        <f t="shared" si="130"/>
        <v>Paranephrops planifrons</v>
      </c>
      <c r="H1143" t="str">
        <f t="shared" si="125"/>
        <v>Freshwater_crayfish</v>
      </c>
      <c r="I1143" t="str">
        <f t="shared" si="126"/>
        <v>Kōura</v>
      </c>
      <c r="J1143" t="str">
        <f t="shared" si="127"/>
        <v>Native</v>
      </c>
      <c r="K1143" t="str">
        <f t="shared" si="128"/>
        <v>Yes</v>
      </c>
      <c r="L1143">
        <v>1</v>
      </c>
      <c r="M1143" t="s">
        <v>176</v>
      </c>
      <c r="N1143">
        <v>22</v>
      </c>
      <c r="O1143">
        <v>8</v>
      </c>
      <c r="T1143" t="str">
        <f t="shared" si="131"/>
        <v/>
      </c>
    </row>
    <row r="1144" spans="1:20" x14ac:dyDescent="0.55000000000000004">
      <c r="A1144">
        <v>11</v>
      </c>
      <c r="B1144" s="15" t="str">
        <f t="shared" si="129"/>
        <v>11_2</v>
      </c>
      <c r="C1144" s="20">
        <v>45855.368055555555</v>
      </c>
      <c r="D1144" t="s">
        <v>175</v>
      </c>
      <c r="E1144">
        <v>2</v>
      </c>
      <c r="F1144" t="s">
        <v>115</v>
      </c>
      <c r="G1144" t="str">
        <f t="shared" si="130"/>
        <v>Paranephrops planifrons</v>
      </c>
      <c r="H1144" t="str">
        <f t="shared" si="125"/>
        <v>Freshwater_crayfish</v>
      </c>
      <c r="I1144" t="str">
        <f t="shared" si="126"/>
        <v>Kōura</v>
      </c>
      <c r="J1144" t="str">
        <f t="shared" si="127"/>
        <v>Native</v>
      </c>
      <c r="K1144" t="str">
        <f t="shared" si="128"/>
        <v>Yes</v>
      </c>
      <c r="L1144">
        <v>1</v>
      </c>
      <c r="M1144" t="s">
        <v>176</v>
      </c>
      <c r="N1144">
        <v>24</v>
      </c>
      <c r="O1144">
        <v>8</v>
      </c>
      <c r="T1144" t="str">
        <f t="shared" si="131"/>
        <v/>
      </c>
    </row>
    <row r="1145" spans="1:20" x14ac:dyDescent="0.55000000000000004">
      <c r="A1145">
        <v>11</v>
      </c>
      <c r="B1145" s="15" t="str">
        <f t="shared" si="129"/>
        <v>11_2</v>
      </c>
      <c r="C1145" s="20">
        <v>45855.368055555555</v>
      </c>
      <c r="D1145" t="s">
        <v>175</v>
      </c>
      <c r="E1145">
        <v>2</v>
      </c>
      <c r="F1145" t="s">
        <v>115</v>
      </c>
      <c r="G1145" t="str">
        <f t="shared" si="130"/>
        <v>Paranephrops planifrons</v>
      </c>
      <c r="H1145" t="str">
        <f t="shared" si="125"/>
        <v>Freshwater_crayfish</v>
      </c>
      <c r="I1145" t="str">
        <f t="shared" si="126"/>
        <v>Kōura</v>
      </c>
      <c r="J1145" t="str">
        <f t="shared" si="127"/>
        <v>Native</v>
      </c>
      <c r="K1145" t="str">
        <f t="shared" si="128"/>
        <v>Yes</v>
      </c>
      <c r="L1145">
        <v>1</v>
      </c>
      <c r="M1145" t="s">
        <v>177</v>
      </c>
      <c r="N1145">
        <v>21</v>
      </c>
      <c r="O1145">
        <v>21</v>
      </c>
      <c r="P1145">
        <v>1</v>
      </c>
      <c r="T1145" t="str">
        <f t="shared" si="131"/>
        <v/>
      </c>
    </row>
    <row r="1146" spans="1:20" x14ac:dyDescent="0.55000000000000004">
      <c r="A1146">
        <v>11</v>
      </c>
      <c r="B1146" s="15" t="str">
        <f t="shared" si="129"/>
        <v>11_2</v>
      </c>
      <c r="C1146" s="20">
        <v>45855.368055555555</v>
      </c>
      <c r="D1146" t="s">
        <v>175</v>
      </c>
      <c r="E1146">
        <v>2</v>
      </c>
      <c r="F1146" t="s">
        <v>115</v>
      </c>
      <c r="G1146" t="str">
        <f t="shared" si="130"/>
        <v>Paranephrops planifrons</v>
      </c>
      <c r="H1146" t="str">
        <f t="shared" si="125"/>
        <v>Freshwater_crayfish</v>
      </c>
      <c r="I1146" t="str">
        <f t="shared" si="126"/>
        <v>Kōura</v>
      </c>
      <c r="J1146" t="str">
        <f t="shared" si="127"/>
        <v>Native</v>
      </c>
      <c r="K1146" t="str">
        <f t="shared" si="128"/>
        <v>Yes</v>
      </c>
      <c r="L1146">
        <v>1</v>
      </c>
      <c r="M1146" t="s">
        <v>177</v>
      </c>
      <c r="N1146">
        <v>23</v>
      </c>
      <c r="O1146">
        <v>10</v>
      </c>
      <c r="P1146">
        <v>1</v>
      </c>
      <c r="T1146" t="str">
        <f t="shared" si="131"/>
        <v/>
      </c>
    </row>
    <row r="1147" spans="1:20" x14ac:dyDescent="0.55000000000000004">
      <c r="A1147">
        <v>11</v>
      </c>
      <c r="B1147" s="15" t="str">
        <f t="shared" si="129"/>
        <v>11_2</v>
      </c>
      <c r="C1147" s="20">
        <v>45855.368055555555</v>
      </c>
      <c r="D1147" t="s">
        <v>175</v>
      </c>
      <c r="E1147">
        <v>2</v>
      </c>
      <c r="F1147" t="s">
        <v>115</v>
      </c>
      <c r="G1147" t="str">
        <f t="shared" si="130"/>
        <v>Paranephrops planifrons</v>
      </c>
      <c r="H1147" t="str">
        <f t="shared" si="125"/>
        <v>Freshwater_crayfish</v>
      </c>
      <c r="I1147" t="str">
        <f t="shared" si="126"/>
        <v>Kōura</v>
      </c>
      <c r="J1147" t="str">
        <f t="shared" si="127"/>
        <v>Native</v>
      </c>
      <c r="K1147" t="str">
        <f t="shared" si="128"/>
        <v>Yes</v>
      </c>
      <c r="L1147">
        <v>1</v>
      </c>
      <c r="M1147" t="s">
        <v>177</v>
      </c>
      <c r="N1147">
        <v>35</v>
      </c>
      <c r="O1147">
        <v>33</v>
      </c>
      <c r="T1147" t="str">
        <f t="shared" si="131"/>
        <v/>
      </c>
    </row>
    <row r="1148" spans="1:20" x14ac:dyDescent="0.55000000000000004">
      <c r="A1148">
        <v>11</v>
      </c>
      <c r="B1148" s="15" t="str">
        <f t="shared" si="129"/>
        <v>11_2</v>
      </c>
      <c r="C1148" s="20">
        <v>45855.368055555555</v>
      </c>
      <c r="D1148" t="s">
        <v>175</v>
      </c>
      <c r="E1148">
        <v>2</v>
      </c>
      <c r="F1148" t="s">
        <v>115</v>
      </c>
      <c r="G1148" t="str">
        <f t="shared" si="130"/>
        <v>Paranephrops planifrons</v>
      </c>
      <c r="H1148" t="str">
        <f t="shared" si="125"/>
        <v>Freshwater_crayfish</v>
      </c>
      <c r="I1148" t="str">
        <f t="shared" si="126"/>
        <v>Kōura</v>
      </c>
      <c r="J1148" t="str">
        <f t="shared" si="127"/>
        <v>Native</v>
      </c>
      <c r="K1148" t="str">
        <f t="shared" si="128"/>
        <v>Yes</v>
      </c>
      <c r="L1148">
        <v>1</v>
      </c>
      <c r="M1148" t="s">
        <v>177</v>
      </c>
      <c r="N1148">
        <v>21</v>
      </c>
      <c r="O1148">
        <v>9</v>
      </c>
      <c r="T1148" t="str">
        <f t="shared" si="131"/>
        <v/>
      </c>
    </row>
    <row r="1149" spans="1:20" x14ac:dyDescent="0.55000000000000004">
      <c r="A1149">
        <v>11</v>
      </c>
      <c r="B1149" s="15" t="str">
        <f t="shared" si="129"/>
        <v>11_2</v>
      </c>
      <c r="C1149" s="20">
        <v>45855.368055555555</v>
      </c>
      <c r="D1149" t="s">
        <v>175</v>
      </c>
      <c r="E1149">
        <v>2</v>
      </c>
      <c r="F1149" t="s">
        <v>115</v>
      </c>
      <c r="G1149" t="str">
        <f t="shared" si="130"/>
        <v>Paranephrops planifrons</v>
      </c>
      <c r="H1149" t="str">
        <f t="shared" si="125"/>
        <v>Freshwater_crayfish</v>
      </c>
      <c r="I1149" t="str">
        <f t="shared" si="126"/>
        <v>Kōura</v>
      </c>
      <c r="J1149" t="str">
        <f t="shared" si="127"/>
        <v>Native</v>
      </c>
      <c r="K1149" t="str">
        <f t="shared" si="128"/>
        <v>Yes</v>
      </c>
      <c r="L1149">
        <v>1</v>
      </c>
      <c r="M1149" t="s">
        <v>177</v>
      </c>
      <c r="N1149">
        <v>25</v>
      </c>
      <c r="O1149">
        <v>11</v>
      </c>
      <c r="P1149">
        <v>1</v>
      </c>
      <c r="T1149" t="str">
        <f t="shared" si="131"/>
        <v/>
      </c>
    </row>
    <row r="1150" spans="1:20" x14ac:dyDescent="0.55000000000000004">
      <c r="A1150">
        <v>11</v>
      </c>
      <c r="B1150" s="15" t="str">
        <f t="shared" si="129"/>
        <v>11_2</v>
      </c>
      <c r="C1150" s="20">
        <v>45855.368055555555</v>
      </c>
      <c r="D1150" t="s">
        <v>175</v>
      </c>
      <c r="E1150">
        <v>2</v>
      </c>
      <c r="F1150" t="s">
        <v>115</v>
      </c>
      <c r="G1150" t="str">
        <f t="shared" si="130"/>
        <v>Paranephrops planifrons</v>
      </c>
      <c r="H1150" t="str">
        <f t="shared" si="125"/>
        <v>Freshwater_crayfish</v>
      </c>
      <c r="I1150" t="str">
        <f t="shared" si="126"/>
        <v>Kōura</v>
      </c>
      <c r="J1150" t="str">
        <f t="shared" si="127"/>
        <v>Native</v>
      </c>
      <c r="K1150" t="str">
        <f t="shared" si="128"/>
        <v>Yes</v>
      </c>
      <c r="L1150">
        <v>1</v>
      </c>
      <c r="M1150" t="s">
        <v>176</v>
      </c>
      <c r="N1150">
        <v>25</v>
      </c>
      <c r="O1150">
        <v>12</v>
      </c>
      <c r="T1150" t="str">
        <f t="shared" si="131"/>
        <v/>
      </c>
    </row>
    <row r="1151" spans="1:20" x14ac:dyDescent="0.55000000000000004">
      <c r="A1151">
        <v>11</v>
      </c>
      <c r="B1151" s="15" t="str">
        <f t="shared" si="129"/>
        <v>11_2</v>
      </c>
      <c r="C1151" s="20">
        <v>45855.368055555555</v>
      </c>
      <c r="D1151" t="s">
        <v>175</v>
      </c>
      <c r="E1151">
        <v>2</v>
      </c>
      <c r="F1151" t="s">
        <v>115</v>
      </c>
      <c r="G1151" t="str">
        <f t="shared" si="130"/>
        <v>Paranephrops planifrons</v>
      </c>
      <c r="H1151" t="str">
        <f t="shared" si="125"/>
        <v>Freshwater_crayfish</v>
      </c>
      <c r="I1151" t="str">
        <f t="shared" si="126"/>
        <v>Kōura</v>
      </c>
      <c r="J1151" t="str">
        <f t="shared" si="127"/>
        <v>Native</v>
      </c>
      <c r="K1151" t="str">
        <f t="shared" si="128"/>
        <v>Yes</v>
      </c>
      <c r="L1151">
        <v>1</v>
      </c>
      <c r="M1151" t="s">
        <v>177</v>
      </c>
      <c r="N1151">
        <v>41</v>
      </c>
      <c r="O1151">
        <v>50</v>
      </c>
      <c r="T1151" t="str">
        <f t="shared" si="131"/>
        <v/>
      </c>
    </row>
    <row r="1152" spans="1:20" x14ac:dyDescent="0.55000000000000004">
      <c r="A1152">
        <v>11</v>
      </c>
      <c r="B1152" s="15" t="str">
        <f t="shared" si="129"/>
        <v>11_2</v>
      </c>
      <c r="C1152" s="20">
        <v>45855.368055555555</v>
      </c>
      <c r="D1152" t="s">
        <v>175</v>
      </c>
      <c r="E1152">
        <v>2</v>
      </c>
      <c r="F1152" t="s">
        <v>115</v>
      </c>
      <c r="G1152" t="str">
        <f t="shared" si="130"/>
        <v>Paranephrops planifrons</v>
      </c>
      <c r="H1152" t="str">
        <f t="shared" si="125"/>
        <v>Freshwater_crayfish</v>
      </c>
      <c r="I1152" t="str">
        <f t="shared" si="126"/>
        <v>Kōura</v>
      </c>
      <c r="J1152" t="str">
        <f t="shared" si="127"/>
        <v>Native</v>
      </c>
      <c r="K1152" t="str">
        <f t="shared" si="128"/>
        <v>Yes</v>
      </c>
      <c r="L1152">
        <v>1</v>
      </c>
      <c r="M1152" t="s">
        <v>177</v>
      </c>
      <c r="N1152">
        <v>30</v>
      </c>
      <c r="O1152">
        <v>20</v>
      </c>
      <c r="T1152" t="str">
        <f t="shared" si="131"/>
        <v/>
      </c>
    </row>
    <row r="1153" spans="1:20" x14ac:dyDescent="0.55000000000000004">
      <c r="A1153">
        <v>11</v>
      </c>
      <c r="B1153" s="15" t="str">
        <f t="shared" si="129"/>
        <v>11_2</v>
      </c>
      <c r="C1153" s="20">
        <v>45855.368055555555</v>
      </c>
      <c r="D1153" t="s">
        <v>175</v>
      </c>
      <c r="E1153">
        <v>2</v>
      </c>
      <c r="F1153" t="s">
        <v>115</v>
      </c>
      <c r="G1153" t="str">
        <f t="shared" si="130"/>
        <v>Paranephrops planifrons</v>
      </c>
      <c r="H1153" t="str">
        <f t="shared" ref="H1153:H1216" si="132">VLOOKUP($F1153, $W$1:$AB$10, 3, FALSE)</f>
        <v>Freshwater_crayfish</v>
      </c>
      <c r="I1153" t="str">
        <f t="shared" ref="I1153:I1216" si="133">VLOOKUP($F1153, $W$1:$AB$10, 4, FALSE)</f>
        <v>Kōura</v>
      </c>
      <c r="J1153" t="str">
        <f t="shared" ref="J1153:J1216" si="134">VLOOKUP($F1153, $W$1:$AC$10, 5, FALSE)</f>
        <v>Native</v>
      </c>
      <c r="K1153" t="str">
        <f t="shared" ref="K1153:K1216" si="135">VLOOKUP($F1153, $W$1:$AB$10, 6, FALSE)</f>
        <v>Yes</v>
      </c>
      <c r="L1153">
        <v>1</v>
      </c>
      <c r="M1153" t="s">
        <v>176</v>
      </c>
      <c r="N1153">
        <v>18</v>
      </c>
      <c r="O1153">
        <v>5</v>
      </c>
      <c r="T1153" t="str">
        <f t="shared" si="131"/>
        <v/>
      </c>
    </row>
    <row r="1154" spans="1:20" x14ac:dyDescent="0.55000000000000004">
      <c r="A1154">
        <v>11</v>
      </c>
      <c r="B1154" s="15" t="str">
        <f t="shared" si="129"/>
        <v>11_2</v>
      </c>
      <c r="C1154" s="20">
        <v>45855.368055555555</v>
      </c>
      <c r="D1154" t="s">
        <v>175</v>
      </c>
      <c r="E1154">
        <v>2</v>
      </c>
      <c r="F1154" t="s">
        <v>115</v>
      </c>
      <c r="G1154" t="str">
        <f t="shared" si="130"/>
        <v>Paranephrops planifrons</v>
      </c>
      <c r="H1154" t="str">
        <f t="shared" si="132"/>
        <v>Freshwater_crayfish</v>
      </c>
      <c r="I1154" t="str">
        <f t="shared" si="133"/>
        <v>Kōura</v>
      </c>
      <c r="J1154" t="str">
        <f t="shared" si="134"/>
        <v>Native</v>
      </c>
      <c r="K1154" t="str">
        <f t="shared" si="135"/>
        <v>Yes</v>
      </c>
      <c r="L1154">
        <v>1</v>
      </c>
      <c r="M1154" t="s">
        <v>176</v>
      </c>
      <c r="N1154">
        <v>23</v>
      </c>
      <c r="O1154">
        <v>10</v>
      </c>
      <c r="T1154" t="str">
        <f t="shared" si="131"/>
        <v/>
      </c>
    </row>
    <row r="1155" spans="1:20" x14ac:dyDescent="0.55000000000000004">
      <c r="A1155">
        <v>11</v>
      </c>
      <c r="B1155" s="15" t="str">
        <f t="shared" si="129"/>
        <v>11_2</v>
      </c>
      <c r="C1155" s="20">
        <v>45855.368055555555</v>
      </c>
      <c r="D1155" t="s">
        <v>175</v>
      </c>
      <c r="E1155">
        <v>2</v>
      </c>
      <c r="F1155" t="s">
        <v>115</v>
      </c>
      <c r="G1155" t="str">
        <f t="shared" si="130"/>
        <v>Paranephrops planifrons</v>
      </c>
      <c r="H1155" t="str">
        <f t="shared" si="132"/>
        <v>Freshwater_crayfish</v>
      </c>
      <c r="I1155" t="str">
        <f t="shared" si="133"/>
        <v>Kōura</v>
      </c>
      <c r="J1155" t="str">
        <f t="shared" si="134"/>
        <v>Native</v>
      </c>
      <c r="K1155" t="str">
        <f t="shared" si="135"/>
        <v>Yes</v>
      </c>
      <c r="L1155">
        <v>1</v>
      </c>
      <c r="M1155" t="s">
        <v>177</v>
      </c>
      <c r="N1155">
        <v>27</v>
      </c>
      <c r="O1155">
        <v>16</v>
      </c>
      <c r="T1155" t="str">
        <f t="shared" si="131"/>
        <v/>
      </c>
    </row>
    <row r="1156" spans="1:20" x14ac:dyDescent="0.55000000000000004">
      <c r="A1156">
        <v>11</v>
      </c>
      <c r="B1156" s="15" t="str">
        <f t="shared" si="129"/>
        <v>11_2</v>
      </c>
      <c r="C1156" s="20">
        <v>45855.368055555555</v>
      </c>
      <c r="D1156" t="s">
        <v>175</v>
      </c>
      <c r="E1156">
        <v>2</v>
      </c>
      <c r="F1156" t="s">
        <v>115</v>
      </c>
      <c r="G1156" t="str">
        <f t="shared" si="130"/>
        <v>Paranephrops planifrons</v>
      </c>
      <c r="H1156" t="str">
        <f t="shared" si="132"/>
        <v>Freshwater_crayfish</v>
      </c>
      <c r="I1156" t="str">
        <f t="shared" si="133"/>
        <v>Kōura</v>
      </c>
      <c r="J1156" t="str">
        <f t="shared" si="134"/>
        <v>Native</v>
      </c>
      <c r="K1156" t="str">
        <f t="shared" si="135"/>
        <v>Yes</v>
      </c>
      <c r="L1156">
        <v>1</v>
      </c>
      <c r="M1156" t="s">
        <v>177</v>
      </c>
      <c r="N1156">
        <v>19</v>
      </c>
      <c r="O1156">
        <v>6</v>
      </c>
      <c r="T1156" t="str">
        <f t="shared" si="131"/>
        <v/>
      </c>
    </row>
    <row r="1157" spans="1:20" x14ac:dyDescent="0.55000000000000004">
      <c r="A1157">
        <v>11</v>
      </c>
      <c r="B1157" s="15" t="str">
        <f t="shared" si="129"/>
        <v>11_2</v>
      </c>
      <c r="C1157" s="20">
        <v>45855.368055555555</v>
      </c>
      <c r="D1157" t="s">
        <v>175</v>
      </c>
      <c r="E1157">
        <v>2</v>
      </c>
      <c r="F1157" t="s">
        <v>115</v>
      </c>
      <c r="G1157" t="str">
        <f t="shared" si="130"/>
        <v>Paranephrops planifrons</v>
      </c>
      <c r="H1157" t="str">
        <f t="shared" si="132"/>
        <v>Freshwater_crayfish</v>
      </c>
      <c r="I1157" t="str">
        <f t="shared" si="133"/>
        <v>Kōura</v>
      </c>
      <c r="J1157" t="str">
        <f t="shared" si="134"/>
        <v>Native</v>
      </c>
      <c r="K1157" t="str">
        <f t="shared" si="135"/>
        <v>Yes</v>
      </c>
      <c r="L1157">
        <v>1</v>
      </c>
      <c r="M1157" t="s">
        <v>176</v>
      </c>
      <c r="N1157">
        <v>32</v>
      </c>
      <c r="O1157">
        <v>25</v>
      </c>
      <c r="Q1157">
        <v>1</v>
      </c>
      <c r="T1157" t="str">
        <f t="shared" si="131"/>
        <v/>
      </c>
    </row>
    <row r="1158" spans="1:20" x14ac:dyDescent="0.55000000000000004">
      <c r="A1158">
        <v>11</v>
      </c>
      <c r="B1158" s="15" t="str">
        <f t="shared" si="129"/>
        <v>11_2</v>
      </c>
      <c r="C1158" s="20">
        <v>45855.368055555555</v>
      </c>
      <c r="D1158" t="s">
        <v>175</v>
      </c>
      <c r="E1158">
        <v>2</v>
      </c>
      <c r="F1158" t="s">
        <v>115</v>
      </c>
      <c r="G1158" t="str">
        <f t="shared" si="130"/>
        <v>Paranephrops planifrons</v>
      </c>
      <c r="H1158" t="str">
        <f t="shared" si="132"/>
        <v>Freshwater_crayfish</v>
      </c>
      <c r="I1158" t="str">
        <f t="shared" si="133"/>
        <v>Kōura</v>
      </c>
      <c r="J1158" t="str">
        <f t="shared" si="134"/>
        <v>Native</v>
      </c>
      <c r="K1158" t="str">
        <f t="shared" si="135"/>
        <v>Yes</v>
      </c>
      <c r="L1158">
        <v>1</v>
      </c>
      <c r="M1158" t="s">
        <v>177</v>
      </c>
      <c r="N1158">
        <v>21</v>
      </c>
      <c r="O1158">
        <v>6</v>
      </c>
      <c r="T1158" t="str">
        <f t="shared" si="131"/>
        <v/>
      </c>
    </row>
    <row r="1159" spans="1:20" x14ac:dyDescent="0.55000000000000004">
      <c r="A1159">
        <v>11</v>
      </c>
      <c r="B1159" s="15" t="str">
        <f t="shared" si="129"/>
        <v>11_2</v>
      </c>
      <c r="C1159" s="20">
        <v>45855.368055555555</v>
      </c>
      <c r="D1159" t="s">
        <v>175</v>
      </c>
      <c r="E1159">
        <v>2</v>
      </c>
      <c r="F1159" t="s">
        <v>115</v>
      </c>
      <c r="G1159" t="str">
        <f t="shared" si="130"/>
        <v>Paranephrops planifrons</v>
      </c>
      <c r="H1159" t="str">
        <f t="shared" si="132"/>
        <v>Freshwater_crayfish</v>
      </c>
      <c r="I1159" t="str">
        <f t="shared" si="133"/>
        <v>Kōura</v>
      </c>
      <c r="J1159" t="str">
        <f t="shared" si="134"/>
        <v>Native</v>
      </c>
      <c r="K1159" t="str">
        <f t="shared" si="135"/>
        <v>Yes</v>
      </c>
      <c r="L1159">
        <v>1</v>
      </c>
      <c r="M1159" t="s">
        <v>176</v>
      </c>
      <c r="N1159">
        <v>30</v>
      </c>
      <c r="O1159">
        <v>19</v>
      </c>
      <c r="T1159" t="str">
        <f t="shared" si="131"/>
        <v/>
      </c>
    </row>
    <row r="1160" spans="1:20" x14ac:dyDescent="0.55000000000000004">
      <c r="A1160">
        <v>11</v>
      </c>
      <c r="B1160" s="15" t="str">
        <f t="shared" si="129"/>
        <v>11_2</v>
      </c>
      <c r="C1160" s="20">
        <v>45855.368055555555</v>
      </c>
      <c r="D1160" t="s">
        <v>175</v>
      </c>
      <c r="E1160">
        <v>2</v>
      </c>
      <c r="F1160" t="s">
        <v>115</v>
      </c>
      <c r="G1160" t="str">
        <f t="shared" si="130"/>
        <v>Paranephrops planifrons</v>
      </c>
      <c r="H1160" t="str">
        <f t="shared" si="132"/>
        <v>Freshwater_crayfish</v>
      </c>
      <c r="I1160" t="str">
        <f t="shared" si="133"/>
        <v>Kōura</v>
      </c>
      <c r="J1160" t="str">
        <f t="shared" si="134"/>
        <v>Native</v>
      </c>
      <c r="K1160" t="str">
        <f t="shared" si="135"/>
        <v>Yes</v>
      </c>
      <c r="L1160">
        <v>1</v>
      </c>
      <c r="M1160" t="s">
        <v>177</v>
      </c>
      <c r="N1160">
        <v>17</v>
      </c>
      <c r="O1160">
        <v>4</v>
      </c>
      <c r="T1160" t="str">
        <f t="shared" si="131"/>
        <v/>
      </c>
    </row>
    <row r="1161" spans="1:20" x14ac:dyDescent="0.55000000000000004">
      <c r="A1161">
        <v>11</v>
      </c>
      <c r="B1161" s="15" t="str">
        <f t="shared" si="129"/>
        <v>11_2</v>
      </c>
      <c r="C1161" s="20">
        <v>45855.368055555555</v>
      </c>
      <c r="D1161" t="s">
        <v>175</v>
      </c>
      <c r="E1161">
        <v>2</v>
      </c>
      <c r="F1161" t="s">
        <v>115</v>
      </c>
      <c r="G1161" t="str">
        <f t="shared" si="130"/>
        <v>Paranephrops planifrons</v>
      </c>
      <c r="H1161" t="str">
        <f t="shared" si="132"/>
        <v>Freshwater_crayfish</v>
      </c>
      <c r="I1161" t="str">
        <f t="shared" si="133"/>
        <v>Kōura</v>
      </c>
      <c r="J1161" t="str">
        <f t="shared" si="134"/>
        <v>Native</v>
      </c>
      <c r="K1161" t="str">
        <f t="shared" si="135"/>
        <v>Yes</v>
      </c>
      <c r="L1161">
        <v>1</v>
      </c>
      <c r="M1161" t="s">
        <v>177</v>
      </c>
      <c r="N1161">
        <v>26</v>
      </c>
      <c r="O1161">
        <v>15</v>
      </c>
      <c r="T1161" t="str">
        <f t="shared" si="131"/>
        <v/>
      </c>
    </row>
    <row r="1162" spans="1:20" x14ac:dyDescent="0.55000000000000004">
      <c r="A1162">
        <v>11</v>
      </c>
      <c r="B1162" s="15" t="str">
        <f t="shared" si="129"/>
        <v>11_2</v>
      </c>
      <c r="C1162" s="20">
        <v>45855.368055555555</v>
      </c>
      <c r="D1162" t="s">
        <v>175</v>
      </c>
      <c r="E1162">
        <v>2</v>
      </c>
      <c r="F1162" t="s">
        <v>115</v>
      </c>
      <c r="G1162" t="str">
        <f t="shared" si="130"/>
        <v>Paranephrops planifrons</v>
      </c>
      <c r="H1162" t="str">
        <f t="shared" si="132"/>
        <v>Freshwater_crayfish</v>
      </c>
      <c r="I1162" t="str">
        <f t="shared" si="133"/>
        <v>Kōura</v>
      </c>
      <c r="J1162" t="str">
        <f t="shared" si="134"/>
        <v>Native</v>
      </c>
      <c r="K1162" t="str">
        <f t="shared" si="135"/>
        <v>Yes</v>
      </c>
      <c r="L1162">
        <v>1</v>
      </c>
      <c r="M1162" t="s">
        <v>177</v>
      </c>
      <c r="N1162">
        <v>20</v>
      </c>
      <c r="O1162">
        <v>6</v>
      </c>
      <c r="T1162" t="str">
        <f t="shared" si="131"/>
        <v/>
      </c>
    </row>
    <row r="1163" spans="1:20" x14ac:dyDescent="0.55000000000000004">
      <c r="A1163">
        <v>11</v>
      </c>
      <c r="B1163" s="15" t="str">
        <f t="shared" si="129"/>
        <v>11_2</v>
      </c>
      <c r="C1163" s="20">
        <v>45855.368055555555</v>
      </c>
      <c r="D1163" t="s">
        <v>175</v>
      </c>
      <c r="E1163">
        <v>2</v>
      </c>
      <c r="F1163" t="s">
        <v>115</v>
      </c>
      <c r="G1163" t="str">
        <f t="shared" si="130"/>
        <v>Paranephrops planifrons</v>
      </c>
      <c r="H1163" t="str">
        <f t="shared" si="132"/>
        <v>Freshwater_crayfish</v>
      </c>
      <c r="I1163" t="str">
        <f t="shared" si="133"/>
        <v>Kōura</v>
      </c>
      <c r="J1163" t="str">
        <f t="shared" si="134"/>
        <v>Native</v>
      </c>
      <c r="K1163" t="str">
        <f t="shared" si="135"/>
        <v>Yes</v>
      </c>
      <c r="L1163">
        <v>1</v>
      </c>
      <c r="M1163" t="s">
        <v>177</v>
      </c>
      <c r="N1163">
        <v>16</v>
      </c>
      <c r="O1163">
        <v>5</v>
      </c>
      <c r="T1163" t="str">
        <f t="shared" si="131"/>
        <v/>
      </c>
    </row>
    <row r="1164" spans="1:20" x14ac:dyDescent="0.55000000000000004">
      <c r="A1164">
        <v>11</v>
      </c>
      <c r="B1164" s="15" t="str">
        <f t="shared" si="129"/>
        <v>11_2</v>
      </c>
      <c r="C1164" s="20">
        <v>45855.368055555555</v>
      </c>
      <c r="D1164" t="s">
        <v>175</v>
      </c>
      <c r="E1164">
        <v>2</v>
      </c>
      <c r="F1164" t="s">
        <v>127</v>
      </c>
      <c r="G1164" t="str">
        <f t="shared" si="130"/>
        <v>Galaxias brevipinnis</v>
      </c>
      <c r="H1164" t="str">
        <f t="shared" si="132"/>
        <v>Climbing_galaxias</v>
      </c>
      <c r="I1164" t="str">
        <f t="shared" si="133"/>
        <v>Kōaro</v>
      </c>
      <c r="J1164" t="str">
        <f t="shared" si="134"/>
        <v>Native</v>
      </c>
      <c r="K1164" t="str">
        <f t="shared" si="135"/>
        <v>Yes</v>
      </c>
      <c r="L1164">
        <v>1</v>
      </c>
      <c r="N1164">
        <v>105</v>
      </c>
      <c r="O1164">
        <v>16</v>
      </c>
      <c r="T1164" t="str">
        <f t="shared" si="131"/>
        <v/>
      </c>
    </row>
    <row r="1165" spans="1:20" x14ac:dyDescent="0.55000000000000004">
      <c r="A1165">
        <v>11</v>
      </c>
      <c r="B1165" s="15" t="str">
        <f t="shared" si="129"/>
        <v>11_2</v>
      </c>
      <c r="C1165" s="20">
        <v>45855.368055555555</v>
      </c>
      <c r="D1165" t="s">
        <v>175</v>
      </c>
      <c r="E1165">
        <v>2</v>
      </c>
      <c r="F1165" t="s">
        <v>133</v>
      </c>
      <c r="G1165" t="str">
        <f t="shared" si="130"/>
        <v>Retropinna retropinna</v>
      </c>
      <c r="H1165" t="str">
        <f t="shared" si="132"/>
        <v>Common_smelt</v>
      </c>
      <c r="I1165" t="str">
        <f t="shared" si="133"/>
        <v>Common_smelt</v>
      </c>
      <c r="J1165" t="str">
        <f t="shared" si="134"/>
        <v>Native</v>
      </c>
      <c r="K1165" t="str">
        <f t="shared" si="135"/>
        <v>No</v>
      </c>
      <c r="L1165">
        <v>5</v>
      </c>
      <c r="O1165">
        <v>5</v>
      </c>
      <c r="T1165" t="str">
        <f t="shared" si="131"/>
        <v/>
      </c>
    </row>
    <row r="1166" spans="1:20" x14ac:dyDescent="0.55000000000000004">
      <c r="A1166">
        <v>11</v>
      </c>
      <c r="B1166" s="15" t="str">
        <f t="shared" si="129"/>
        <v>11_2</v>
      </c>
      <c r="C1166" s="20">
        <v>45855.368055555555</v>
      </c>
      <c r="D1166" t="s">
        <v>175</v>
      </c>
      <c r="E1166">
        <v>2</v>
      </c>
      <c r="F1166" t="s">
        <v>115</v>
      </c>
      <c r="G1166" t="str">
        <f t="shared" si="130"/>
        <v>Paranephrops planifrons</v>
      </c>
      <c r="H1166" t="str">
        <f t="shared" si="132"/>
        <v>Freshwater_crayfish</v>
      </c>
      <c r="I1166" t="str">
        <f t="shared" si="133"/>
        <v>Kōura</v>
      </c>
      <c r="J1166" t="str">
        <f t="shared" si="134"/>
        <v>Native</v>
      </c>
      <c r="K1166" t="str">
        <f t="shared" si="135"/>
        <v>Yes</v>
      </c>
      <c r="L1166">
        <v>1</v>
      </c>
      <c r="M1166" t="s">
        <v>177</v>
      </c>
      <c r="N1166">
        <v>15</v>
      </c>
      <c r="O1166">
        <v>4</v>
      </c>
      <c r="T1166" t="str">
        <f t="shared" si="131"/>
        <v/>
      </c>
    </row>
    <row r="1167" spans="1:20" x14ac:dyDescent="0.55000000000000004">
      <c r="A1167">
        <v>11</v>
      </c>
      <c r="B1167" s="15" t="str">
        <f t="shared" si="129"/>
        <v>11_2</v>
      </c>
      <c r="C1167" s="20">
        <v>45855.368055497682</v>
      </c>
      <c r="D1167" t="s">
        <v>175</v>
      </c>
      <c r="E1167">
        <v>2</v>
      </c>
      <c r="F1167" t="s">
        <v>127</v>
      </c>
      <c r="G1167" t="str">
        <f t="shared" si="130"/>
        <v>Galaxias brevipinnis</v>
      </c>
      <c r="H1167" t="str">
        <f t="shared" si="132"/>
        <v>Climbing_galaxias</v>
      </c>
      <c r="I1167" t="str">
        <f t="shared" si="133"/>
        <v>Kōaro</v>
      </c>
      <c r="J1167" t="str">
        <f t="shared" si="134"/>
        <v>Native</v>
      </c>
      <c r="K1167" t="str">
        <f t="shared" si="135"/>
        <v>Yes</v>
      </c>
      <c r="L1167">
        <v>1</v>
      </c>
      <c r="N1167">
        <v>106</v>
      </c>
      <c r="O1167">
        <v>14</v>
      </c>
      <c r="T1167" t="str">
        <f t="shared" si="131"/>
        <v/>
      </c>
    </row>
    <row r="1168" spans="1:20" x14ac:dyDescent="0.55000000000000004">
      <c r="A1168">
        <v>11</v>
      </c>
      <c r="B1168" s="15" t="str">
        <f t="shared" si="129"/>
        <v>11_2</v>
      </c>
      <c r="C1168" s="20">
        <v>45855.368055497682</v>
      </c>
      <c r="D1168" t="s">
        <v>175</v>
      </c>
      <c r="E1168">
        <v>2</v>
      </c>
      <c r="F1168" t="s">
        <v>135</v>
      </c>
      <c r="G1168" t="str">
        <f t="shared" si="130"/>
        <v>Gobiomorphus cotidianus</v>
      </c>
      <c r="H1168" t="str">
        <f t="shared" si="132"/>
        <v>Common_bully</v>
      </c>
      <c r="I1168" t="str">
        <f t="shared" si="133"/>
        <v>Toitoi</v>
      </c>
      <c r="J1168" t="str">
        <f t="shared" si="134"/>
        <v>Native</v>
      </c>
      <c r="K1168" t="str">
        <f t="shared" si="135"/>
        <v>No</v>
      </c>
      <c r="O1168">
        <v>559</v>
      </c>
      <c r="S1168">
        <v>2.5</v>
      </c>
      <c r="T1168">
        <f t="shared" si="131"/>
        <v>591.47</v>
      </c>
    </row>
    <row r="1169" spans="1:20" x14ac:dyDescent="0.55000000000000004">
      <c r="A1169">
        <v>11</v>
      </c>
      <c r="B1169" s="15" t="str">
        <f t="shared" si="129"/>
        <v>11_2</v>
      </c>
      <c r="C1169" s="20">
        <v>45855.368055497682</v>
      </c>
      <c r="D1169" t="s">
        <v>175</v>
      </c>
      <c r="E1169">
        <v>2</v>
      </c>
      <c r="F1169" t="s">
        <v>135</v>
      </c>
      <c r="G1169" t="str">
        <f t="shared" si="130"/>
        <v>Gobiomorphus cotidianus</v>
      </c>
      <c r="H1169" t="str">
        <f t="shared" si="132"/>
        <v>Common_bully</v>
      </c>
      <c r="I1169" t="str">
        <f t="shared" si="133"/>
        <v>Toitoi</v>
      </c>
      <c r="J1169" t="str">
        <f t="shared" si="134"/>
        <v>Native</v>
      </c>
      <c r="K1169" t="str">
        <f t="shared" si="135"/>
        <v>No</v>
      </c>
      <c r="O1169">
        <v>272</v>
      </c>
      <c r="S1169">
        <v>1.5</v>
      </c>
      <c r="T1169">
        <f t="shared" si="131"/>
        <v>354.88200000000001</v>
      </c>
    </row>
    <row r="1170" spans="1:20" x14ac:dyDescent="0.55000000000000004">
      <c r="A1170">
        <v>11</v>
      </c>
      <c r="B1170" s="15" t="str">
        <f t="shared" si="129"/>
        <v>11_2</v>
      </c>
      <c r="C1170" s="20">
        <v>45855.368055497682</v>
      </c>
      <c r="D1170" t="s">
        <v>175</v>
      </c>
      <c r="E1170">
        <v>2</v>
      </c>
      <c r="F1170" t="s">
        <v>127</v>
      </c>
      <c r="G1170" t="str">
        <f t="shared" si="130"/>
        <v>Galaxias brevipinnis</v>
      </c>
      <c r="H1170" t="str">
        <f t="shared" si="132"/>
        <v>Climbing_galaxias</v>
      </c>
      <c r="I1170" t="str">
        <f t="shared" si="133"/>
        <v>Kōaro</v>
      </c>
      <c r="J1170" t="str">
        <f t="shared" si="134"/>
        <v>Native</v>
      </c>
      <c r="K1170" t="str">
        <f t="shared" si="135"/>
        <v>Yes</v>
      </c>
      <c r="L1170">
        <v>1</v>
      </c>
      <c r="N1170">
        <v>170</v>
      </c>
      <c r="O1170">
        <v>12</v>
      </c>
      <c r="T1170" t="str">
        <f t="shared" si="131"/>
        <v/>
      </c>
    </row>
    <row r="1171" spans="1:20" x14ac:dyDescent="0.55000000000000004">
      <c r="A1171">
        <v>11</v>
      </c>
      <c r="B1171" s="15" t="str">
        <f t="shared" si="129"/>
        <v>11_2</v>
      </c>
      <c r="C1171" s="20">
        <v>45855.368055497682</v>
      </c>
      <c r="D1171" t="s">
        <v>175</v>
      </c>
      <c r="E1171">
        <v>2</v>
      </c>
      <c r="F1171" t="s">
        <v>127</v>
      </c>
      <c r="G1171" t="str">
        <f t="shared" si="130"/>
        <v>Galaxias brevipinnis</v>
      </c>
      <c r="H1171" t="str">
        <f t="shared" si="132"/>
        <v>Climbing_galaxias</v>
      </c>
      <c r="I1171" t="str">
        <f t="shared" si="133"/>
        <v>Kōaro</v>
      </c>
      <c r="J1171" t="str">
        <f t="shared" si="134"/>
        <v>Native</v>
      </c>
      <c r="K1171" t="str">
        <f t="shared" si="135"/>
        <v>Yes</v>
      </c>
      <c r="L1171">
        <v>1</v>
      </c>
      <c r="N1171">
        <v>105</v>
      </c>
      <c r="O1171">
        <v>10</v>
      </c>
      <c r="T1171" t="str">
        <f t="shared" si="131"/>
        <v/>
      </c>
    </row>
    <row r="1172" spans="1:20" x14ac:dyDescent="0.55000000000000004">
      <c r="A1172">
        <v>11</v>
      </c>
      <c r="B1172" s="15" t="str">
        <f t="shared" si="129"/>
        <v>11_2</v>
      </c>
      <c r="C1172" s="20">
        <v>45855.368055497682</v>
      </c>
      <c r="D1172" t="s">
        <v>175</v>
      </c>
      <c r="E1172">
        <v>2</v>
      </c>
      <c r="F1172" t="s">
        <v>115</v>
      </c>
      <c r="G1172" t="str">
        <f t="shared" si="130"/>
        <v>Paranephrops planifrons</v>
      </c>
      <c r="H1172" t="str">
        <f t="shared" si="132"/>
        <v>Freshwater_crayfish</v>
      </c>
      <c r="I1172" t="str">
        <f t="shared" si="133"/>
        <v>Kōura</v>
      </c>
      <c r="J1172" t="str">
        <f t="shared" si="134"/>
        <v>Native</v>
      </c>
      <c r="K1172" t="str">
        <f t="shared" si="135"/>
        <v>Yes</v>
      </c>
      <c r="L1172">
        <v>1</v>
      </c>
      <c r="M1172" t="s">
        <v>177</v>
      </c>
      <c r="N1172">
        <v>31</v>
      </c>
      <c r="O1172">
        <v>23</v>
      </c>
      <c r="T1172" t="str">
        <f t="shared" si="131"/>
        <v/>
      </c>
    </row>
    <row r="1173" spans="1:20" x14ac:dyDescent="0.55000000000000004">
      <c r="A1173">
        <v>11</v>
      </c>
      <c r="B1173" s="15" t="str">
        <f t="shared" si="129"/>
        <v>11_2</v>
      </c>
      <c r="C1173" s="20">
        <v>45855.368055497682</v>
      </c>
      <c r="D1173" t="s">
        <v>175</v>
      </c>
      <c r="E1173">
        <v>2</v>
      </c>
      <c r="F1173" t="s">
        <v>115</v>
      </c>
      <c r="G1173" t="str">
        <f t="shared" si="130"/>
        <v>Paranephrops planifrons</v>
      </c>
      <c r="H1173" t="str">
        <f t="shared" si="132"/>
        <v>Freshwater_crayfish</v>
      </c>
      <c r="I1173" t="str">
        <f t="shared" si="133"/>
        <v>Kōura</v>
      </c>
      <c r="J1173" t="str">
        <f t="shared" si="134"/>
        <v>Native</v>
      </c>
      <c r="K1173" t="str">
        <f t="shared" si="135"/>
        <v>Yes</v>
      </c>
      <c r="L1173">
        <v>1</v>
      </c>
      <c r="M1173" t="s">
        <v>177</v>
      </c>
      <c r="N1173">
        <v>22</v>
      </c>
      <c r="O1173">
        <v>8</v>
      </c>
      <c r="P1173">
        <v>1</v>
      </c>
      <c r="T1173" t="str">
        <f t="shared" si="131"/>
        <v/>
      </c>
    </row>
    <row r="1174" spans="1:20" x14ac:dyDescent="0.55000000000000004">
      <c r="A1174">
        <v>11</v>
      </c>
      <c r="B1174" s="15" t="str">
        <f t="shared" si="129"/>
        <v>11_2</v>
      </c>
      <c r="C1174" s="20">
        <v>45855.368055497682</v>
      </c>
      <c r="D1174" t="s">
        <v>175</v>
      </c>
      <c r="E1174">
        <v>2</v>
      </c>
      <c r="F1174" t="s">
        <v>115</v>
      </c>
      <c r="G1174" t="str">
        <f t="shared" si="130"/>
        <v>Paranephrops planifrons</v>
      </c>
      <c r="H1174" t="str">
        <f t="shared" si="132"/>
        <v>Freshwater_crayfish</v>
      </c>
      <c r="I1174" t="str">
        <f t="shared" si="133"/>
        <v>Kōura</v>
      </c>
      <c r="J1174" t="str">
        <f t="shared" si="134"/>
        <v>Native</v>
      </c>
      <c r="K1174" t="str">
        <f t="shared" si="135"/>
        <v>Yes</v>
      </c>
      <c r="L1174">
        <v>1</v>
      </c>
      <c r="M1174" t="s">
        <v>177</v>
      </c>
      <c r="N1174">
        <v>19</v>
      </c>
      <c r="O1174">
        <v>6</v>
      </c>
      <c r="P1174">
        <v>1</v>
      </c>
      <c r="T1174" t="str">
        <f t="shared" si="131"/>
        <v/>
      </c>
    </row>
    <row r="1175" spans="1:20" x14ac:dyDescent="0.55000000000000004">
      <c r="A1175">
        <v>11</v>
      </c>
      <c r="B1175" s="15" t="str">
        <f t="shared" si="129"/>
        <v>11_2</v>
      </c>
      <c r="C1175" s="20">
        <v>45855.368055497682</v>
      </c>
      <c r="D1175" t="s">
        <v>175</v>
      </c>
      <c r="E1175">
        <v>2</v>
      </c>
      <c r="F1175" t="s">
        <v>115</v>
      </c>
      <c r="G1175" t="str">
        <f t="shared" si="130"/>
        <v>Paranephrops planifrons</v>
      </c>
      <c r="H1175" t="str">
        <f t="shared" si="132"/>
        <v>Freshwater_crayfish</v>
      </c>
      <c r="I1175" t="str">
        <f t="shared" si="133"/>
        <v>Kōura</v>
      </c>
      <c r="J1175" t="str">
        <f t="shared" si="134"/>
        <v>Native</v>
      </c>
      <c r="K1175" t="str">
        <f t="shared" si="135"/>
        <v>Yes</v>
      </c>
      <c r="L1175">
        <v>1</v>
      </c>
      <c r="M1175" t="s">
        <v>177</v>
      </c>
      <c r="N1175">
        <v>20</v>
      </c>
      <c r="O1175">
        <v>6</v>
      </c>
      <c r="P1175">
        <v>1</v>
      </c>
      <c r="T1175" t="str">
        <f t="shared" si="131"/>
        <v/>
      </c>
    </row>
    <row r="1176" spans="1:20" x14ac:dyDescent="0.55000000000000004">
      <c r="A1176">
        <v>11</v>
      </c>
      <c r="B1176" s="15" t="str">
        <f t="shared" si="129"/>
        <v>11_2</v>
      </c>
      <c r="C1176" s="20">
        <v>45855.368055497682</v>
      </c>
      <c r="D1176" t="s">
        <v>175</v>
      </c>
      <c r="E1176">
        <v>2</v>
      </c>
      <c r="F1176" t="s">
        <v>115</v>
      </c>
      <c r="G1176" t="str">
        <f t="shared" si="130"/>
        <v>Paranephrops planifrons</v>
      </c>
      <c r="H1176" t="str">
        <f t="shared" si="132"/>
        <v>Freshwater_crayfish</v>
      </c>
      <c r="I1176" t="str">
        <f t="shared" si="133"/>
        <v>Kōura</v>
      </c>
      <c r="J1176" t="str">
        <f t="shared" si="134"/>
        <v>Native</v>
      </c>
      <c r="K1176" t="str">
        <f t="shared" si="135"/>
        <v>Yes</v>
      </c>
      <c r="L1176">
        <v>1</v>
      </c>
      <c r="M1176" t="s">
        <v>177</v>
      </c>
      <c r="N1176">
        <v>24</v>
      </c>
      <c r="O1176">
        <v>10</v>
      </c>
      <c r="P1176">
        <v>1</v>
      </c>
      <c r="T1176" t="str">
        <f t="shared" si="131"/>
        <v/>
      </c>
    </row>
    <row r="1177" spans="1:20" x14ac:dyDescent="0.55000000000000004">
      <c r="A1177">
        <v>11</v>
      </c>
      <c r="B1177" s="15" t="str">
        <f t="shared" si="129"/>
        <v>11_2</v>
      </c>
      <c r="C1177" s="20">
        <v>45855.368055497682</v>
      </c>
      <c r="D1177" t="s">
        <v>175</v>
      </c>
      <c r="E1177">
        <v>2</v>
      </c>
      <c r="F1177" t="s">
        <v>115</v>
      </c>
      <c r="G1177" t="str">
        <f t="shared" si="130"/>
        <v>Paranephrops planifrons</v>
      </c>
      <c r="H1177" t="str">
        <f t="shared" si="132"/>
        <v>Freshwater_crayfish</v>
      </c>
      <c r="I1177" t="str">
        <f t="shared" si="133"/>
        <v>Kōura</v>
      </c>
      <c r="J1177" t="str">
        <f t="shared" si="134"/>
        <v>Native</v>
      </c>
      <c r="K1177" t="str">
        <f t="shared" si="135"/>
        <v>Yes</v>
      </c>
      <c r="L1177">
        <v>1</v>
      </c>
      <c r="M1177" t="s">
        <v>177</v>
      </c>
      <c r="N1177">
        <v>18</v>
      </c>
      <c r="O1177">
        <v>3</v>
      </c>
      <c r="T1177" t="str">
        <f t="shared" si="131"/>
        <v/>
      </c>
    </row>
    <row r="1178" spans="1:20" x14ac:dyDescent="0.55000000000000004">
      <c r="A1178">
        <v>11</v>
      </c>
      <c r="B1178" s="15" t="str">
        <f t="shared" si="129"/>
        <v>11_2</v>
      </c>
      <c r="C1178" s="20">
        <v>45855.368055497682</v>
      </c>
      <c r="D1178" t="s">
        <v>175</v>
      </c>
      <c r="E1178">
        <v>2</v>
      </c>
      <c r="F1178" t="s">
        <v>115</v>
      </c>
      <c r="G1178" t="str">
        <f t="shared" si="130"/>
        <v>Paranephrops planifrons</v>
      </c>
      <c r="H1178" t="str">
        <f t="shared" si="132"/>
        <v>Freshwater_crayfish</v>
      </c>
      <c r="I1178" t="str">
        <f t="shared" si="133"/>
        <v>Kōura</v>
      </c>
      <c r="J1178" t="str">
        <f t="shared" si="134"/>
        <v>Native</v>
      </c>
      <c r="K1178" t="str">
        <f t="shared" si="135"/>
        <v>Yes</v>
      </c>
      <c r="L1178">
        <v>1</v>
      </c>
      <c r="M1178" t="s">
        <v>177</v>
      </c>
      <c r="N1178">
        <v>15</v>
      </c>
      <c r="O1178">
        <v>4</v>
      </c>
      <c r="T1178" t="str">
        <f t="shared" si="131"/>
        <v/>
      </c>
    </row>
    <row r="1179" spans="1:20" x14ac:dyDescent="0.55000000000000004">
      <c r="A1179">
        <v>11</v>
      </c>
      <c r="B1179" s="15" t="str">
        <f t="shared" si="129"/>
        <v>11_2</v>
      </c>
      <c r="C1179" s="20">
        <v>45855.368055497682</v>
      </c>
      <c r="D1179" t="s">
        <v>175</v>
      </c>
      <c r="E1179">
        <v>2</v>
      </c>
      <c r="F1179" t="s">
        <v>115</v>
      </c>
      <c r="G1179" t="str">
        <f t="shared" si="130"/>
        <v>Paranephrops planifrons</v>
      </c>
      <c r="H1179" t="str">
        <f t="shared" si="132"/>
        <v>Freshwater_crayfish</v>
      </c>
      <c r="I1179" t="str">
        <f t="shared" si="133"/>
        <v>Kōura</v>
      </c>
      <c r="J1179" t="str">
        <f t="shared" si="134"/>
        <v>Native</v>
      </c>
      <c r="K1179" t="str">
        <f t="shared" si="135"/>
        <v>Yes</v>
      </c>
      <c r="L1179">
        <v>1</v>
      </c>
      <c r="M1179" t="s">
        <v>176</v>
      </c>
      <c r="N1179">
        <v>23</v>
      </c>
      <c r="O1179">
        <v>8</v>
      </c>
      <c r="T1179" t="str">
        <f t="shared" si="131"/>
        <v/>
      </c>
    </row>
    <row r="1180" spans="1:20" x14ac:dyDescent="0.55000000000000004">
      <c r="A1180">
        <v>11</v>
      </c>
      <c r="B1180" s="15" t="str">
        <f t="shared" si="129"/>
        <v>11_2</v>
      </c>
      <c r="C1180" s="20">
        <v>45855.368055497682</v>
      </c>
      <c r="D1180" t="s">
        <v>175</v>
      </c>
      <c r="E1180">
        <v>2</v>
      </c>
      <c r="F1180" t="s">
        <v>115</v>
      </c>
      <c r="G1180" t="str">
        <f t="shared" si="130"/>
        <v>Paranephrops planifrons</v>
      </c>
      <c r="H1180" t="str">
        <f t="shared" si="132"/>
        <v>Freshwater_crayfish</v>
      </c>
      <c r="I1180" t="str">
        <f t="shared" si="133"/>
        <v>Kōura</v>
      </c>
      <c r="J1180" t="str">
        <f t="shared" si="134"/>
        <v>Native</v>
      </c>
      <c r="K1180" t="str">
        <f t="shared" si="135"/>
        <v>Yes</v>
      </c>
      <c r="L1180">
        <v>1</v>
      </c>
      <c r="M1180" t="s">
        <v>177</v>
      </c>
      <c r="N1180">
        <v>25</v>
      </c>
      <c r="O1180">
        <v>10</v>
      </c>
      <c r="T1180" t="str">
        <f t="shared" si="131"/>
        <v/>
      </c>
    </row>
    <row r="1181" spans="1:20" x14ac:dyDescent="0.55000000000000004">
      <c r="A1181">
        <v>11</v>
      </c>
      <c r="B1181" s="15" t="str">
        <f t="shared" si="129"/>
        <v>11_2</v>
      </c>
      <c r="C1181" s="20">
        <v>45855.368055497682</v>
      </c>
      <c r="D1181" t="s">
        <v>175</v>
      </c>
      <c r="E1181">
        <v>2</v>
      </c>
      <c r="F1181" t="s">
        <v>115</v>
      </c>
      <c r="G1181" t="str">
        <f t="shared" si="130"/>
        <v>Paranephrops planifrons</v>
      </c>
      <c r="H1181" t="str">
        <f t="shared" si="132"/>
        <v>Freshwater_crayfish</v>
      </c>
      <c r="I1181" t="str">
        <f t="shared" si="133"/>
        <v>Kōura</v>
      </c>
      <c r="J1181" t="str">
        <f t="shared" si="134"/>
        <v>Native</v>
      </c>
      <c r="K1181" t="str">
        <f t="shared" si="135"/>
        <v>Yes</v>
      </c>
      <c r="L1181">
        <v>1</v>
      </c>
      <c r="M1181" t="s">
        <v>176</v>
      </c>
      <c r="N1181">
        <v>25</v>
      </c>
      <c r="O1181">
        <v>11</v>
      </c>
      <c r="T1181" t="str">
        <f t="shared" si="131"/>
        <v/>
      </c>
    </row>
    <row r="1182" spans="1:20" x14ac:dyDescent="0.55000000000000004">
      <c r="A1182">
        <v>11</v>
      </c>
      <c r="B1182" s="15" t="str">
        <f t="shared" ref="B1182:B1245" si="136">A1182 &amp; "_2"</f>
        <v>11_2</v>
      </c>
      <c r="C1182" s="20">
        <v>45855.368055497682</v>
      </c>
      <c r="D1182" t="s">
        <v>175</v>
      </c>
      <c r="E1182">
        <v>2</v>
      </c>
      <c r="F1182" t="s">
        <v>115</v>
      </c>
      <c r="G1182" t="str">
        <f t="shared" si="130"/>
        <v>Paranephrops planifrons</v>
      </c>
      <c r="H1182" t="str">
        <f t="shared" si="132"/>
        <v>Freshwater_crayfish</v>
      </c>
      <c r="I1182" t="str">
        <f t="shared" si="133"/>
        <v>Kōura</v>
      </c>
      <c r="J1182" t="str">
        <f t="shared" si="134"/>
        <v>Native</v>
      </c>
      <c r="K1182" t="str">
        <f t="shared" si="135"/>
        <v>Yes</v>
      </c>
      <c r="L1182">
        <v>1</v>
      </c>
      <c r="M1182" t="s">
        <v>176</v>
      </c>
      <c r="N1182">
        <v>20</v>
      </c>
      <c r="O1182">
        <v>7</v>
      </c>
      <c r="T1182" t="str">
        <f t="shared" si="131"/>
        <v/>
      </c>
    </row>
    <row r="1183" spans="1:20" x14ac:dyDescent="0.55000000000000004">
      <c r="A1183">
        <v>11</v>
      </c>
      <c r="B1183" s="15" t="str">
        <f t="shared" si="136"/>
        <v>11_2</v>
      </c>
      <c r="C1183" s="20">
        <v>45855.368055497682</v>
      </c>
      <c r="D1183" t="s">
        <v>175</v>
      </c>
      <c r="E1183">
        <v>2</v>
      </c>
      <c r="F1183" t="s">
        <v>115</v>
      </c>
      <c r="G1183" t="str">
        <f t="shared" si="130"/>
        <v>Paranephrops planifrons</v>
      </c>
      <c r="H1183" t="str">
        <f t="shared" si="132"/>
        <v>Freshwater_crayfish</v>
      </c>
      <c r="I1183" t="str">
        <f t="shared" si="133"/>
        <v>Kōura</v>
      </c>
      <c r="J1183" t="str">
        <f t="shared" si="134"/>
        <v>Native</v>
      </c>
      <c r="K1183" t="str">
        <f t="shared" si="135"/>
        <v>Yes</v>
      </c>
      <c r="L1183">
        <v>1</v>
      </c>
      <c r="M1183" t="s">
        <v>177</v>
      </c>
      <c r="N1183">
        <v>19</v>
      </c>
      <c r="O1183">
        <v>6</v>
      </c>
      <c r="T1183" t="str">
        <f t="shared" si="131"/>
        <v/>
      </c>
    </row>
    <row r="1184" spans="1:20" x14ac:dyDescent="0.55000000000000004">
      <c r="A1184">
        <v>11</v>
      </c>
      <c r="B1184" s="15" t="str">
        <f t="shared" si="136"/>
        <v>11_2</v>
      </c>
      <c r="C1184" s="20">
        <v>45855.368055497682</v>
      </c>
      <c r="D1184" t="s">
        <v>175</v>
      </c>
      <c r="E1184">
        <v>2</v>
      </c>
      <c r="F1184" t="s">
        <v>115</v>
      </c>
      <c r="G1184" t="str">
        <f t="shared" si="130"/>
        <v>Paranephrops planifrons</v>
      </c>
      <c r="H1184" t="str">
        <f t="shared" si="132"/>
        <v>Freshwater_crayfish</v>
      </c>
      <c r="I1184" t="str">
        <f t="shared" si="133"/>
        <v>Kōura</v>
      </c>
      <c r="J1184" t="str">
        <f t="shared" si="134"/>
        <v>Native</v>
      </c>
      <c r="K1184" t="str">
        <f t="shared" si="135"/>
        <v>Yes</v>
      </c>
      <c r="L1184">
        <v>1</v>
      </c>
      <c r="M1184" t="s">
        <v>176</v>
      </c>
      <c r="N1184">
        <v>14</v>
      </c>
      <c r="O1184">
        <v>3</v>
      </c>
      <c r="T1184" t="str">
        <f t="shared" si="131"/>
        <v/>
      </c>
    </row>
    <row r="1185" spans="1:21" x14ac:dyDescent="0.55000000000000004">
      <c r="A1185">
        <v>11</v>
      </c>
      <c r="B1185" s="15" t="str">
        <f t="shared" si="136"/>
        <v>11_2</v>
      </c>
      <c r="C1185" s="20">
        <v>45855.368055497682</v>
      </c>
      <c r="D1185" t="s">
        <v>175</v>
      </c>
      <c r="E1185">
        <v>2</v>
      </c>
      <c r="F1185" t="s">
        <v>115</v>
      </c>
      <c r="G1185" t="str">
        <f t="shared" si="130"/>
        <v>Paranephrops planifrons</v>
      </c>
      <c r="H1185" t="str">
        <f t="shared" si="132"/>
        <v>Freshwater_crayfish</v>
      </c>
      <c r="I1185" t="str">
        <f t="shared" si="133"/>
        <v>Kōura</v>
      </c>
      <c r="J1185" t="str">
        <f t="shared" si="134"/>
        <v>Native</v>
      </c>
      <c r="K1185" t="str">
        <f t="shared" si="135"/>
        <v>Yes</v>
      </c>
      <c r="L1185">
        <v>1</v>
      </c>
      <c r="M1185" t="s">
        <v>177</v>
      </c>
      <c r="N1185">
        <v>21</v>
      </c>
      <c r="O1185">
        <v>6</v>
      </c>
      <c r="P1185">
        <v>1</v>
      </c>
      <c r="T1185" t="str">
        <f t="shared" si="131"/>
        <v/>
      </c>
    </row>
    <row r="1186" spans="1:21" x14ac:dyDescent="0.55000000000000004">
      <c r="A1186">
        <v>11</v>
      </c>
      <c r="B1186" s="15" t="str">
        <f t="shared" si="136"/>
        <v>11_2</v>
      </c>
      <c r="C1186" s="20">
        <v>45855.368055497682</v>
      </c>
      <c r="D1186" t="s">
        <v>175</v>
      </c>
      <c r="E1186">
        <v>2</v>
      </c>
      <c r="F1186" t="s">
        <v>135</v>
      </c>
      <c r="G1186" t="str">
        <f t="shared" si="130"/>
        <v>Gobiomorphus cotidianus</v>
      </c>
      <c r="H1186" t="str">
        <f t="shared" si="132"/>
        <v>Common_bully</v>
      </c>
      <c r="I1186" t="str">
        <f t="shared" si="133"/>
        <v>Toitoi</v>
      </c>
      <c r="J1186" t="str">
        <f t="shared" si="134"/>
        <v>Native</v>
      </c>
      <c r="K1186" t="str">
        <f t="shared" si="135"/>
        <v>No</v>
      </c>
      <c r="O1186">
        <v>409</v>
      </c>
      <c r="S1186">
        <v>2</v>
      </c>
      <c r="T1186">
        <f t="shared" si="131"/>
        <v>473.17599999999999</v>
      </c>
    </row>
    <row r="1187" spans="1:21" x14ac:dyDescent="0.55000000000000004">
      <c r="A1187">
        <v>12</v>
      </c>
      <c r="B1187" s="15" t="str">
        <f t="shared" si="136"/>
        <v>12_2</v>
      </c>
      <c r="C1187" s="20">
        <v>45855.402777777781</v>
      </c>
      <c r="D1187" t="s">
        <v>174</v>
      </c>
      <c r="E1187">
        <v>2</v>
      </c>
      <c r="F1187" t="s">
        <v>115</v>
      </c>
      <c r="G1187" t="str">
        <f t="shared" si="130"/>
        <v>Paranephrops planifrons</v>
      </c>
      <c r="H1187" t="str">
        <f t="shared" si="132"/>
        <v>Freshwater_crayfish</v>
      </c>
      <c r="I1187" t="str">
        <f t="shared" si="133"/>
        <v>Kōura</v>
      </c>
      <c r="J1187" t="str">
        <f t="shared" si="134"/>
        <v>Native</v>
      </c>
      <c r="K1187" t="str">
        <f t="shared" si="135"/>
        <v>Yes</v>
      </c>
      <c r="L1187">
        <v>1</v>
      </c>
      <c r="M1187" t="s">
        <v>177</v>
      </c>
      <c r="N1187">
        <v>41</v>
      </c>
      <c r="O1187">
        <v>48</v>
      </c>
      <c r="T1187" t="str">
        <f t="shared" si="131"/>
        <v/>
      </c>
    </row>
    <row r="1188" spans="1:21" x14ac:dyDescent="0.55000000000000004">
      <c r="A1188">
        <v>12</v>
      </c>
      <c r="B1188" s="15" t="str">
        <f t="shared" si="136"/>
        <v>12_2</v>
      </c>
      <c r="C1188" s="20">
        <v>45855.402777777781</v>
      </c>
      <c r="D1188" t="s">
        <v>174</v>
      </c>
      <c r="E1188">
        <v>2</v>
      </c>
      <c r="F1188" t="s">
        <v>115</v>
      </c>
      <c r="G1188" t="str">
        <f t="shared" si="130"/>
        <v>Paranephrops planifrons</v>
      </c>
      <c r="H1188" t="str">
        <f t="shared" si="132"/>
        <v>Freshwater_crayfish</v>
      </c>
      <c r="I1188" t="str">
        <f t="shared" si="133"/>
        <v>Kōura</v>
      </c>
      <c r="J1188" t="str">
        <f t="shared" si="134"/>
        <v>Native</v>
      </c>
      <c r="K1188" t="str">
        <f t="shared" si="135"/>
        <v>Yes</v>
      </c>
      <c r="L1188">
        <v>1</v>
      </c>
      <c r="M1188" t="s">
        <v>177</v>
      </c>
      <c r="N1188">
        <v>40</v>
      </c>
      <c r="O1188">
        <v>51</v>
      </c>
      <c r="T1188" t="str">
        <f t="shared" si="131"/>
        <v/>
      </c>
    </row>
    <row r="1189" spans="1:21" x14ac:dyDescent="0.55000000000000004">
      <c r="A1189">
        <v>12</v>
      </c>
      <c r="B1189" s="15" t="str">
        <f t="shared" si="136"/>
        <v>12_2</v>
      </c>
      <c r="C1189" s="20">
        <v>45855.402777777781</v>
      </c>
      <c r="D1189" t="s">
        <v>174</v>
      </c>
      <c r="E1189">
        <v>2</v>
      </c>
      <c r="F1189" t="s">
        <v>115</v>
      </c>
      <c r="G1189" t="str">
        <f t="shared" si="130"/>
        <v>Paranephrops planifrons</v>
      </c>
      <c r="H1189" t="str">
        <f t="shared" si="132"/>
        <v>Freshwater_crayfish</v>
      </c>
      <c r="I1189" t="str">
        <f t="shared" si="133"/>
        <v>Kōura</v>
      </c>
      <c r="J1189" t="str">
        <f t="shared" si="134"/>
        <v>Native</v>
      </c>
      <c r="K1189" t="str">
        <f t="shared" si="135"/>
        <v>Yes</v>
      </c>
      <c r="L1189">
        <v>1</v>
      </c>
      <c r="M1189" t="s">
        <v>177</v>
      </c>
      <c r="N1189">
        <v>38</v>
      </c>
      <c r="O1189">
        <v>41</v>
      </c>
      <c r="T1189" t="str">
        <f t="shared" si="131"/>
        <v/>
      </c>
    </row>
    <row r="1190" spans="1:21" x14ac:dyDescent="0.55000000000000004">
      <c r="A1190">
        <v>12</v>
      </c>
      <c r="B1190" s="15" t="str">
        <f t="shared" si="136"/>
        <v>12_2</v>
      </c>
      <c r="C1190" s="20">
        <v>45855.402777777781</v>
      </c>
      <c r="D1190" t="s">
        <v>174</v>
      </c>
      <c r="E1190">
        <v>2</v>
      </c>
      <c r="F1190" t="s">
        <v>115</v>
      </c>
      <c r="G1190" t="str">
        <f t="shared" ref="G1190:G1253" si="137">VLOOKUP($F1190, $W$1:$AB$10, 2, FALSE)</f>
        <v>Paranephrops planifrons</v>
      </c>
      <c r="H1190" t="str">
        <f t="shared" si="132"/>
        <v>Freshwater_crayfish</v>
      </c>
      <c r="I1190" t="str">
        <f t="shared" si="133"/>
        <v>Kōura</v>
      </c>
      <c r="J1190" t="str">
        <f t="shared" si="134"/>
        <v>Native</v>
      </c>
      <c r="K1190" t="str">
        <f t="shared" si="135"/>
        <v>Yes</v>
      </c>
      <c r="L1190">
        <v>1</v>
      </c>
      <c r="M1190" t="s">
        <v>177</v>
      </c>
      <c r="N1190">
        <v>33</v>
      </c>
      <c r="O1190">
        <v>28</v>
      </c>
      <c r="T1190" t="str">
        <f t="shared" si="131"/>
        <v/>
      </c>
    </row>
    <row r="1191" spans="1:21" x14ac:dyDescent="0.55000000000000004">
      <c r="A1191">
        <v>12</v>
      </c>
      <c r="B1191" s="15" t="str">
        <f t="shared" si="136"/>
        <v>12_2</v>
      </c>
      <c r="C1191" s="20">
        <v>45855.402777777781</v>
      </c>
      <c r="D1191" t="s">
        <v>174</v>
      </c>
      <c r="E1191">
        <v>2</v>
      </c>
      <c r="F1191" t="s">
        <v>115</v>
      </c>
      <c r="G1191" t="str">
        <f t="shared" si="137"/>
        <v>Paranephrops planifrons</v>
      </c>
      <c r="H1191" t="str">
        <f t="shared" si="132"/>
        <v>Freshwater_crayfish</v>
      </c>
      <c r="I1191" t="str">
        <f t="shared" si="133"/>
        <v>Kōura</v>
      </c>
      <c r="J1191" t="str">
        <f t="shared" si="134"/>
        <v>Native</v>
      </c>
      <c r="K1191" t="str">
        <f t="shared" si="135"/>
        <v>Yes</v>
      </c>
      <c r="L1191">
        <v>1</v>
      </c>
      <c r="M1191" t="s">
        <v>177</v>
      </c>
      <c r="N1191">
        <v>23</v>
      </c>
      <c r="O1191">
        <v>15</v>
      </c>
      <c r="T1191" t="str">
        <f t="shared" si="131"/>
        <v/>
      </c>
    </row>
    <row r="1192" spans="1:21" x14ac:dyDescent="0.55000000000000004">
      <c r="A1192">
        <v>12</v>
      </c>
      <c r="B1192" s="15" t="str">
        <f t="shared" si="136"/>
        <v>12_2</v>
      </c>
      <c r="C1192" s="20">
        <v>45855.402777777781</v>
      </c>
      <c r="D1192" t="s">
        <v>174</v>
      </c>
      <c r="E1192">
        <v>2</v>
      </c>
      <c r="F1192" t="s">
        <v>115</v>
      </c>
      <c r="G1192" t="str">
        <f t="shared" si="137"/>
        <v>Paranephrops planifrons</v>
      </c>
      <c r="H1192" t="str">
        <f t="shared" si="132"/>
        <v>Freshwater_crayfish</v>
      </c>
      <c r="I1192" t="str">
        <f t="shared" si="133"/>
        <v>Kōura</v>
      </c>
      <c r="J1192" t="str">
        <f t="shared" si="134"/>
        <v>Native</v>
      </c>
      <c r="K1192" t="str">
        <f t="shared" si="135"/>
        <v>Yes</v>
      </c>
      <c r="L1192">
        <v>1</v>
      </c>
      <c r="M1192" t="s">
        <v>177</v>
      </c>
      <c r="N1192">
        <v>33</v>
      </c>
      <c r="O1192">
        <v>24</v>
      </c>
      <c r="T1192" t="str">
        <f t="shared" si="131"/>
        <v/>
      </c>
    </row>
    <row r="1193" spans="1:21" x14ac:dyDescent="0.55000000000000004">
      <c r="A1193">
        <v>12</v>
      </c>
      <c r="B1193" s="15" t="str">
        <f t="shared" si="136"/>
        <v>12_2</v>
      </c>
      <c r="C1193" s="20">
        <v>45855.402777777781</v>
      </c>
      <c r="D1193" t="s">
        <v>174</v>
      </c>
      <c r="E1193">
        <v>2</v>
      </c>
      <c r="F1193" t="s">
        <v>115</v>
      </c>
      <c r="G1193" t="str">
        <f t="shared" si="137"/>
        <v>Paranephrops planifrons</v>
      </c>
      <c r="H1193" t="str">
        <f t="shared" si="132"/>
        <v>Freshwater_crayfish</v>
      </c>
      <c r="I1193" t="str">
        <f t="shared" si="133"/>
        <v>Kōura</v>
      </c>
      <c r="J1193" t="str">
        <f t="shared" si="134"/>
        <v>Native</v>
      </c>
      <c r="K1193" t="str">
        <f t="shared" si="135"/>
        <v>Yes</v>
      </c>
      <c r="L1193">
        <v>1</v>
      </c>
      <c r="M1193" t="s">
        <v>176</v>
      </c>
      <c r="N1193">
        <v>22</v>
      </c>
      <c r="O1193">
        <v>16</v>
      </c>
      <c r="Q1193">
        <v>1</v>
      </c>
      <c r="T1193" t="str">
        <f t="shared" si="131"/>
        <v/>
      </c>
      <c r="U1193" t="s">
        <v>321</v>
      </c>
    </row>
    <row r="1194" spans="1:21" x14ac:dyDescent="0.55000000000000004">
      <c r="A1194">
        <v>12</v>
      </c>
      <c r="B1194" s="15" t="str">
        <f t="shared" si="136"/>
        <v>12_2</v>
      </c>
      <c r="C1194" s="20">
        <v>45855.402777777781</v>
      </c>
      <c r="D1194" t="s">
        <v>174</v>
      </c>
      <c r="E1194">
        <v>2</v>
      </c>
      <c r="F1194" t="s">
        <v>135</v>
      </c>
      <c r="G1194" t="str">
        <f t="shared" si="137"/>
        <v>Gobiomorphus cotidianus</v>
      </c>
      <c r="H1194" t="str">
        <f t="shared" si="132"/>
        <v>Common_bully</v>
      </c>
      <c r="I1194" t="str">
        <f t="shared" si="133"/>
        <v>Toitoi</v>
      </c>
      <c r="J1194" t="str">
        <f t="shared" si="134"/>
        <v>Native</v>
      </c>
      <c r="K1194" t="str">
        <f t="shared" si="135"/>
        <v>No</v>
      </c>
      <c r="L1194">
        <v>3</v>
      </c>
      <c r="O1194">
        <v>6</v>
      </c>
      <c r="T1194" t="str">
        <f t="shared" si="131"/>
        <v/>
      </c>
    </row>
    <row r="1195" spans="1:21" x14ac:dyDescent="0.55000000000000004">
      <c r="A1195">
        <v>12</v>
      </c>
      <c r="B1195" s="15" t="str">
        <f t="shared" si="136"/>
        <v>12_2</v>
      </c>
      <c r="C1195" s="20">
        <v>45855.402777777781</v>
      </c>
      <c r="D1195" t="s">
        <v>175</v>
      </c>
      <c r="E1195">
        <v>2</v>
      </c>
      <c r="F1195" t="s">
        <v>115</v>
      </c>
      <c r="G1195" t="str">
        <f t="shared" si="137"/>
        <v>Paranephrops planifrons</v>
      </c>
      <c r="H1195" t="str">
        <f t="shared" si="132"/>
        <v>Freshwater_crayfish</v>
      </c>
      <c r="I1195" t="str">
        <f t="shared" si="133"/>
        <v>Kōura</v>
      </c>
      <c r="J1195" t="str">
        <f t="shared" si="134"/>
        <v>Native</v>
      </c>
      <c r="K1195" t="str">
        <f t="shared" si="135"/>
        <v>Yes</v>
      </c>
      <c r="L1195">
        <v>1</v>
      </c>
      <c r="M1195" t="s">
        <v>176</v>
      </c>
      <c r="N1195">
        <v>41</v>
      </c>
      <c r="O1195">
        <v>47</v>
      </c>
      <c r="Q1195">
        <v>1</v>
      </c>
      <c r="T1195" t="str">
        <f t="shared" si="131"/>
        <v/>
      </c>
    </row>
    <row r="1196" spans="1:21" x14ac:dyDescent="0.55000000000000004">
      <c r="A1196">
        <v>12</v>
      </c>
      <c r="B1196" s="15" t="str">
        <f t="shared" si="136"/>
        <v>12_2</v>
      </c>
      <c r="C1196" s="20">
        <v>45855.402777777781</v>
      </c>
      <c r="D1196" t="s">
        <v>175</v>
      </c>
      <c r="E1196">
        <v>2</v>
      </c>
      <c r="F1196" t="s">
        <v>115</v>
      </c>
      <c r="G1196" t="str">
        <f t="shared" si="137"/>
        <v>Paranephrops planifrons</v>
      </c>
      <c r="H1196" t="str">
        <f t="shared" si="132"/>
        <v>Freshwater_crayfish</v>
      </c>
      <c r="I1196" t="str">
        <f t="shared" si="133"/>
        <v>Kōura</v>
      </c>
      <c r="J1196" t="str">
        <f t="shared" si="134"/>
        <v>Native</v>
      </c>
      <c r="K1196" t="str">
        <f t="shared" si="135"/>
        <v>Yes</v>
      </c>
      <c r="L1196">
        <v>1</v>
      </c>
      <c r="M1196" t="s">
        <v>177</v>
      </c>
      <c r="N1196">
        <v>27</v>
      </c>
      <c r="O1196">
        <v>17</v>
      </c>
      <c r="P1196">
        <v>1</v>
      </c>
      <c r="T1196" t="str">
        <f t="shared" si="131"/>
        <v/>
      </c>
    </row>
    <row r="1197" spans="1:21" x14ac:dyDescent="0.55000000000000004">
      <c r="A1197">
        <v>12</v>
      </c>
      <c r="B1197" s="15" t="str">
        <f t="shared" si="136"/>
        <v>12_2</v>
      </c>
      <c r="C1197" s="20">
        <v>45855.402777777781</v>
      </c>
      <c r="D1197" t="s">
        <v>175</v>
      </c>
      <c r="E1197">
        <v>2</v>
      </c>
      <c r="F1197" t="s">
        <v>115</v>
      </c>
      <c r="G1197" t="str">
        <f t="shared" si="137"/>
        <v>Paranephrops planifrons</v>
      </c>
      <c r="H1197" t="str">
        <f t="shared" si="132"/>
        <v>Freshwater_crayfish</v>
      </c>
      <c r="I1197" t="str">
        <f t="shared" si="133"/>
        <v>Kōura</v>
      </c>
      <c r="J1197" t="str">
        <f t="shared" si="134"/>
        <v>Native</v>
      </c>
      <c r="K1197" t="str">
        <f t="shared" si="135"/>
        <v>Yes</v>
      </c>
      <c r="L1197">
        <v>1</v>
      </c>
      <c r="M1197" t="s">
        <v>176</v>
      </c>
      <c r="N1197">
        <v>18</v>
      </c>
      <c r="O1197">
        <v>5</v>
      </c>
      <c r="Q1197">
        <v>1</v>
      </c>
      <c r="T1197" t="str">
        <f t="shared" si="131"/>
        <v/>
      </c>
    </row>
    <row r="1198" spans="1:21" x14ac:dyDescent="0.55000000000000004">
      <c r="A1198">
        <v>12</v>
      </c>
      <c r="B1198" s="15" t="str">
        <f t="shared" si="136"/>
        <v>12_2</v>
      </c>
      <c r="C1198" s="20">
        <v>45855.402777777781</v>
      </c>
      <c r="D1198" t="s">
        <v>175</v>
      </c>
      <c r="E1198">
        <v>2</v>
      </c>
      <c r="F1198" t="s">
        <v>115</v>
      </c>
      <c r="G1198" t="str">
        <f t="shared" si="137"/>
        <v>Paranephrops planifrons</v>
      </c>
      <c r="H1198" t="str">
        <f t="shared" si="132"/>
        <v>Freshwater_crayfish</v>
      </c>
      <c r="I1198" t="str">
        <f t="shared" si="133"/>
        <v>Kōura</v>
      </c>
      <c r="J1198" t="str">
        <f t="shared" si="134"/>
        <v>Native</v>
      </c>
      <c r="K1198" t="str">
        <f t="shared" si="135"/>
        <v>Yes</v>
      </c>
      <c r="L1198">
        <v>1</v>
      </c>
      <c r="M1198" t="s">
        <v>177</v>
      </c>
      <c r="N1198">
        <v>29</v>
      </c>
      <c r="O1198">
        <v>19</v>
      </c>
      <c r="T1198" t="str">
        <f t="shared" si="131"/>
        <v/>
      </c>
    </row>
    <row r="1199" spans="1:21" x14ac:dyDescent="0.55000000000000004">
      <c r="A1199">
        <v>12</v>
      </c>
      <c r="B1199" s="15" t="str">
        <f t="shared" si="136"/>
        <v>12_2</v>
      </c>
      <c r="C1199" s="20">
        <v>45855.402777777781</v>
      </c>
      <c r="D1199" t="s">
        <v>175</v>
      </c>
      <c r="E1199">
        <v>2</v>
      </c>
      <c r="F1199" t="s">
        <v>115</v>
      </c>
      <c r="G1199" t="str">
        <f t="shared" si="137"/>
        <v>Paranephrops planifrons</v>
      </c>
      <c r="H1199" t="str">
        <f t="shared" si="132"/>
        <v>Freshwater_crayfish</v>
      </c>
      <c r="I1199" t="str">
        <f t="shared" si="133"/>
        <v>Kōura</v>
      </c>
      <c r="J1199" t="str">
        <f t="shared" si="134"/>
        <v>Native</v>
      </c>
      <c r="K1199" t="str">
        <f t="shared" si="135"/>
        <v>Yes</v>
      </c>
      <c r="L1199">
        <v>1</v>
      </c>
      <c r="M1199" t="s">
        <v>177</v>
      </c>
      <c r="N1199">
        <v>25</v>
      </c>
      <c r="O1199">
        <v>15</v>
      </c>
      <c r="T1199" t="str">
        <f t="shared" si="131"/>
        <v/>
      </c>
    </row>
    <row r="1200" spans="1:21" x14ac:dyDescent="0.55000000000000004">
      <c r="A1200">
        <v>12</v>
      </c>
      <c r="B1200" s="15" t="str">
        <f t="shared" si="136"/>
        <v>12_2</v>
      </c>
      <c r="C1200" s="20">
        <v>45855.402777777781</v>
      </c>
      <c r="D1200" t="s">
        <v>175</v>
      </c>
      <c r="E1200">
        <v>2</v>
      </c>
      <c r="F1200" t="s">
        <v>115</v>
      </c>
      <c r="G1200" t="str">
        <f t="shared" si="137"/>
        <v>Paranephrops planifrons</v>
      </c>
      <c r="H1200" t="str">
        <f t="shared" si="132"/>
        <v>Freshwater_crayfish</v>
      </c>
      <c r="I1200" t="str">
        <f t="shared" si="133"/>
        <v>Kōura</v>
      </c>
      <c r="J1200" t="str">
        <f t="shared" si="134"/>
        <v>Native</v>
      </c>
      <c r="K1200" t="str">
        <f t="shared" si="135"/>
        <v>Yes</v>
      </c>
      <c r="L1200">
        <v>1</v>
      </c>
      <c r="M1200" t="s">
        <v>177</v>
      </c>
      <c r="N1200">
        <v>15</v>
      </c>
      <c r="O1200">
        <v>5</v>
      </c>
      <c r="T1200" t="str">
        <f t="shared" si="131"/>
        <v/>
      </c>
    </row>
    <row r="1201" spans="1:20" x14ac:dyDescent="0.55000000000000004">
      <c r="A1201">
        <v>12</v>
      </c>
      <c r="B1201" s="15" t="str">
        <f t="shared" si="136"/>
        <v>12_2</v>
      </c>
      <c r="C1201" s="20">
        <v>45855.402777777781</v>
      </c>
      <c r="D1201" t="s">
        <v>175</v>
      </c>
      <c r="E1201">
        <v>2</v>
      </c>
      <c r="F1201" t="s">
        <v>115</v>
      </c>
      <c r="G1201" t="str">
        <f t="shared" si="137"/>
        <v>Paranephrops planifrons</v>
      </c>
      <c r="H1201" t="str">
        <f t="shared" si="132"/>
        <v>Freshwater_crayfish</v>
      </c>
      <c r="I1201" t="str">
        <f t="shared" si="133"/>
        <v>Kōura</v>
      </c>
      <c r="J1201" t="str">
        <f t="shared" si="134"/>
        <v>Native</v>
      </c>
      <c r="K1201" t="str">
        <f t="shared" si="135"/>
        <v>Yes</v>
      </c>
      <c r="L1201">
        <v>1</v>
      </c>
      <c r="M1201" t="s">
        <v>177</v>
      </c>
      <c r="N1201">
        <v>23</v>
      </c>
      <c r="O1201">
        <v>18</v>
      </c>
      <c r="T1201" t="str">
        <f t="shared" si="131"/>
        <v/>
      </c>
    </row>
    <row r="1202" spans="1:20" x14ac:dyDescent="0.55000000000000004">
      <c r="A1202">
        <v>12</v>
      </c>
      <c r="B1202" s="15" t="str">
        <f t="shared" si="136"/>
        <v>12_2</v>
      </c>
      <c r="C1202" s="20">
        <v>45855.402777777781</v>
      </c>
      <c r="D1202" t="s">
        <v>175</v>
      </c>
      <c r="E1202">
        <v>2</v>
      </c>
      <c r="F1202" t="s">
        <v>115</v>
      </c>
      <c r="G1202" t="str">
        <f t="shared" si="137"/>
        <v>Paranephrops planifrons</v>
      </c>
      <c r="H1202" t="str">
        <f t="shared" si="132"/>
        <v>Freshwater_crayfish</v>
      </c>
      <c r="I1202" t="str">
        <f t="shared" si="133"/>
        <v>Kōura</v>
      </c>
      <c r="J1202" t="str">
        <f t="shared" si="134"/>
        <v>Native</v>
      </c>
      <c r="K1202" t="str">
        <f t="shared" si="135"/>
        <v>Yes</v>
      </c>
      <c r="L1202">
        <v>1</v>
      </c>
      <c r="M1202" t="s">
        <v>177</v>
      </c>
      <c r="N1202">
        <v>25</v>
      </c>
      <c r="O1202">
        <v>12</v>
      </c>
      <c r="T1202" t="str">
        <f t="shared" si="131"/>
        <v/>
      </c>
    </row>
    <row r="1203" spans="1:20" x14ac:dyDescent="0.55000000000000004">
      <c r="A1203">
        <v>12</v>
      </c>
      <c r="B1203" s="15" t="str">
        <f t="shared" si="136"/>
        <v>12_2</v>
      </c>
      <c r="C1203" s="20">
        <v>45855.402777777781</v>
      </c>
      <c r="D1203" t="s">
        <v>175</v>
      </c>
      <c r="E1203">
        <v>2</v>
      </c>
      <c r="F1203" t="s">
        <v>115</v>
      </c>
      <c r="G1203" t="str">
        <f t="shared" si="137"/>
        <v>Paranephrops planifrons</v>
      </c>
      <c r="H1203" t="str">
        <f t="shared" si="132"/>
        <v>Freshwater_crayfish</v>
      </c>
      <c r="I1203" t="str">
        <f t="shared" si="133"/>
        <v>Kōura</v>
      </c>
      <c r="J1203" t="str">
        <f t="shared" si="134"/>
        <v>Native</v>
      </c>
      <c r="K1203" t="str">
        <f t="shared" si="135"/>
        <v>Yes</v>
      </c>
      <c r="L1203">
        <v>1</v>
      </c>
      <c r="M1203" t="s">
        <v>176</v>
      </c>
      <c r="N1203">
        <v>15</v>
      </c>
      <c r="O1203">
        <v>2</v>
      </c>
      <c r="T1203" t="str">
        <f t="shared" si="131"/>
        <v/>
      </c>
    </row>
    <row r="1204" spans="1:20" x14ac:dyDescent="0.55000000000000004">
      <c r="A1204">
        <v>12</v>
      </c>
      <c r="B1204" s="15" t="str">
        <f t="shared" si="136"/>
        <v>12_2</v>
      </c>
      <c r="C1204" s="20">
        <v>45855.402777777781</v>
      </c>
      <c r="D1204" t="s">
        <v>175</v>
      </c>
      <c r="E1204">
        <v>2</v>
      </c>
      <c r="F1204" t="s">
        <v>115</v>
      </c>
      <c r="G1204" t="str">
        <f t="shared" si="137"/>
        <v>Paranephrops planifrons</v>
      </c>
      <c r="H1204" t="str">
        <f t="shared" si="132"/>
        <v>Freshwater_crayfish</v>
      </c>
      <c r="I1204" t="str">
        <f t="shared" si="133"/>
        <v>Kōura</v>
      </c>
      <c r="J1204" t="str">
        <f t="shared" si="134"/>
        <v>Native</v>
      </c>
      <c r="K1204" t="str">
        <f t="shared" si="135"/>
        <v>Yes</v>
      </c>
      <c r="L1204">
        <v>1</v>
      </c>
      <c r="M1204" t="s">
        <v>176</v>
      </c>
      <c r="N1204">
        <v>13</v>
      </c>
      <c r="O1204">
        <v>4</v>
      </c>
      <c r="T1204" t="str">
        <f t="shared" ref="T1204:T1267" si="138">IF(S1204&lt;&gt;"", S1204*236.588, "")</f>
        <v/>
      </c>
    </row>
    <row r="1205" spans="1:20" x14ac:dyDescent="0.55000000000000004">
      <c r="A1205">
        <v>12</v>
      </c>
      <c r="B1205" s="15" t="str">
        <f t="shared" si="136"/>
        <v>12_2</v>
      </c>
      <c r="C1205" s="20">
        <v>45855.402777777781</v>
      </c>
      <c r="D1205" t="s">
        <v>175</v>
      </c>
      <c r="E1205">
        <v>2</v>
      </c>
      <c r="F1205" t="s">
        <v>115</v>
      </c>
      <c r="G1205" t="str">
        <f t="shared" si="137"/>
        <v>Paranephrops planifrons</v>
      </c>
      <c r="H1205" t="str">
        <f t="shared" si="132"/>
        <v>Freshwater_crayfish</v>
      </c>
      <c r="I1205" t="str">
        <f t="shared" si="133"/>
        <v>Kōura</v>
      </c>
      <c r="J1205" t="str">
        <f t="shared" si="134"/>
        <v>Native</v>
      </c>
      <c r="K1205" t="str">
        <f t="shared" si="135"/>
        <v>Yes</v>
      </c>
      <c r="L1205">
        <v>1</v>
      </c>
      <c r="M1205" t="s">
        <v>176</v>
      </c>
      <c r="N1205">
        <v>21</v>
      </c>
      <c r="O1205">
        <v>9</v>
      </c>
      <c r="P1205">
        <v>1</v>
      </c>
      <c r="T1205" t="str">
        <f t="shared" si="138"/>
        <v/>
      </c>
    </row>
    <row r="1206" spans="1:20" x14ac:dyDescent="0.55000000000000004">
      <c r="A1206">
        <v>12</v>
      </c>
      <c r="B1206" s="15" t="str">
        <f t="shared" si="136"/>
        <v>12_2</v>
      </c>
      <c r="C1206" s="20">
        <v>45855.402777777781</v>
      </c>
      <c r="D1206" t="s">
        <v>175</v>
      </c>
      <c r="E1206">
        <v>2</v>
      </c>
      <c r="F1206" t="s">
        <v>115</v>
      </c>
      <c r="G1206" t="str">
        <f t="shared" si="137"/>
        <v>Paranephrops planifrons</v>
      </c>
      <c r="H1206" t="str">
        <f t="shared" si="132"/>
        <v>Freshwater_crayfish</v>
      </c>
      <c r="I1206" t="str">
        <f t="shared" si="133"/>
        <v>Kōura</v>
      </c>
      <c r="J1206" t="str">
        <f t="shared" si="134"/>
        <v>Native</v>
      </c>
      <c r="K1206" t="str">
        <f t="shared" si="135"/>
        <v>Yes</v>
      </c>
      <c r="L1206">
        <v>1</v>
      </c>
      <c r="M1206" t="s">
        <v>177</v>
      </c>
      <c r="N1206">
        <v>20</v>
      </c>
      <c r="O1206">
        <v>6</v>
      </c>
      <c r="P1206">
        <v>1</v>
      </c>
      <c r="T1206" t="str">
        <f t="shared" si="138"/>
        <v/>
      </c>
    </row>
    <row r="1207" spans="1:20" x14ac:dyDescent="0.55000000000000004">
      <c r="A1207">
        <v>12</v>
      </c>
      <c r="B1207" s="15" t="str">
        <f t="shared" si="136"/>
        <v>12_2</v>
      </c>
      <c r="C1207" s="20">
        <v>45855.402777777781</v>
      </c>
      <c r="D1207" t="s">
        <v>175</v>
      </c>
      <c r="E1207">
        <v>2</v>
      </c>
      <c r="F1207" t="s">
        <v>133</v>
      </c>
      <c r="G1207" t="str">
        <f t="shared" si="137"/>
        <v>Retropinna retropinna</v>
      </c>
      <c r="H1207" t="str">
        <f t="shared" si="132"/>
        <v>Common_smelt</v>
      </c>
      <c r="I1207" t="str">
        <f t="shared" si="133"/>
        <v>Common_smelt</v>
      </c>
      <c r="J1207" t="str">
        <f t="shared" si="134"/>
        <v>Native</v>
      </c>
      <c r="K1207" t="str">
        <f t="shared" si="135"/>
        <v>No</v>
      </c>
      <c r="L1207">
        <v>5</v>
      </c>
      <c r="O1207">
        <v>5</v>
      </c>
      <c r="T1207" t="str">
        <f t="shared" si="138"/>
        <v/>
      </c>
    </row>
    <row r="1208" spans="1:20" x14ac:dyDescent="0.55000000000000004">
      <c r="A1208">
        <v>12</v>
      </c>
      <c r="B1208" s="15" t="str">
        <f t="shared" si="136"/>
        <v>12_2</v>
      </c>
      <c r="C1208" s="20">
        <v>45855.402777777781</v>
      </c>
      <c r="D1208" t="s">
        <v>175</v>
      </c>
      <c r="E1208">
        <v>2</v>
      </c>
      <c r="F1208" t="s">
        <v>135</v>
      </c>
      <c r="G1208" t="str">
        <f t="shared" si="137"/>
        <v>Gobiomorphus cotidianus</v>
      </c>
      <c r="H1208" t="str">
        <f t="shared" si="132"/>
        <v>Common_bully</v>
      </c>
      <c r="I1208" t="str">
        <f t="shared" si="133"/>
        <v>Toitoi</v>
      </c>
      <c r="J1208" t="str">
        <f t="shared" si="134"/>
        <v>Native</v>
      </c>
      <c r="K1208" t="str">
        <f t="shared" si="135"/>
        <v>No</v>
      </c>
      <c r="O1208">
        <v>439</v>
      </c>
      <c r="S1208">
        <v>2</v>
      </c>
      <c r="T1208">
        <f t="shared" si="138"/>
        <v>473.17599999999999</v>
      </c>
    </row>
    <row r="1209" spans="1:20" x14ac:dyDescent="0.55000000000000004">
      <c r="A1209">
        <v>12</v>
      </c>
      <c r="B1209" s="15" t="str">
        <f t="shared" si="136"/>
        <v>12_2</v>
      </c>
      <c r="C1209" s="20">
        <v>45855.402777777781</v>
      </c>
      <c r="D1209" t="s">
        <v>175</v>
      </c>
      <c r="E1209">
        <v>2</v>
      </c>
      <c r="F1209" t="s">
        <v>135</v>
      </c>
      <c r="G1209" t="str">
        <f t="shared" si="137"/>
        <v>Gobiomorphus cotidianus</v>
      </c>
      <c r="H1209" t="str">
        <f t="shared" si="132"/>
        <v>Common_bully</v>
      </c>
      <c r="I1209" t="str">
        <f t="shared" si="133"/>
        <v>Toitoi</v>
      </c>
      <c r="J1209" t="str">
        <f t="shared" si="134"/>
        <v>Native</v>
      </c>
      <c r="K1209" t="str">
        <f t="shared" si="135"/>
        <v>No</v>
      </c>
      <c r="O1209">
        <v>139</v>
      </c>
      <c r="S1209">
        <v>0.5</v>
      </c>
      <c r="T1209">
        <f t="shared" si="138"/>
        <v>118.294</v>
      </c>
    </row>
    <row r="1210" spans="1:20" x14ac:dyDescent="0.55000000000000004">
      <c r="A1210">
        <v>12</v>
      </c>
      <c r="B1210" s="15" t="str">
        <f t="shared" si="136"/>
        <v>12_2</v>
      </c>
      <c r="C1210" s="20">
        <v>45855.402777777781</v>
      </c>
      <c r="D1210" t="s">
        <v>175</v>
      </c>
      <c r="E1210">
        <v>2</v>
      </c>
      <c r="F1210" t="s">
        <v>120</v>
      </c>
      <c r="G1210" t="str">
        <f t="shared" si="137"/>
        <v>Ameiurus nebulosus</v>
      </c>
      <c r="H1210" t="str">
        <f t="shared" si="132"/>
        <v>Catfish</v>
      </c>
      <c r="I1210" t="str">
        <f t="shared" si="133"/>
        <v>Catfish</v>
      </c>
      <c r="J1210" t="str">
        <f t="shared" si="134"/>
        <v>Nonnative</v>
      </c>
      <c r="K1210" t="str">
        <f t="shared" si="135"/>
        <v>No</v>
      </c>
      <c r="L1210">
        <v>1</v>
      </c>
      <c r="N1210">
        <v>330</v>
      </c>
      <c r="O1210">
        <v>595</v>
      </c>
      <c r="T1210" t="str">
        <f t="shared" si="138"/>
        <v/>
      </c>
    </row>
    <row r="1211" spans="1:20" x14ac:dyDescent="0.55000000000000004">
      <c r="B1211" s="15" t="str">
        <f t="shared" si="136"/>
        <v>_2</v>
      </c>
      <c r="E1211">
        <v>2</v>
      </c>
      <c r="G1211" t="e">
        <f t="shared" si="137"/>
        <v>#N/A</v>
      </c>
      <c r="H1211" t="e">
        <f t="shared" si="132"/>
        <v>#N/A</v>
      </c>
      <c r="I1211" t="e">
        <f t="shared" si="133"/>
        <v>#N/A</v>
      </c>
      <c r="J1211" t="e">
        <f t="shared" si="134"/>
        <v>#N/A</v>
      </c>
      <c r="K1211" t="e">
        <f t="shared" si="135"/>
        <v>#N/A</v>
      </c>
      <c r="T1211" t="str">
        <f t="shared" si="138"/>
        <v/>
      </c>
    </row>
    <row r="1212" spans="1:20" x14ac:dyDescent="0.55000000000000004">
      <c r="B1212" s="15" t="str">
        <f t="shared" si="136"/>
        <v>_2</v>
      </c>
      <c r="E1212">
        <v>2</v>
      </c>
      <c r="G1212" t="e">
        <f t="shared" si="137"/>
        <v>#N/A</v>
      </c>
      <c r="H1212" t="e">
        <f t="shared" si="132"/>
        <v>#N/A</v>
      </c>
      <c r="I1212" t="e">
        <f t="shared" si="133"/>
        <v>#N/A</v>
      </c>
      <c r="J1212" t="e">
        <f t="shared" si="134"/>
        <v>#N/A</v>
      </c>
      <c r="K1212" t="e">
        <f t="shared" si="135"/>
        <v>#N/A</v>
      </c>
      <c r="T1212" t="str">
        <f t="shared" si="138"/>
        <v/>
      </c>
    </row>
    <row r="1213" spans="1:20" x14ac:dyDescent="0.55000000000000004">
      <c r="B1213" s="15" t="str">
        <f t="shared" si="136"/>
        <v>_2</v>
      </c>
      <c r="E1213">
        <v>2</v>
      </c>
      <c r="G1213" t="e">
        <f t="shared" si="137"/>
        <v>#N/A</v>
      </c>
      <c r="H1213" t="e">
        <f t="shared" si="132"/>
        <v>#N/A</v>
      </c>
      <c r="I1213" t="e">
        <f t="shared" si="133"/>
        <v>#N/A</v>
      </c>
      <c r="J1213" t="e">
        <f t="shared" si="134"/>
        <v>#N/A</v>
      </c>
      <c r="K1213" t="e">
        <f t="shared" si="135"/>
        <v>#N/A</v>
      </c>
      <c r="T1213" t="str">
        <f t="shared" si="138"/>
        <v/>
      </c>
    </row>
    <row r="1214" spans="1:20" x14ac:dyDescent="0.55000000000000004">
      <c r="B1214" s="15" t="str">
        <f t="shared" si="136"/>
        <v>_2</v>
      </c>
      <c r="E1214">
        <v>2</v>
      </c>
      <c r="G1214" t="e">
        <f t="shared" si="137"/>
        <v>#N/A</v>
      </c>
      <c r="H1214" t="e">
        <f t="shared" si="132"/>
        <v>#N/A</v>
      </c>
      <c r="I1214" t="e">
        <f t="shared" si="133"/>
        <v>#N/A</v>
      </c>
      <c r="J1214" t="e">
        <f t="shared" si="134"/>
        <v>#N/A</v>
      </c>
      <c r="K1214" t="e">
        <f t="shared" si="135"/>
        <v>#N/A</v>
      </c>
      <c r="T1214" t="str">
        <f t="shared" si="138"/>
        <v/>
      </c>
    </row>
    <row r="1215" spans="1:20" x14ac:dyDescent="0.55000000000000004">
      <c r="B1215" s="15" t="str">
        <f t="shared" si="136"/>
        <v>_2</v>
      </c>
      <c r="E1215">
        <v>2</v>
      </c>
      <c r="G1215" t="e">
        <f t="shared" si="137"/>
        <v>#N/A</v>
      </c>
      <c r="H1215" t="e">
        <f t="shared" si="132"/>
        <v>#N/A</v>
      </c>
      <c r="I1215" t="e">
        <f t="shared" si="133"/>
        <v>#N/A</v>
      </c>
      <c r="J1215" t="e">
        <f t="shared" si="134"/>
        <v>#N/A</v>
      </c>
      <c r="K1215" t="e">
        <f t="shared" si="135"/>
        <v>#N/A</v>
      </c>
      <c r="T1215" t="str">
        <f t="shared" si="138"/>
        <v/>
      </c>
    </row>
    <row r="1216" spans="1:20" x14ac:dyDescent="0.55000000000000004">
      <c r="B1216" s="15" t="str">
        <f t="shared" si="136"/>
        <v>_2</v>
      </c>
      <c r="E1216">
        <v>2</v>
      </c>
      <c r="G1216" t="e">
        <f t="shared" si="137"/>
        <v>#N/A</v>
      </c>
      <c r="H1216" t="e">
        <f t="shared" si="132"/>
        <v>#N/A</v>
      </c>
      <c r="I1216" t="e">
        <f t="shared" si="133"/>
        <v>#N/A</v>
      </c>
      <c r="J1216" t="e">
        <f t="shared" si="134"/>
        <v>#N/A</v>
      </c>
      <c r="K1216" t="e">
        <f t="shared" si="135"/>
        <v>#N/A</v>
      </c>
      <c r="T1216" t="str">
        <f t="shared" si="138"/>
        <v/>
      </c>
    </row>
    <row r="1217" spans="2:20" x14ac:dyDescent="0.55000000000000004">
      <c r="B1217" s="15" t="str">
        <f t="shared" si="136"/>
        <v>_2</v>
      </c>
      <c r="E1217">
        <v>2</v>
      </c>
      <c r="G1217" t="e">
        <f t="shared" si="137"/>
        <v>#N/A</v>
      </c>
      <c r="H1217" t="e">
        <f t="shared" ref="H1217:H1280" si="139">VLOOKUP($F1217, $W$1:$AB$10, 3, FALSE)</f>
        <v>#N/A</v>
      </c>
      <c r="I1217" t="e">
        <f t="shared" ref="I1217:I1280" si="140">VLOOKUP($F1217, $W$1:$AB$10, 4, FALSE)</f>
        <v>#N/A</v>
      </c>
      <c r="J1217" t="e">
        <f t="shared" ref="J1217:J1280" si="141">VLOOKUP($F1217, $W$1:$AC$10, 5, FALSE)</f>
        <v>#N/A</v>
      </c>
      <c r="K1217" t="e">
        <f t="shared" ref="K1217:K1280" si="142">VLOOKUP($F1217, $W$1:$AB$10, 6, FALSE)</f>
        <v>#N/A</v>
      </c>
      <c r="T1217" t="str">
        <f t="shared" si="138"/>
        <v/>
      </c>
    </row>
    <row r="1218" spans="2:20" x14ac:dyDescent="0.55000000000000004">
      <c r="B1218" s="15" t="str">
        <f t="shared" si="136"/>
        <v>_2</v>
      </c>
      <c r="E1218">
        <v>2</v>
      </c>
      <c r="G1218" t="e">
        <f t="shared" si="137"/>
        <v>#N/A</v>
      </c>
      <c r="H1218" t="e">
        <f t="shared" si="139"/>
        <v>#N/A</v>
      </c>
      <c r="I1218" t="e">
        <f t="shared" si="140"/>
        <v>#N/A</v>
      </c>
      <c r="J1218" t="e">
        <f t="shared" si="141"/>
        <v>#N/A</v>
      </c>
      <c r="K1218" t="e">
        <f t="shared" si="142"/>
        <v>#N/A</v>
      </c>
      <c r="T1218" t="str">
        <f t="shared" si="138"/>
        <v/>
      </c>
    </row>
    <row r="1219" spans="2:20" x14ac:dyDescent="0.55000000000000004">
      <c r="B1219" s="15" t="str">
        <f t="shared" si="136"/>
        <v>_2</v>
      </c>
      <c r="E1219">
        <v>2</v>
      </c>
      <c r="G1219" t="e">
        <f t="shared" si="137"/>
        <v>#N/A</v>
      </c>
      <c r="H1219" t="e">
        <f t="shared" si="139"/>
        <v>#N/A</v>
      </c>
      <c r="I1219" t="e">
        <f t="shared" si="140"/>
        <v>#N/A</v>
      </c>
      <c r="J1219" t="e">
        <f t="shared" si="141"/>
        <v>#N/A</v>
      </c>
      <c r="K1219" t="e">
        <f t="shared" si="142"/>
        <v>#N/A</v>
      </c>
      <c r="T1219" t="str">
        <f t="shared" si="138"/>
        <v/>
      </c>
    </row>
    <row r="1220" spans="2:20" x14ac:dyDescent="0.55000000000000004">
      <c r="B1220" s="15" t="str">
        <f t="shared" si="136"/>
        <v>_2</v>
      </c>
      <c r="E1220">
        <v>2</v>
      </c>
      <c r="G1220" t="e">
        <f t="shared" si="137"/>
        <v>#N/A</v>
      </c>
      <c r="H1220" t="e">
        <f t="shared" si="139"/>
        <v>#N/A</v>
      </c>
      <c r="I1220" t="e">
        <f t="shared" si="140"/>
        <v>#N/A</v>
      </c>
      <c r="J1220" t="e">
        <f t="shared" si="141"/>
        <v>#N/A</v>
      </c>
      <c r="K1220" t="e">
        <f t="shared" si="142"/>
        <v>#N/A</v>
      </c>
      <c r="T1220" t="str">
        <f t="shared" si="138"/>
        <v/>
      </c>
    </row>
    <row r="1221" spans="2:20" x14ac:dyDescent="0.55000000000000004">
      <c r="B1221" s="15" t="str">
        <f t="shared" si="136"/>
        <v>_2</v>
      </c>
      <c r="E1221">
        <v>2</v>
      </c>
      <c r="G1221" t="e">
        <f t="shared" si="137"/>
        <v>#N/A</v>
      </c>
      <c r="H1221" t="e">
        <f t="shared" si="139"/>
        <v>#N/A</v>
      </c>
      <c r="I1221" t="e">
        <f t="shared" si="140"/>
        <v>#N/A</v>
      </c>
      <c r="J1221" t="e">
        <f t="shared" si="141"/>
        <v>#N/A</v>
      </c>
      <c r="K1221" t="e">
        <f t="shared" si="142"/>
        <v>#N/A</v>
      </c>
      <c r="T1221" t="str">
        <f t="shared" si="138"/>
        <v/>
      </c>
    </row>
    <row r="1222" spans="2:20" x14ac:dyDescent="0.55000000000000004">
      <c r="B1222" s="15" t="str">
        <f t="shared" si="136"/>
        <v>_2</v>
      </c>
      <c r="E1222">
        <v>2</v>
      </c>
      <c r="G1222" t="e">
        <f t="shared" si="137"/>
        <v>#N/A</v>
      </c>
      <c r="H1222" t="e">
        <f t="shared" si="139"/>
        <v>#N/A</v>
      </c>
      <c r="I1222" t="e">
        <f t="shared" si="140"/>
        <v>#N/A</v>
      </c>
      <c r="J1222" t="e">
        <f t="shared" si="141"/>
        <v>#N/A</v>
      </c>
      <c r="K1222" t="e">
        <f t="shared" si="142"/>
        <v>#N/A</v>
      </c>
      <c r="T1222" t="str">
        <f t="shared" si="138"/>
        <v/>
      </c>
    </row>
    <row r="1223" spans="2:20" x14ac:dyDescent="0.55000000000000004">
      <c r="B1223" s="15" t="str">
        <f t="shared" si="136"/>
        <v>_2</v>
      </c>
      <c r="E1223">
        <v>2</v>
      </c>
      <c r="G1223" t="e">
        <f t="shared" si="137"/>
        <v>#N/A</v>
      </c>
      <c r="H1223" t="e">
        <f t="shared" si="139"/>
        <v>#N/A</v>
      </c>
      <c r="I1223" t="e">
        <f t="shared" si="140"/>
        <v>#N/A</v>
      </c>
      <c r="J1223" t="e">
        <f t="shared" si="141"/>
        <v>#N/A</v>
      </c>
      <c r="K1223" t="e">
        <f t="shared" si="142"/>
        <v>#N/A</v>
      </c>
      <c r="T1223" t="str">
        <f t="shared" si="138"/>
        <v/>
      </c>
    </row>
    <row r="1224" spans="2:20" x14ac:dyDescent="0.55000000000000004">
      <c r="B1224" s="15" t="str">
        <f t="shared" si="136"/>
        <v>_2</v>
      </c>
      <c r="E1224">
        <v>2</v>
      </c>
      <c r="G1224" t="e">
        <f t="shared" si="137"/>
        <v>#N/A</v>
      </c>
      <c r="H1224" t="e">
        <f t="shared" si="139"/>
        <v>#N/A</v>
      </c>
      <c r="I1224" t="e">
        <f t="shared" si="140"/>
        <v>#N/A</v>
      </c>
      <c r="J1224" t="e">
        <f t="shared" si="141"/>
        <v>#N/A</v>
      </c>
      <c r="K1224" t="e">
        <f t="shared" si="142"/>
        <v>#N/A</v>
      </c>
      <c r="T1224" t="str">
        <f t="shared" si="138"/>
        <v/>
      </c>
    </row>
    <row r="1225" spans="2:20" x14ac:dyDescent="0.55000000000000004">
      <c r="B1225" s="15" t="str">
        <f t="shared" si="136"/>
        <v>_2</v>
      </c>
      <c r="E1225">
        <v>2</v>
      </c>
      <c r="G1225" t="e">
        <f t="shared" si="137"/>
        <v>#N/A</v>
      </c>
      <c r="H1225" t="e">
        <f t="shared" si="139"/>
        <v>#N/A</v>
      </c>
      <c r="I1225" t="e">
        <f t="shared" si="140"/>
        <v>#N/A</v>
      </c>
      <c r="J1225" t="e">
        <f t="shared" si="141"/>
        <v>#N/A</v>
      </c>
      <c r="K1225" t="e">
        <f t="shared" si="142"/>
        <v>#N/A</v>
      </c>
      <c r="T1225" t="str">
        <f t="shared" si="138"/>
        <v/>
      </c>
    </row>
    <row r="1226" spans="2:20" x14ac:dyDescent="0.55000000000000004">
      <c r="B1226" s="15" t="str">
        <f t="shared" si="136"/>
        <v>_2</v>
      </c>
      <c r="E1226">
        <v>2</v>
      </c>
      <c r="G1226" t="e">
        <f t="shared" si="137"/>
        <v>#N/A</v>
      </c>
      <c r="H1226" t="e">
        <f t="shared" si="139"/>
        <v>#N/A</v>
      </c>
      <c r="I1226" t="e">
        <f t="shared" si="140"/>
        <v>#N/A</v>
      </c>
      <c r="J1226" t="e">
        <f t="shared" si="141"/>
        <v>#N/A</v>
      </c>
      <c r="K1226" t="e">
        <f t="shared" si="142"/>
        <v>#N/A</v>
      </c>
      <c r="T1226" t="str">
        <f t="shared" si="138"/>
        <v/>
      </c>
    </row>
    <row r="1227" spans="2:20" x14ac:dyDescent="0.55000000000000004">
      <c r="B1227" s="15" t="str">
        <f t="shared" si="136"/>
        <v>_2</v>
      </c>
      <c r="E1227">
        <v>2</v>
      </c>
      <c r="G1227" t="e">
        <f t="shared" si="137"/>
        <v>#N/A</v>
      </c>
      <c r="H1227" t="e">
        <f t="shared" si="139"/>
        <v>#N/A</v>
      </c>
      <c r="I1227" t="e">
        <f t="shared" si="140"/>
        <v>#N/A</v>
      </c>
      <c r="J1227" t="e">
        <f t="shared" si="141"/>
        <v>#N/A</v>
      </c>
      <c r="K1227" t="e">
        <f t="shared" si="142"/>
        <v>#N/A</v>
      </c>
      <c r="T1227" t="str">
        <f t="shared" si="138"/>
        <v/>
      </c>
    </row>
    <row r="1228" spans="2:20" x14ac:dyDescent="0.55000000000000004">
      <c r="B1228" s="15" t="str">
        <f t="shared" si="136"/>
        <v>_2</v>
      </c>
      <c r="E1228">
        <v>2</v>
      </c>
      <c r="G1228" t="e">
        <f t="shared" si="137"/>
        <v>#N/A</v>
      </c>
      <c r="H1228" t="e">
        <f t="shared" si="139"/>
        <v>#N/A</v>
      </c>
      <c r="I1228" t="e">
        <f t="shared" si="140"/>
        <v>#N/A</v>
      </c>
      <c r="J1228" t="e">
        <f t="shared" si="141"/>
        <v>#N/A</v>
      </c>
      <c r="K1228" t="e">
        <f t="shared" si="142"/>
        <v>#N/A</v>
      </c>
      <c r="T1228" t="str">
        <f t="shared" si="138"/>
        <v/>
      </c>
    </row>
    <row r="1229" spans="2:20" x14ac:dyDescent="0.55000000000000004">
      <c r="B1229" s="15" t="str">
        <f t="shared" si="136"/>
        <v>_2</v>
      </c>
      <c r="E1229">
        <v>2</v>
      </c>
      <c r="G1229" t="e">
        <f t="shared" si="137"/>
        <v>#N/A</v>
      </c>
      <c r="H1229" t="e">
        <f t="shared" si="139"/>
        <v>#N/A</v>
      </c>
      <c r="I1229" t="e">
        <f t="shared" si="140"/>
        <v>#N/A</v>
      </c>
      <c r="J1229" t="e">
        <f t="shared" si="141"/>
        <v>#N/A</v>
      </c>
      <c r="K1229" t="e">
        <f t="shared" si="142"/>
        <v>#N/A</v>
      </c>
      <c r="T1229" t="str">
        <f t="shared" si="138"/>
        <v/>
      </c>
    </row>
    <row r="1230" spans="2:20" x14ac:dyDescent="0.55000000000000004">
      <c r="B1230" s="15" t="str">
        <f t="shared" si="136"/>
        <v>_2</v>
      </c>
      <c r="E1230">
        <v>2</v>
      </c>
      <c r="G1230" t="e">
        <f t="shared" si="137"/>
        <v>#N/A</v>
      </c>
      <c r="H1230" t="e">
        <f t="shared" si="139"/>
        <v>#N/A</v>
      </c>
      <c r="I1230" t="e">
        <f t="shared" si="140"/>
        <v>#N/A</v>
      </c>
      <c r="J1230" t="e">
        <f t="shared" si="141"/>
        <v>#N/A</v>
      </c>
      <c r="K1230" t="e">
        <f t="shared" si="142"/>
        <v>#N/A</v>
      </c>
      <c r="T1230" t="str">
        <f t="shared" si="138"/>
        <v/>
      </c>
    </row>
    <row r="1231" spans="2:20" x14ac:dyDescent="0.55000000000000004">
      <c r="B1231" s="15" t="str">
        <f t="shared" si="136"/>
        <v>_2</v>
      </c>
      <c r="E1231">
        <v>2</v>
      </c>
      <c r="G1231" t="e">
        <f t="shared" si="137"/>
        <v>#N/A</v>
      </c>
      <c r="H1231" t="e">
        <f t="shared" si="139"/>
        <v>#N/A</v>
      </c>
      <c r="I1231" t="e">
        <f t="shared" si="140"/>
        <v>#N/A</v>
      </c>
      <c r="J1231" t="e">
        <f t="shared" si="141"/>
        <v>#N/A</v>
      </c>
      <c r="K1231" t="e">
        <f t="shared" si="142"/>
        <v>#N/A</v>
      </c>
      <c r="T1231" t="str">
        <f t="shared" si="138"/>
        <v/>
      </c>
    </row>
    <row r="1232" spans="2:20" x14ac:dyDescent="0.55000000000000004">
      <c r="B1232" s="15" t="str">
        <f t="shared" si="136"/>
        <v>_2</v>
      </c>
      <c r="E1232">
        <v>2</v>
      </c>
      <c r="G1232" t="e">
        <f t="shared" si="137"/>
        <v>#N/A</v>
      </c>
      <c r="H1232" t="e">
        <f t="shared" si="139"/>
        <v>#N/A</v>
      </c>
      <c r="I1232" t="e">
        <f t="shared" si="140"/>
        <v>#N/A</v>
      </c>
      <c r="J1232" t="e">
        <f t="shared" si="141"/>
        <v>#N/A</v>
      </c>
      <c r="K1232" t="e">
        <f t="shared" si="142"/>
        <v>#N/A</v>
      </c>
      <c r="T1232" t="str">
        <f t="shared" si="138"/>
        <v/>
      </c>
    </row>
    <row r="1233" spans="2:20" x14ac:dyDescent="0.55000000000000004">
      <c r="B1233" s="15" t="str">
        <f t="shared" si="136"/>
        <v>_2</v>
      </c>
      <c r="E1233">
        <v>2</v>
      </c>
      <c r="G1233" t="e">
        <f t="shared" si="137"/>
        <v>#N/A</v>
      </c>
      <c r="H1233" t="e">
        <f t="shared" si="139"/>
        <v>#N/A</v>
      </c>
      <c r="I1233" t="e">
        <f t="shared" si="140"/>
        <v>#N/A</v>
      </c>
      <c r="J1233" t="e">
        <f t="shared" si="141"/>
        <v>#N/A</v>
      </c>
      <c r="K1233" t="e">
        <f t="shared" si="142"/>
        <v>#N/A</v>
      </c>
      <c r="T1233" t="str">
        <f t="shared" si="138"/>
        <v/>
      </c>
    </row>
    <row r="1234" spans="2:20" x14ac:dyDescent="0.55000000000000004">
      <c r="B1234" s="15" t="str">
        <f t="shared" si="136"/>
        <v>_2</v>
      </c>
      <c r="E1234">
        <v>2</v>
      </c>
      <c r="G1234" t="e">
        <f t="shared" si="137"/>
        <v>#N/A</v>
      </c>
      <c r="H1234" t="e">
        <f t="shared" si="139"/>
        <v>#N/A</v>
      </c>
      <c r="I1234" t="e">
        <f t="shared" si="140"/>
        <v>#N/A</v>
      </c>
      <c r="J1234" t="e">
        <f t="shared" si="141"/>
        <v>#N/A</v>
      </c>
      <c r="K1234" t="e">
        <f t="shared" si="142"/>
        <v>#N/A</v>
      </c>
      <c r="T1234" t="str">
        <f t="shared" si="138"/>
        <v/>
      </c>
    </row>
    <row r="1235" spans="2:20" x14ac:dyDescent="0.55000000000000004">
      <c r="B1235" s="15" t="str">
        <f t="shared" si="136"/>
        <v>_2</v>
      </c>
      <c r="E1235">
        <v>2</v>
      </c>
      <c r="G1235" t="e">
        <f t="shared" si="137"/>
        <v>#N/A</v>
      </c>
      <c r="H1235" t="e">
        <f t="shared" si="139"/>
        <v>#N/A</v>
      </c>
      <c r="I1235" t="e">
        <f t="shared" si="140"/>
        <v>#N/A</v>
      </c>
      <c r="J1235" t="e">
        <f t="shared" si="141"/>
        <v>#N/A</v>
      </c>
      <c r="K1235" t="e">
        <f t="shared" si="142"/>
        <v>#N/A</v>
      </c>
      <c r="T1235" t="str">
        <f t="shared" si="138"/>
        <v/>
      </c>
    </row>
    <row r="1236" spans="2:20" x14ac:dyDescent="0.55000000000000004">
      <c r="B1236" s="15" t="str">
        <f t="shared" si="136"/>
        <v>_2</v>
      </c>
      <c r="E1236">
        <v>2</v>
      </c>
      <c r="G1236" t="e">
        <f t="shared" si="137"/>
        <v>#N/A</v>
      </c>
      <c r="H1236" t="e">
        <f t="shared" si="139"/>
        <v>#N/A</v>
      </c>
      <c r="I1236" t="e">
        <f t="shared" si="140"/>
        <v>#N/A</v>
      </c>
      <c r="J1236" t="e">
        <f t="shared" si="141"/>
        <v>#N/A</v>
      </c>
      <c r="K1236" t="e">
        <f t="shared" si="142"/>
        <v>#N/A</v>
      </c>
      <c r="T1236" t="str">
        <f t="shared" si="138"/>
        <v/>
      </c>
    </row>
    <row r="1237" spans="2:20" x14ac:dyDescent="0.55000000000000004">
      <c r="B1237" s="15" t="str">
        <f t="shared" si="136"/>
        <v>_2</v>
      </c>
      <c r="E1237">
        <v>2</v>
      </c>
      <c r="G1237" t="e">
        <f t="shared" si="137"/>
        <v>#N/A</v>
      </c>
      <c r="H1237" t="e">
        <f t="shared" si="139"/>
        <v>#N/A</v>
      </c>
      <c r="I1237" t="e">
        <f t="shared" si="140"/>
        <v>#N/A</v>
      </c>
      <c r="J1237" t="e">
        <f t="shared" si="141"/>
        <v>#N/A</v>
      </c>
      <c r="K1237" t="e">
        <f t="shared" si="142"/>
        <v>#N/A</v>
      </c>
      <c r="T1237" t="str">
        <f t="shared" si="138"/>
        <v/>
      </c>
    </row>
    <row r="1238" spans="2:20" x14ac:dyDescent="0.55000000000000004">
      <c r="B1238" s="15" t="str">
        <f t="shared" si="136"/>
        <v>_2</v>
      </c>
      <c r="E1238">
        <v>2</v>
      </c>
      <c r="G1238" t="e">
        <f t="shared" si="137"/>
        <v>#N/A</v>
      </c>
      <c r="H1238" t="e">
        <f t="shared" si="139"/>
        <v>#N/A</v>
      </c>
      <c r="I1238" t="e">
        <f t="shared" si="140"/>
        <v>#N/A</v>
      </c>
      <c r="J1238" t="e">
        <f t="shared" si="141"/>
        <v>#N/A</v>
      </c>
      <c r="K1238" t="e">
        <f t="shared" si="142"/>
        <v>#N/A</v>
      </c>
      <c r="T1238" t="str">
        <f t="shared" si="138"/>
        <v/>
      </c>
    </row>
    <row r="1239" spans="2:20" x14ac:dyDescent="0.55000000000000004">
      <c r="B1239" s="15" t="str">
        <f t="shared" si="136"/>
        <v>_2</v>
      </c>
      <c r="E1239">
        <v>2</v>
      </c>
      <c r="G1239" t="e">
        <f t="shared" si="137"/>
        <v>#N/A</v>
      </c>
      <c r="H1239" t="e">
        <f t="shared" si="139"/>
        <v>#N/A</v>
      </c>
      <c r="I1239" t="e">
        <f t="shared" si="140"/>
        <v>#N/A</v>
      </c>
      <c r="J1239" t="e">
        <f t="shared" si="141"/>
        <v>#N/A</v>
      </c>
      <c r="K1239" t="e">
        <f t="shared" si="142"/>
        <v>#N/A</v>
      </c>
      <c r="T1239" t="str">
        <f t="shared" si="138"/>
        <v/>
      </c>
    </row>
    <row r="1240" spans="2:20" x14ac:dyDescent="0.55000000000000004">
      <c r="B1240" s="15" t="str">
        <f t="shared" si="136"/>
        <v>_2</v>
      </c>
      <c r="E1240">
        <v>2</v>
      </c>
      <c r="G1240" t="e">
        <f t="shared" si="137"/>
        <v>#N/A</v>
      </c>
      <c r="H1240" t="e">
        <f t="shared" si="139"/>
        <v>#N/A</v>
      </c>
      <c r="I1240" t="e">
        <f t="shared" si="140"/>
        <v>#N/A</v>
      </c>
      <c r="J1240" t="e">
        <f t="shared" si="141"/>
        <v>#N/A</v>
      </c>
      <c r="K1240" t="e">
        <f t="shared" si="142"/>
        <v>#N/A</v>
      </c>
      <c r="T1240" t="str">
        <f t="shared" si="138"/>
        <v/>
      </c>
    </row>
    <row r="1241" spans="2:20" x14ac:dyDescent="0.55000000000000004">
      <c r="B1241" s="15" t="str">
        <f t="shared" si="136"/>
        <v>_2</v>
      </c>
      <c r="E1241">
        <v>2</v>
      </c>
      <c r="G1241" t="e">
        <f t="shared" si="137"/>
        <v>#N/A</v>
      </c>
      <c r="H1241" t="e">
        <f t="shared" si="139"/>
        <v>#N/A</v>
      </c>
      <c r="I1241" t="e">
        <f t="shared" si="140"/>
        <v>#N/A</v>
      </c>
      <c r="J1241" t="e">
        <f t="shared" si="141"/>
        <v>#N/A</v>
      </c>
      <c r="K1241" t="e">
        <f t="shared" si="142"/>
        <v>#N/A</v>
      </c>
      <c r="T1241" t="str">
        <f t="shared" si="138"/>
        <v/>
      </c>
    </row>
    <row r="1242" spans="2:20" x14ac:dyDescent="0.55000000000000004">
      <c r="B1242" s="15" t="str">
        <f t="shared" si="136"/>
        <v>_2</v>
      </c>
      <c r="E1242">
        <v>2</v>
      </c>
      <c r="G1242" t="e">
        <f t="shared" si="137"/>
        <v>#N/A</v>
      </c>
      <c r="H1242" t="e">
        <f t="shared" si="139"/>
        <v>#N/A</v>
      </c>
      <c r="I1242" t="e">
        <f t="shared" si="140"/>
        <v>#N/A</v>
      </c>
      <c r="J1242" t="e">
        <f t="shared" si="141"/>
        <v>#N/A</v>
      </c>
      <c r="K1242" t="e">
        <f t="shared" si="142"/>
        <v>#N/A</v>
      </c>
      <c r="T1242" t="str">
        <f t="shared" si="138"/>
        <v/>
      </c>
    </row>
    <row r="1243" spans="2:20" x14ac:dyDescent="0.55000000000000004">
      <c r="B1243" s="15" t="str">
        <f t="shared" si="136"/>
        <v>_2</v>
      </c>
      <c r="E1243">
        <v>2</v>
      </c>
      <c r="G1243" t="e">
        <f t="shared" si="137"/>
        <v>#N/A</v>
      </c>
      <c r="H1243" t="e">
        <f t="shared" si="139"/>
        <v>#N/A</v>
      </c>
      <c r="I1243" t="e">
        <f t="shared" si="140"/>
        <v>#N/A</v>
      </c>
      <c r="J1243" t="e">
        <f t="shared" si="141"/>
        <v>#N/A</v>
      </c>
      <c r="K1243" t="e">
        <f t="shared" si="142"/>
        <v>#N/A</v>
      </c>
      <c r="T1243" t="str">
        <f t="shared" si="138"/>
        <v/>
      </c>
    </row>
    <row r="1244" spans="2:20" x14ac:dyDescent="0.55000000000000004">
      <c r="B1244" s="15" t="str">
        <f t="shared" si="136"/>
        <v>_2</v>
      </c>
      <c r="E1244">
        <v>2</v>
      </c>
      <c r="G1244" t="e">
        <f t="shared" si="137"/>
        <v>#N/A</v>
      </c>
      <c r="H1244" t="e">
        <f t="shared" si="139"/>
        <v>#N/A</v>
      </c>
      <c r="I1244" t="e">
        <f t="shared" si="140"/>
        <v>#N/A</v>
      </c>
      <c r="J1244" t="e">
        <f t="shared" si="141"/>
        <v>#N/A</v>
      </c>
      <c r="K1244" t="e">
        <f t="shared" si="142"/>
        <v>#N/A</v>
      </c>
      <c r="T1244" t="str">
        <f t="shared" si="138"/>
        <v/>
      </c>
    </row>
    <row r="1245" spans="2:20" x14ac:dyDescent="0.55000000000000004">
      <c r="B1245" s="15" t="str">
        <f t="shared" si="136"/>
        <v>_2</v>
      </c>
      <c r="E1245">
        <v>2</v>
      </c>
      <c r="G1245" t="e">
        <f t="shared" si="137"/>
        <v>#N/A</v>
      </c>
      <c r="H1245" t="e">
        <f t="shared" si="139"/>
        <v>#N/A</v>
      </c>
      <c r="I1245" t="e">
        <f t="shared" si="140"/>
        <v>#N/A</v>
      </c>
      <c r="J1245" t="e">
        <f t="shared" si="141"/>
        <v>#N/A</v>
      </c>
      <c r="K1245" t="e">
        <f t="shared" si="142"/>
        <v>#N/A</v>
      </c>
      <c r="T1245" t="str">
        <f t="shared" si="138"/>
        <v/>
      </c>
    </row>
    <row r="1246" spans="2:20" x14ac:dyDescent="0.55000000000000004">
      <c r="B1246" s="15" t="str">
        <f t="shared" ref="B1246:B1309" si="143">A1246 &amp; "_2"</f>
        <v>_2</v>
      </c>
      <c r="E1246">
        <v>2</v>
      </c>
      <c r="G1246" t="e">
        <f t="shared" si="137"/>
        <v>#N/A</v>
      </c>
      <c r="H1246" t="e">
        <f t="shared" si="139"/>
        <v>#N/A</v>
      </c>
      <c r="I1246" t="e">
        <f t="shared" si="140"/>
        <v>#N/A</v>
      </c>
      <c r="J1246" t="e">
        <f t="shared" si="141"/>
        <v>#N/A</v>
      </c>
      <c r="K1246" t="e">
        <f t="shared" si="142"/>
        <v>#N/A</v>
      </c>
      <c r="T1246" t="str">
        <f t="shared" si="138"/>
        <v/>
      </c>
    </row>
    <row r="1247" spans="2:20" x14ac:dyDescent="0.55000000000000004">
      <c r="B1247" s="15" t="str">
        <f t="shared" si="143"/>
        <v>_2</v>
      </c>
      <c r="E1247">
        <v>2</v>
      </c>
      <c r="G1247" t="e">
        <f t="shared" si="137"/>
        <v>#N/A</v>
      </c>
      <c r="H1247" t="e">
        <f t="shared" si="139"/>
        <v>#N/A</v>
      </c>
      <c r="I1247" t="e">
        <f t="shared" si="140"/>
        <v>#N/A</v>
      </c>
      <c r="J1247" t="e">
        <f t="shared" si="141"/>
        <v>#N/A</v>
      </c>
      <c r="K1247" t="e">
        <f t="shared" si="142"/>
        <v>#N/A</v>
      </c>
      <c r="T1247" t="str">
        <f t="shared" si="138"/>
        <v/>
      </c>
    </row>
    <row r="1248" spans="2:20" x14ac:dyDescent="0.55000000000000004">
      <c r="B1248" s="15" t="str">
        <f t="shared" si="143"/>
        <v>_2</v>
      </c>
      <c r="E1248">
        <v>2</v>
      </c>
      <c r="G1248" t="e">
        <f t="shared" si="137"/>
        <v>#N/A</v>
      </c>
      <c r="H1248" t="e">
        <f t="shared" si="139"/>
        <v>#N/A</v>
      </c>
      <c r="I1248" t="e">
        <f t="shared" si="140"/>
        <v>#N/A</v>
      </c>
      <c r="J1248" t="e">
        <f t="shared" si="141"/>
        <v>#N/A</v>
      </c>
      <c r="K1248" t="e">
        <f t="shared" si="142"/>
        <v>#N/A</v>
      </c>
      <c r="T1248" t="str">
        <f t="shared" si="138"/>
        <v/>
      </c>
    </row>
    <row r="1249" spans="2:20" x14ac:dyDescent="0.55000000000000004">
      <c r="B1249" s="15" t="str">
        <f t="shared" si="143"/>
        <v>_2</v>
      </c>
      <c r="E1249">
        <v>2</v>
      </c>
      <c r="G1249" t="e">
        <f t="shared" si="137"/>
        <v>#N/A</v>
      </c>
      <c r="H1249" t="e">
        <f t="shared" si="139"/>
        <v>#N/A</v>
      </c>
      <c r="I1249" t="e">
        <f t="shared" si="140"/>
        <v>#N/A</v>
      </c>
      <c r="J1249" t="e">
        <f t="shared" si="141"/>
        <v>#N/A</v>
      </c>
      <c r="K1249" t="e">
        <f t="shared" si="142"/>
        <v>#N/A</v>
      </c>
      <c r="T1249" t="str">
        <f t="shared" si="138"/>
        <v/>
      </c>
    </row>
    <row r="1250" spans="2:20" x14ac:dyDescent="0.55000000000000004">
      <c r="B1250" s="15" t="str">
        <f t="shared" si="143"/>
        <v>_2</v>
      </c>
      <c r="E1250">
        <v>2</v>
      </c>
      <c r="G1250" t="e">
        <f t="shared" si="137"/>
        <v>#N/A</v>
      </c>
      <c r="H1250" t="e">
        <f t="shared" si="139"/>
        <v>#N/A</v>
      </c>
      <c r="I1250" t="e">
        <f t="shared" si="140"/>
        <v>#N/A</v>
      </c>
      <c r="J1250" t="e">
        <f t="shared" si="141"/>
        <v>#N/A</v>
      </c>
      <c r="K1250" t="e">
        <f t="shared" si="142"/>
        <v>#N/A</v>
      </c>
      <c r="T1250" t="str">
        <f t="shared" si="138"/>
        <v/>
      </c>
    </row>
    <row r="1251" spans="2:20" x14ac:dyDescent="0.55000000000000004">
      <c r="B1251" s="15" t="str">
        <f t="shared" si="143"/>
        <v>_2</v>
      </c>
      <c r="E1251">
        <v>2</v>
      </c>
      <c r="G1251" t="e">
        <f t="shared" si="137"/>
        <v>#N/A</v>
      </c>
      <c r="H1251" t="e">
        <f t="shared" si="139"/>
        <v>#N/A</v>
      </c>
      <c r="I1251" t="e">
        <f t="shared" si="140"/>
        <v>#N/A</v>
      </c>
      <c r="J1251" t="e">
        <f t="shared" si="141"/>
        <v>#N/A</v>
      </c>
      <c r="K1251" t="e">
        <f t="shared" si="142"/>
        <v>#N/A</v>
      </c>
      <c r="T1251" t="str">
        <f t="shared" si="138"/>
        <v/>
      </c>
    </row>
    <row r="1252" spans="2:20" x14ac:dyDescent="0.55000000000000004">
      <c r="B1252" s="15" t="str">
        <f t="shared" si="143"/>
        <v>_2</v>
      </c>
      <c r="E1252">
        <v>2</v>
      </c>
      <c r="G1252" t="e">
        <f t="shared" si="137"/>
        <v>#N/A</v>
      </c>
      <c r="H1252" t="e">
        <f t="shared" si="139"/>
        <v>#N/A</v>
      </c>
      <c r="I1252" t="e">
        <f t="shared" si="140"/>
        <v>#N/A</v>
      </c>
      <c r="J1252" t="e">
        <f t="shared" si="141"/>
        <v>#N/A</v>
      </c>
      <c r="K1252" t="e">
        <f t="shared" si="142"/>
        <v>#N/A</v>
      </c>
      <c r="T1252" t="str">
        <f t="shared" si="138"/>
        <v/>
      </c>
    </row>
    <row r="1253" spans="2:20" x14ac:dyDescent="0.55000000000000004">
      <c r="B1253" s="15" t="str">
        <f t="shared" si="143"/>
        <v>_2</v>
      </c>
      <c r="E1253">
        <v>2</v>
      </c>
      <c r="G1253" t="e">
        <f t="shared" si="137"/>
        <v>#N/A</v>
      </c>
      <c r="H1253" t="e">
        <f t="shared" si="139"/>
        <v>#N/A</v>
      </c>
      <c r="I1253" t="e">
        <f t="shared" si="140"/>
        <v>#N/A</v>
      </c>
      <c r="J1253" t="e">
        <f t="shared" si="141"/>
        <v>#N/A</v>
      </c>
      <c r="K1253" t="e">
        <f t="shared" si="142"/>
        <v>#N/A</v>
      </c>
      <c r="T1253" t="str">
        <f t="shared" si="138"/>
        <v/>
      </c>
    </row>
    <row r="1254" spans="2:20" x14ac:dyDescent="0.55000000000000004">
      <c r="B1254" s="15" t="str">
        <f t="shared" si="143"/>
        <v>_2</v>
      </c>
      <c r="E1254">
        <v>2</v>
      </c>
      <c r="G1254" t="e">
        <f t="shared" ref="G1254:G1317" si="144">VLOOKUP($F1254, $W$1:$AB$10, 2, FALSE)</f>
        <v>#N/A</v>
      </c>
      <c r="H1254" t="e">
        <f t="shared" si="139"/>
        <v>#N/A</v>
      </c>
      <c r="I1254" t="e">
        <f t="shared" si="140"/>
        <v>#N/A</v>
      </c>
      <c r="J1254" t="e">
        <f t="shared" si="141"/>
        <v>#N/A</v>
      </c>
      <c r="K1254" t="e">
        <f t="shared" si="142"/>
        <v>#N/A</v>
      </c>
      <c r="T1254" t="str">
        <f t="shared" si="138"/>
        <v/>
      </c>
    </row>
    <row r="1255" spans="2:20" x14ac:dyDescent="0.55000000000000004">
      <c r="B1255" s="15" t="str">
        <f t="shared" si="143"/>
        <v>_2</v>
      </c>
      <c r="E1255">
        <v>2</v>
      </c>
      <c r="G1255" t="e">
        <f t="shared" si="144"/>
        <v>#N/A</v>
      </c>
      <c r="H1255" t="e">
        <f t="shared" si="139"/>
        <v>#N/A</v>
      </c>
      <c r="I1255" t="e">
        <f t="shared" si="140"/>
        <v>#N/A</v>
      </c>
      <c r="J1255" t="e">
        <f t="shared" si="141"/>
        <v>#N/A</v>
      </c>
      <c r="K1255" t="e">
        <f t="shared" si="142"/>
        <v>#N/A</v>
      </c>
      <c r="T1255" t="str">
        <f t="shared" si="138"/>
        <v/>
      </c>
    </row>
    <row r="1256" spans="2:20" x14ac:dyDescent="0.55000000000000004">
      <c r="B1256" s="15" t="str">
        <f t="shared" si="143"/>
        <v>_2</v>
      </c>
      <c r="E1256">
        <v>2</v>
      </c>
      <c r="G1256" t="e">
        <f t="shared" si="144"/>
        <v>#N/A</v>
      </c>
      <c r="H1256" t="e">
        <f t="shared" si="139"/>
        <v>#N/A</v>
      </c>
      <c r="I1256" t="e">
        <f t="shared" si="140"/>
        <v>#N/A</v>
      </c>
      <c r="J1256" t="e">
        <f t="shared" si="141"/>
        <v>#N/A</v>
      </c>
      <c r="K1256" t="e">
        <f t="shared" si="142"/>
        <v>#N/A</v>
      </c>
      <c r="T1256" t="str">
        <f t="shared" si="138"/>
        <v/>
      </c>
    </row>
    <row r="1257" spans="2:20" x14ac:dyDescent="0.55000000000000004">
      <c r="B1257" s="15" t="str">
        <f t="shared" si="143"/>
        <v>_2</v>
      </c>
      <c r="E1257">
        <v>2</v>
      </c>
      <c r="G1257" t="e">
        <f t="shared" si="144"/>
        <v>#N/A</v>
      </c>
      <c r="H1257" t="e">
        <f t="shared" si="139"/>
        <v>#N/A</v>
      </c>
      <c r="I1257" t="e">
        <f t="shared" si="140"/>
        <v>#N/A</v>
      </c>
      <c r="J1257" t="e">
        <f t="shared" si="141"/>
        <v>#N/A</v>
      </c>
      <c r="K1257" t="e">
        <f t="shared" si="142"/>
        <v>#N/A</v>
      </c>
      <c r="T1257" t="str">
        <f t="shared" si="138"/>
        <v/>
      </c>
    </row>
    <row r="1258" spans="2:20" x14ac:dyDescent="0.55000000000000004">
      <c r="B1258" s="15" t="str">
        <f t="shared" si="143"/>
        <v>_2</v>
      </c>
      <c r="E1258">
        <v>2</v>
      </c>
      <c r="G1258" t="e">
        <f t="shared" si="144"/>
        <v>#N/A</v>
      </c>
      <c r="H1258" t="e">
        <f t="shared" si="139"/>
        <v>#N/A</v>
      </c>
      <c r="I1258" t="e">
        <f t="shared" si="140"/>
        <v>#N/A</v>
      </c>
      <c r="J1258" t="e">
        <f t="shared" si="141"/>
        <v>#N/A</v>
      </c>
      <c r="K1258" t="e">
        <f t="shared" si="142"/>
        <v>#N/A</v>
      </c>
      <c r="T1258" t="str">
        <f t="shared" si="138"/>
        <v/>
      </c>
    </row>
    <row r="1259" spans="2:20" x14ac:dyDescent="0.55000000000000004">
      <c r="B1259" s="15" t="str">
        <f t="shared" si="143"/>
        <v>_2</v>
      </c>
      <c r="E1259">
        <v>2</v>
      </c>
      <c r="G1259" t="e">
        <f t="shared" si="144"/>
        <v>#N/A</v>
      </c>
      <c r="H1259" t="e">
        <f t="shared" si="139"/>
        <v>#N/A</v>
      </c>
      <c r="I1259" t="e">
        <f t="shared" si="140"/>
        <v>#N/A</v>
      </c>
      <c r="J1259" t="e">
        <f t="shared" si="141"/>
        <v>#N/A</v>
      </c>
      <c r="K1259" t="e">
        <f t="shared" si="142"/>
        <v>#N/A</v>
      </c>
      <c r="T1259" t="str">
        <f t="shared" si="138"/>
        <v/>
      </c>
    </row>
    <row r="1260" spans="2:20" x14ac:dyDescent="0.55000000000000004">
      <c r="B1260" s="15" t="str">
        <f t="shared" si="143"/>
        <v>_2</v>
      </c>
      <c r="E1260">
        <v>2</v>
      </c>
      <c r="G1260" t="e">
        <f t="shared" si="144"/>
        <v>#N/A</v>
      </c>
      <c r="H1260" t="e">
        <f t="shared" si="139"/>
        <v>#N/A</v>
      </c>
      <c r="I1260" t="e">
        <f t="shared" si="140"/>
        <v>#N/A</v>
      </c>
      <c r="J1260" t="e">
        <f t="shared" si="141"/>
        <v>#N/A</v>
      </c>
      <c r="K1260" t="e">
        <f t="shared" si="142"/>
        <v>#N/A</v>
      </c>
      <c r="T1260" t="str">
        <f t="shared" si="138"/>
        <v/>
      </c>
    </row>
    <row r="1261" spans="2:20" x14ac:dyDescent="0.55000000000000004">
      <c r="B1261" s="15" t="str">
        <f t="shared" si="143"/>
        <v>_2</v>
      </c>
      <c r="E1261">
        <v>2</v>
      </c>
      <c r="G1261" t="e">
        <f t="shared" si="144"/>
        <v>#N/A</v>
      </c>
      <c r="H1261" t="e">
        <f t="shared" si="139"/>
        <v>#N/A</v>
      </c>
      <c r="I1261" t="e">
        <f t="shared" si="140"/>
        <v>#N/A</v>
      </c>
      <c r="J1261" t="e">
        <f t="shared" si="141"/>
        <v>#N/A</v>
      </c>
      <c r="K1261" t="e">
        <f t="shared" si="142"/>
        <v>#N/A</v>
      </c>
      <c r="T1261" t="str">
        <f t="shared" si="138"/>
        <v/>
      </c>
    </row>
    <row r="1262" spans="2:20" x14ac:dyDescent="0.55000000000000004">
      <c r="B1262" s="15" t="str">
        <f t="shared" si="143"/>
        <v>_2</v>
      </c>
      <c r="E1262">
        <v>2</v>
      </c>
      <c r="G1262" t="e">
        <f t="shared" si="144"/>
        <v>#N/A</v>
      </c>
      <c r="H1262" t="e">
        <f t="shared" si="139"/>
        <v>#N/A</v>
      </c>
      <c r="I1262" t="e">
        <f t="shared" si="140"/>
        <v>#N/A</v>
      </c>
      <c r="J1262" t="e">
        <f t="shared" si="141"/>
        <v>#N/A</v>
      </c>
      <c r="K1262" t="e">
        <f t="shared" si="142"/>
        <v>#N/A</v>
      </c>
      <c r="T1262" t="str">
        <f t="shared" si="138"/>
        <v/>
      </c>
    </row>
    <row r="1263" spans="2:20" x14ac:dyDescent="0.55000000000000004">
      <c r="B1263" s="15" t="str">
        <f t="shared" si="143"/>
        <v>_2</v>
      </c>
      <c r="E1263">
        <v>2</v>
      </c>
      <c r="G1263" t="e">
        <f t="shared" si="144"/>
        <v>#N/A</v>
      </c>
      <c r="H1263" t="e">
        <f t="shared" si="139"/>
        <v>#N/A</v>
      </c>
      <c r="I1263" t="e">
        <f t="shared" si="140"/>
        <v>#N/A</v>
      </c>
      <c r="J1263" t="e">
        <f t="shared" si="141"/>
        <v>#N/A</v>
      </c>
      <c r="K1263" t="e">
        <f t="shared" si="142"/>
        <v>#N/A</v>
      </c>
      <c r="T1263" t="str">
        <f t="shared" si="138"/>
        <v/>
      </c>
    </row>
    <row r="1264" spans="2:20" x14ac:dyDescent="0.55000000000000004">
      <c r="B1264" s="15" t="str">
        <f t="shared" si="143"/>
        <v>_2</v>
      </c>
      <c r="E1264">
        <v>2</v>
      </c>
      <c r="G1264" t="e">
        <f t="shared" si="144"/>
        <v>#N/A</v>
      </c>
      <c r="H1264" t="e">
        <f t="shared" si="139"/>
        <v>#N/A</v>
      </c>
      <c r="I1264" t="e">
        <f t="shared" si="140"/>
        <v>#N/A</v>
      </c>
      <c r="J1264" t="e">
        <f t="shared" si="141"/>
        <v>#N/A</v>
      </c>
      <c r="K1264" t="e">
        <f t="shared" si="142"/>
        <v>#N/A</v>
      </c>
      <c r="T1264" t="str">
        <f t="shared" si="138"/>
        <v/>
      </c>
    </row>
    <row r="1265" spans="2:20" x14ac:dyDescent="0.55000000000000004">
      <c r="B1265" s="15" t="str">
        <f t="shared" si="143"/>
        <v>_2</v>
      </c>
      <c r="E1265">
        <v>2</v>
      </c>
      <c r="G1265" t="e">
        <f t="shared" si="144"/>
        <v>#N/A</v>
      </c>
      <c r="H1265" t="e">
        <f t="shared" si="139"/>
        <v>#N/A</v>
      </c>
      <c r="I1265" t="e">
        <f t="shared" si="140"/>
        <v>#N/A</v>
      </c>
      <c r="J1265" t="e">
        <f t="shared" si="141"/>
        <v>#N/A</v>
      </c>
      <c r="K1265" t="e">
        <f t="shared" si="142"/>
        <v>#N/A</v>
      </c>
      <c r="T1265" t="str">
        <f t="shared" si="138"/>
        <v/>
      </c>
    </row>
    <row r="1266" spans="2:20" x14ac:dyDescent="0.55000000000000004">
      <c r="B1266" s="15" t="str">
        <f t="shared" si="143"/>
        <v>_2</v>
      </c>
      <c r="E1266">
        <v>2</v>
      </c>
      <c r="G1266" t="e">
        <f t="shared" si="144"/>
        <v>#N/A</v>
      </c>
      <c r="H1266" t="e">
        <f t="shared" si="139"/>
        <v>#N/A</v>
      </c>
      <c r="I1266" t="e">
        <f t="shared" si="140"/>
        <v>#N/A</v>
      </c>
      <c r="J1266" t="e">
        <f t="shared" si="141"/>
        <v>#N/A</v>
      </c>
      <c r="K1266" t="e">
        <f t="shared" si="142"/>
        <v>#N/A</v>
      </c>
      <c r="T1266" t="str">
        <f t="shared" si="138"/>
        <v/>
      </c>
    </row>
    <row r="1267" spans="2:20" x14ac:dyDescent="0.55000000000000004">
      <c r="B1267" s="15" t="str">
        <f t="shared" si="143"/>
        <v>_2</v>
      </c>
      <c r="E1267">
        <v>2</v>
      </c>
      <c r="G1267" t="e">
        <f t="shared" si="144"/>
        <v>#N/A</v>
      </c>
      <c r="H1267" t="e">
        <f t="shared" si="139"/>
        <v>#N/A</v>
      </c>
      <c r="I1267" t="e">
        <f t="shared" si="140"/>
        <v>#N/A</v>
      </c>
      <c r="J1267" t="e">
        <f t="shared" si="141"/>
        <v>#N/A</v>
      </c>
      <c r="K1267" t="e">
        <f t="shared" si="142"/>
        <v>#N/A</v>
      </c>
      <c r="T1267" t="str">
        <f t="shared" si="138"/>
        <v/>
      </c>
    </row>
    <row r="1268" spans="2:20" x14ac:dyDescent="0.55000000000000004">
      <c r="B1268" s="15" t="str">
        <f t="shared" si="143"/>
        <v>_2</v>
      </c>
      <c r="E1268">
        <v>2</v>
      </c>
      <c r="G1268" t="e">
        <f t="shared" si="144"/>
        <v>#N/A</v>
      </c>
      <c r="H1268" t="e">
        <f t="shared" si="139"/>
        <v>#N/A</v>
      </c>
      <c r="I1268" t="e">
        <f t="shared" si="140"/>
        <v>#N/A</v>
      </c>
      <c r="J1268" t="e">
        <f t="shared" si="141"/>
        <v>#N/A</v>
      </c>
      <c r="K1268" t="e">
        <f t="shared" si="142"/>
        <v>#N/A</v>
      </c>
      <c r="T1268" t="str">
        <f t="shared" ref="T1268:T1331" si="145">IF(S1268&lt;&gt;"", S1268*236.588, "")</f>
        <v/>
      </c>
    </row>
    <row r="1269" spans="2:20" x14ac:dyDescent="0.55000000000000004">
      <c r="B1269" s="15" t="str">
        <f t="shared" si="143"/>
        <v>_2</v>
      </c>
      <c r="E1269">
        <v>2</v>
      </c>
      <c r="G1269" t="e">
        <f t="shared" si="144"/>
        <v>#N/A</v>
      </c>
      <c r="H1269" t="e">
        <f t="shared" si="139"/>
        <v>#N/A</v>
      </c>
      <c r="I1269" t="e">
        <f t="shared" si="140"/>
        <v>#N/A</v>
      </c>
      <c r="J1269" t="e">
        <f t="shared" si="141"/>
        <v>#N/A</v>
      </c>
      <c r="K1269" t="e">
        <f t="shared" si="142"/>
        <v>#N/A</v>
      </c>
      <c r="T1269" t="str">
        <f t="shared" si="145"/>
        <v/>
      </c>
    </row>
    <row r="1270" spans="2:20" x14ac:dyDescent="0.55000000000000004">
      <c r="B1270" s="15" t="str">
        <f t="shared" si="143"/>
        <v>_2</v>
      </c>
      <c r="E1270">
        <v>2</v>
      </c>
      <c r="G1270" t="e">
        <f t="shared" si="144"/>
        <v>#N/A</v>
      </c>
      <c r="H1270" t="e">
        <f t="shared" si="139"/>
        <v>#N/A</v>
      </c>
      <c r="I1270" t="e">
        <f t="shared" si="140"/>
        <v>#N/A</v>
      </c>
      <c r="J1270" t="e">
        <f t="shared" si="141"/>
        <v>#N/A</v>
      </c>
      <c r="K1270" t="e">
        <f t="shared" si="142"/>
        <v>#N/A</v>
      </c>
      <c r="T1270" t="str">
        <f t="shared" si="145"/>
        <v/>
      </c>
    </row>
    <row r="1271" spans="2:20" x14ac:dyDescent="0.55000000000000004">
      <c r="B1271" s="15" t="str">
        <f t="shared" si="143"/>
        <v>_2</v>
      </c>
      <c r="E1271">
        <v>2</v>
      </c>
      <c r="G1271" t="e">
        <f t="shared" si="144"/>
        <v>#N/A</v>
      </c>
      <c r="H1271" t="e">
        <f t="shared" si="139"/>
        <v>#N/A</v>
      </c>
      <c r="I1271" t="e">
        <f t="shared" si="140"/>
        <v>#N/A</v>
      </c>
      <c r="J1271" t="e">
        <f t="shared" si="141"/>
        <v>#N/A</v>
      </c>
      <c r="K1271" t="e">
        <f t="shared" si="142"/>
        <v>#N/A</v>
      </c>
      <c r="T1271" t="str">
        <f t="shared" si="145"/>
        <v/>
      </c>
    </row>
    <row r="1272" spans="2:20" x14ac:dyDescent="0.55000000000000004">
      <c r="B1272" s="15" t="str">
        <f t="shared" si="143"/>
        <v>_2</v>
      </c>
      <c r="E1272">
        <v>2</v>
      </c>
      <c r="G1272" t="e">
        <f t="shared" si="144"/>
        <v>#N/A</v>
      </c>
      <c r="H1272" t="e">
        <f t="shared" si="139"/>
        <v>#N/A</v>
      </c>
      <c r="I1272" t="e">
        <f t="shared" si="140"/>
        <v>#N/A</v>
      </c>
      <c r="J1272" t="e">
        <f t="shared" si="141"/>
        <v>#N/A</v>
      </c>
      <c r="K1272" t="e">
        <f t="shared" si="142"/>
        <v>#N/A</v>
      </c>
      <c r="T1272" t="str">
        <f t="shared" si="145"/>
        <v/>
      </c>
    </row>
    <row r="1273" spans="2:20" x14ac:dyDescent="0.55000000000000004">
      <c r="B1273" s="15" t="str">
        <f t="shared" si="143"/>
        <v>_2</v>
      </c>
      <c r="E1273">
        <v>2</v>
      </c>
      <c r="G1273" t="e">
        <f t="shared" si="144"/>
        <v>#N/A</v>
      </c>
      <c r="H1273" t="e">
        <f t="shared" si="139"/>
        <v>#N/A</v>
      </c>
      <c r="I1273" t="e">
        <f t="shared" si="140"/>
        <v>#N/A</v>
      </c>
      <c r="J1273" t="e">
        <f t="shared" si="141"/>
        <v>#N/A</v>
      </c>
      <c r="K1273" t="e">
        <f t="shared" si="142"/>
        <v>#N/A</v>
      </c>
      <c r="T1273" t="str">
        <f t="shared" si="145"/>
        <v/>
      </c>
    </row>
    <row r="1274" spans="2:20" x14ac:dyDescent="0.55000000000000004">
      <c r="B1274" s="15" t="str">
        <f t="shared" si="143"/>
        <v>_2</v>
      </c>
      <c r="E1274">
        <v>2</v>
      </c>
      <c r="G1274" t="e">
        <f t="shared" si="144"/>
        <v>#N/A</v>
      </c>
      <c r="H1274" t="e">
        <f t="shared" si="139"/>
        <v>#N/A</v>
      </c>
      <c r="I1274" t="e">
        <f t="shared" si="140"/>
        <v>#N/A</v>
      </c>
      <c r="J1274" t="e">
        <f t="shared" si="141"/>
        <v>#N/A</v>
      </c>
      <c r="K1274" t="e">
        <f t="shared" si="142"/>
        <v>#N/A</v>
      </c>
      <c r="T1274" t="str">
        <f t="shared" si="145"/>
        <v/>
      </c>
    </row>
    <row r="1275" spans="2:20" x14ac:dyDescent="0.55000000000000004">
      <c r="B1275" s="15" t="str">
        <f t="shared" si="143"/>
        <v>_2</v>
      </c>
      <c r="E1275">
        <v>2</v>
      </c>
      <c r="G1275" t="e">
        <f t="shared" si="144"/>
        <v>#N/A</v>
      </c>
      <c r="H1275" t="e">
        <f t="shared" si="139"/>
        <v>#N/A</v>
      </c>
      <c r="I1275" t="e">
        <f t="shared" si="140"/>
        <v>#N/A</v>
      </c>
      <c r="J1275" t="e">
        <f t="shared" si="141"/>
        <v>#N/A</v>
      </c>
      <c r="K1275" t="e">
        <f t="shared" si="142"/>
        <v>#N/A</v>
      </c>
      <c r="T1275" t="str">
        <f t="shared" si="145"/>
        <v/>
      </c>
    </row>
    <row r="1276" spans="2:20" x14ac:dyDescent="0.55000000000000004">
      <c r="B1276" s="15" t="str">
        <f t="shared" si="143"/>
        <v>_2</v>
      </c>
      <c r="E1276">
        <v>2</v>
      </c>
      <c r="G1276" t="e">
        <f t="shared" si="144"/>
        <v>#N/A</v>
      </c>
      <c r="H1276" t="e">
        <f t="shared" si="139"/>
        <v>#N/A</v>
      </c>
      <c r="I1276" t="e">
        <f t="shared" si="140"/>
        <v>#N/A</v>
      </c>
      <c r="J1276" t="e">
        <f t="shared" si="141"/>
        <v>#N/A</v>
      </c>
      <c r="K1276" t="e">
        <f t="shared" si="142"/>
        <v>#N/A</v>
      </c>
      <c r="T1276" t="str">
        <f t="shared" si="145"/>
        <v/>
      </c>
    </row>
    <row r="1277" spans="2:20" x14ac:dyDescent="0.55000000000000004">
      <c r="B1277" s="15" t="str">
        <f t="shared" si="143"/>
        <v>_2</v>
      </c>
      <c r="E1277">
        <v>2</v>
      </c>
      <c r="G1277" t="e">
        <f t="shared" si="144"/>
        <v>#N/A</v>
      </c>
      <c r="H1277" t="e">
        <f t="shared" si="139"/>
        <v>#N/A</v>
      </c>
      <c r="I1277" t="e">
        <f t="shared" si="140"/>
        <v>#N/A</v>
      </c>
      <c r="J1277" t="e">
        <f t="shared" si="141"/>
        <v>#N/A</v>
      </c>
      <c r="K1277" t="e">
        <f t="shared" si="142"/>
        <v>#N/A</v>
      </c>
      <c r="T1277" t="str">
        <f t="shared" si="145"/>
        <v/>
      </c>
    </row>
    <row r="1278" spans="2:20" x14ac:dyDescent="0.55000000000000004">
      <c r="B1278" s="15" t="str">
        <f t="shared" si="143"/>
        <v>_2</v>
      </c>
      <c r="E1278">
        <v>2</v>
      </c>
      <c r="G1278" t="e">
        <f t="shared" si="144"/>
        <v>#N/A</v>
      </c>
      <c r="H1278" t="e">
        <f t="shared" si="139"/>
        <v>#N/A</v>
      </c>
      <c r="I1278" t="e">
        <f t="shared" si="140"/>
        <v>#N/A</v>
      </c>
      <c r="J1278" t="e">
        <f t="shared" si="141"/>
        <v>#N/A</v>
      </c>
      <c r="K1278" t="e">
        <f t="shared" si="142"/>
        <v>#N/A</v>
      </c>
      <c r="T1278" t="str">
        <f t="shared" si="145"/>
        <v/>
      </c>
    </row>
    <row r="1279" spans="2:20" x14ac:dyDescent="0.55000000000000004">
      <c r="B1279" s="15" t="str">
        <f t="shared" si="143"/>
        <v>_2</v>
      </c>
      <c r="E1279">
        <v>2</v>
      </c>
      <c r="G1279" t="e">
        <f t="shared" si="144"/>
        <v>#N/A</v>
      </c>
      <c r="H1279" t="e">
        <f t="shared" si="139"/>
        <v>#N/A</v>
      </c>
      <c r="I1279" t="e">
        <f t="shared" si="140"/>
        <v>#N/A</v>
      </c>
      <c r="J1279" t="e">
        <f t="shared" si="141"/>
        <v>#N/A</v>
      </c>
      <c r="K1279" t="e">
        <f t="shared" si="142"/>
        <v>#N/A</v>
      </c>
      <c r="T1279" t="str">
        <f t="shared" si="145"/>
        <v/>
      </c>
    </row>
    <row r="1280" spans="2:20" x14ac:dyDescent="0.55000000000000004">
      <c r="B1280" s="15" t="str">
        <f t="shared" si="143"/>
        <v>_2</v>
      </c>
      <c r="E1280">
        <v>2</v>
      </c>
      <c r="G1280" t="e">
        <f t="shared" si="144"/>
        <v>#N/A</v>
      </c>
      <c r="H1280" t="e">
        <f t="shared" si="139"/>
        <v>#N/A</v>
      </c>
      <c r="I1280" t="e">
        <f t="shared" si="140"/>
        <v>#N/A</v>
      </c>
      <c r="J1280" t="e">
        <f t="shared" si="141"/>
        <v>#N/A</v>
      </c>
      <c r="K1280" t="e">
        <f t="shared" si="142"/>
        <v>#N/A</v>
      </c>
      <c r="T1280" t="str">
        <f t="shared" si="145"/>
        <v/>
      </c>
    </row>
    <row r="1281" spans="2:20" x14ac:dyDescent="0.55000000000000004">
      <c r="B1281" s="15" t="str">
        <f t="shared" si="143"/>
        <v>_2</v>
      </c>
      <c r="E1281">
        <v>2</v>
      </c>
      <c r="G1281" t="e">
        <f t="shared" si="144"/>
        <v>#N/A</v>
      </c>
      <c r="H1281" t="e">
        <f t="shared" ref="H1281:H1344" si="146">VLOOKUP($F1281, $W$1:$AB$10, 3, FALSE)</f>
        <v>#N/A</v>
      </c>
      <c r="I1281" t="e">
        <f t="shared" ref="I1281:I1344" si="147">VLOOKUP($F1281, $W$1:$AB$10, 4, FALSE)</f>
        <v>#N/A</v>
      </c>
      <c r="J1281" t="e">
        <f t="shared" ref="J1281:J1344" si="148">VLOOKUP($F1281, $W$1:$AC$10, 5, FALSE)</f>
        <v>#N/A</v>
      </c>
      <c r="K1281" t="e">
        <f t="shared" ref="K1281:K1344" si="149">VLOOKUP($F1281, $W$1:$AB$10, 6, FALSE)</f>
        <v>#N/A</v>
      </c>
      <c r="T1281" t="str">
        <f t="shared" si="145"/>
        <v/>
      </c>
    </row>
    <row r="1282" spans="2:20" x14ac:dyDescent="0.55000000000000004">
      <c r="B1282" s="15" t="str">
        <f t="shared" si="143"/>
        <v>_2</v>
      </c>
      <c r="E1282">
        <v>2</v>
      </c>
      <c r="G1282" t="e">
        <f t="shared" si="144"/>
        <v>#N/A</v>
      </c>
      <c r="H1282" t="e">
        <f t="shared" si="146"/>
        <v>#N/A</v>
      </c>
      <c r="I1282" t="e">
        <f t="shared" si="147"/>
        <v>#N/A</v>
      </c>
      <c r="J1282" t="e">
        <f t="shared" si="148"/>
        <v>#N/A</v>
      </c>
      <c r="K1282" t="e">
        <f t="shared" si="149"/>
        <v>#N/A</v>
      </c>
      <c r="T1282" t="str">
        <f t="shared" si="145"/>
        <v/>
      </c>
    </row>
    <row r="1283" spans="2:20" x14ac:dyDescent="0.55000000000000004">
      <c r="B1283" s="15" t="str">
        <f t="shared" si="143"/>
        <v>_2</v>
      </c>
      <c r="E1283">
        <v>2</v>
      </c>
      <c r="G1283" t="e">
        <f t="shared" si="144"/>
        <v>#N/A</v>
      </c>
      <c r="H1283" t="e">
        <f t="shared" si="146"/>
        <v>#N/A</v>
      </c>
      <c r="I1283" t="e">
        <f t="shared" si="147"/>
        <v>#N/A</v>
      </c>
      <c r="J1283" t="e">
        <f t="shared" si="148"/>
        <v>#N/A</v>
      </c>
      <c r="K1283" t="e">
        <f t="shared" si="149"/>
        <v>#N/A</v>
      </c>
      <c r="T1283" t="str">
        <f t="shared" si="145"/>
        <v/>
      </c>
    </row>
    <row r="1284" spans="2:20" x14ac:dyDescent="0.55000000000000004">
      <c r="B1284" s="15" t="str">
        <f t="shared" si="143"/>
        <v>_2</v>
      </c>
      <c r="E1284">
        <v>2</v>
      </c>
      <c r="G1284" t="e">
        <f t="shared" si="144"/>
        <v>#N/A</v>
      </c>
      <c r="H1284" t="e">
        <f t="shared" si="146"/>
        <v>#N/A</v>
      </c>
      <c r="I1284" t="e">
        <f t="shared" si="147"/>
        <v>#N/A</v>
      </c>
      <c r="J1284" t="e">
        <f t="shared" si="148"/>
        <v>#N/A</v>
      </c>
      <c r="K1284" t="e">
        <f t="shared" si="149"/>
        <v>#N/A</v>
      </c>
      <c r="T1284" t="str">
        <f t="shared" si="145"/>
        <v/>
      </c>
    </row>
    <row r="1285" spans="2:20" x14ac:dyDescent="0.55000000000000004">
      <c r="B1285" s="15" t="str">
        <f t="shared" si="143"/>
        <v>_2</v>
      </c>
      <c r="E1285">
        <v>2</v>
      </c>
      <c r="G1285" t="e">
        <f t="shared" si="144"/>
        <v>#N/A</v>
      </c>
      <c r="H1285" t="e">
        <f t="shared" si="146"/>
        <v>#N/A</v>
      </c>
      <c r="I1285" t="e">
        <f t="shared" si="147"/>
        <v>#N/A</v>
      </c>
      <c r="J1285" t="e">
        <f t="shared" si="148"/>
        <v>#N/A</v>
      </c>
      <c r="K1285" t="e">
        <f t="shared" si="149"/>
        <v>#N/A</v>
      </c>
      <c r="T1285" t="str">
        <f t="shared" si="145"/>
        <v/>
      </c>
    </row>
    <row r="1286" spans="2:20" x14ac:dyDescent="0.55000000000000004">
      <c r="B1286" s="15" t="str">
        <f t="shared" si="143"/>
        <v>_2</v>
      </c>
      <c r="E1286">
        <v>2</v>
      </c>
      <c r="G1286" t="e">
        <f t="shared" si="144"/>
        <v>#N/A</v>
      </c>
      <c r="H1286" t="e">
        <f t="shared" si="146"/>
        <v>#N/A</v>
      </c>
      <c r="I1286" t="e">
        <f t="shared" si="147"/>
        <v>#N/A</v>
      </c>
      <c r="J1286" t="e">
        <f t="shared" si="148"/>
        <v>#N/A</v>
      </c>
      <c r="K1286" t="e">
        <f t="shared" si="149"/>
        <v>#N/A</v>
      </c>
      <c r="T1286" t="str">
        <f t="shared" si="145"/>
        <v/>
      </c>
    </row>
    <row r="1287" spans="2:20" x14ac:dyDescent="0.55000000000000004">
      <c r="B1287" s="15" t="str">
        <f t="shared" si="143"/>
        <v>_2</v>
      </c>
      <c r="E1287">
        <v>2</v>
      </c>
      <c r="G1287" t="e">
        <f t="shared" si="144"/>
        <v>#N/A</v>
      </c>
      <c r="H1287" t="e">
        <f t="shared" si="146"/>
        <v>#N/A</v>
      </c>
      <c r="I1287" t="e">
        <f t="shared" si="147"/>
        <v>#N/A</v>
      </c>
      <c r="J1287" t="e">
        <f t="shared" si="148"/>
        <v>#N/A</v>
      </c>
      <c r="K1287" t="e">
        <f t="shared" si="149"/>
        <v>#N/A</v>
      </c>
      <c r="T1287" t="str">
        <f t="shared" si="145"/>
        <v/>
      </c>
    </row>
    <row r="1288" spans="2:20" x14ac:dyDescent="0.55000000000000004">
      <c r="B1288" s="15" t="str">
        <f t="shared" si="143"/>
        <v>_2</v>
      </c>
      <c r="E1288">
        <v>2</v>
      </c>
      <c r="G1288" t="e">
        <f t="shared" si="144"/>
        <v>#N/A</v>
      </c>
      <c r="H1288" t="e">
        <f t="shared" si="146"/>
        <v>#N/A</v>
      </c>
      <c r="I1288" t="e">
        <f t="shared" si="147"/>
        <v>#N/A</v>
      </c>
      <c r="J1288" t="e">
        <f t="shared" si="148"/>
        <v>#N/A</v>
      </c>
      <c r="K1288" t="e">
        <f t="shared" si="149"/>
        <v>#N/A</v>
      </c>
      <c r="T1288" t="str">
        <f t="shared" si="145"/>
        <v/>
      </c>
    </row>
    <row r="1289" spans="2:20" x14ac:dyDescent="0.55000000000000004">
      <c r="B1289" s="15" t="str">
        <f t="shared" si="143"/>
        <v>_2</v>
      </c>
      <c r="E1289">
        <v>2</v>
      </c>
      <c r="G1289" t="e">
        <f t="shared" si="144"/>
        <v>#N/A</v>
      </c>
      <c r="H1289" t="e">
        <f t="shared" si="146"/>
        <v>#N/A</v>
      </c>
      <c r="I1289" t="e">
        <f t="shared" si="147"/>
        <v>#N/A</v>
      </c>
      <c r="J1289" t="e">
        <f t="shared" si="148"/>
        <v>#N/A</v>
      </c>
      <c r="K1289" t="e">
        <f t="shared" si="149"/>
        <v>#N/A</v>
      </c>
      <c r="T1289" t="str">
        <f t="shared" si="145"/>
        <v/>
      </c>
    </row>
    <row r="1290" spans="2:20" x14ac:dyDescent="0.55000000000000004">
      <c r="B1290" s="15" t="str">
        <f t="shared" si="143"/>
        <v>_2</v>
      </c>
      <c r="E1290">
        <v>2</v>
      </c>
      <c r="G1290" t="e">
        <f t="shared" si="144"/>
        <v>#N/A</v>
      </c>
      <c r="H1290" t="e">
        <f t="shared" si="146"/>
        <v>#N/A</v>
      </c>
      <c r="I1290" t="e">
        <f t="shared" si="147"/>
        <v>#N/A</v>
      </c>
      <c r="J1290" t="e">
        <f t="shared" si="148"/>
        <v>#N/A</v>
      </c>
      <c r="K1290" t="e">
        <f t="shared" si="149"/>
        <v>#N/A</v>
      </c>
      <c r="T1290" t="str">
        <f t="shared" si="145"/>
        <v/>
      </c>
    </row>
    <row r="1291" spans="2:20" x14ac:dyDescent="0.55000000000000004">
      <c r="B1291" s="15" t="str">
        <f t="shared" si="143"/>
        <v>_2</v>
      </c>
      <c r="E1291">
        <v>2</v>
      </c>
      <c r="G1291" t="e">
        <f t="shared" si="144"/>
        <v>#N/A</v>
      </c>
      <c r="H1291" t="e">
        <f t="shared" si="146"/>
        <v>#N/A</v>
      </c>
      <c r="I1291" t="e">
        <f t="shared" si="147"/>
        <v>#N/A</v>
      </c>
      <c r="J1291" t="e">
        <f t="shared" si="148"/>
        <v>#N/A</v>
      </c>
      <c r="K1291" t="e">
        <f t="shared" si="149"/>
        <v>#N/A</v>
      </c>
      <c r="T1291" t="str">
        <f t="shared" si="145"/>
        <v/>
      </c>
    </row>
    <row r="1292" spans="2:20" x14ac:dyDescent="0.55000000000000004">
      <c r="B1292" s="15" t="str">
        <f t="shared" si="143"/>
        <v>_2</v>
      </c>
      <c r="E1292">
        <v>2</v>
      </c>
      <c r="G1292" t="e">
        <f t="shared" si="144"/>
        <v>#N/A</v>
      </c>
      <c r="H1292" t="e">
        <f t="shared" si="146"/>
        <v>#N/A</v>
      </c>
      <c r="I1292" t="e">
        <f t="shared" si="147"/>
        <v>#N/A</v>
      </c>
      <c r="J1292" t="e">
        <f t="shared" si="148"/>
        <v>#N/A</v>
      </c>
      <c r="K1292" t="e">
        <f t="shared" si="149"/>
        <v>#N/A</v>
      </c>
      <c r="T1292" t="str">
        <f t="shared" si="145"/>
        <v/>
      </c>
    </row>
    <row r="1293" spans="2:20" x14ac:dyDescent="0.55000000000000004">
      <c r="B1293" s="15" t="str">
        <f t="shared" si="143"/>
        <v>_2</v>
      </c>
      <c r="E1293">
        <v>2</v>
      </c>
      <c r="G1293" t="e">
        <f t="shared" si="144"/>
        <v>#N/A</v>
      </c>
      <c r="H1293" t="e">
        <f t="shared" si="146"/>
        <v>#N/A</v>
      </c>
      <c r="I1293" t="e">
        <f t="shared" si="147"/>
        <v>#N/A</v>
      </c>
      <c r="J1293" t="e">
        <f t="shared" si="148"/>
        <v>#N/A</v>
      </c>
      <c r="K1293" t="e">
        <f t="shared" si="149"/>
        <v>#N/A</v>
      </c>
      <c r="T1293" t="str">
        <f t="shared" si="145"/>
        <v/>
      </c>
    </row>
    <row r="1294" spans="2:20" x14ac:dyDescent="0.55000000000000004">
      <c r="B1294" s="15" t="str">
        <f t="shared" si="143"/>
        <v>_2</v>
      </c>
      <c r="E1294">
        <v>2</v>
      </c>
      <c r="G1294" t="e">
        <f t="shared" si="144"/>
        <v>#N/A</v>
      </c>
      <c r="H1294" t="e">
        <f t="shared" si="146"/>
        <v>#N/A</v>
      </c>
      <c r="I1294" t="e">
        <f t="shared" si="147"/>
        <v>#N/A</v>
      </c>
      <c r="J1294" t="e">
        <f t="shared" si="148"/>
        <v>#N/A</v>
      </c>
      <c r="K1294" t="e">
        <f t="shared" si="149"/>
        <v>#N/A</v>
      </c>
      <c r="T1294" t="str">
        <f t="shared" si="145"/>
        <v/>
      </c>
    </row>
    <row r="1295" spans="2:20" x14ac:dyDescent="0.55000000000000004">
      <c r="B1295" s="15" t="str">
        <f t="shared" si="143"/>
        <v>_2</v>
      </c>
      <c r="E1295">
        <v>2</v>
      </c>
      <c r="G1295" t="e">
        <f t="shared" si="144"/>
        <v>#N/A</v>
      </c>
      <c r="H1295" t="e">
        <f t="shared" si="146"/>
        <v>#N/A</v>
      </c>
      <c r="I1295" t="e">
        <f t="shared" si="147"/>
        <v>#N/A</v>
      </c>
      <c r="J1295" t="e">
        <f t="shared" si="148"/>
        <v>#N/A</v>
      </c>
      <c r="K1295" t="e">
        <f t="shared" si="149"/>
        <v>#N/A</v>
      </c>
      <c r="T1295" t="str">
        <f t="shared" si="145"/>
        <v/>
      </c>
    </row>
    <row r="1296" spans="2:20" x14ac:dyDescent="0.55000000000000004">
      <c r="B1296" s="15" t="str">
        <f t="shared" si="143"/>
        <v>_2</v>
      </c>
      <c r="E1296">
        <v>2</v>
      </c>
      <c r="G1296" t="e">
        <f t="shared" si="144"/>
        <v>#N/A</v>
      </c>
      <c r="H1296" t="e">
        <f t="shared" si="146"/>
        <v>#N/A</v>
      </c>
      <c r="I1296" t="e">
        <f t="shared" si="147"/>
        <v>#N/A</v>
      </c>
      <c r="J1296" t="e">
        <f t="shared" si="148"/>
        <v>#N/A</v>
      </c>
      <c r="K1296" t="e">
        <f t="shared" si="149"/>
        <v>#N/A</v>
      </c>
      <c r="T1296" t="str">
        <f t="shared" si="145"/>
        <v/>
      </c>
    </row>
    <row r="1297" spans="2:20" x14ac:dyDescent="0.55000000000000004">
      <c r="B1297" s="15" t="str">
        <f t="shared" si="143"/>
        <v>_2</v>
      </c>
      <c r="E1297">
        <v>2</v>
      </c>
      <c r="G1297" t="e">
        <f t="shared" si="144"/>
        <v>#N/A</v>
      </c>
      <c r="H1297" t="e">
        <f t="shared" si="146"/>
        <v>#N/A</v>
      </c>
      <c r="I1297" t="e">
        <f t="shared" si="147"/>
        <v>#N/A</v>
      </c>
      <c r="J1297" t="e">
        <f t="shared" si="148"/>
        <v>#N/A</v>
      </c>
      <c r="K1297" t="e">
        <f t="shared" si="149"/>
        <v>#N/A</v>
      </c>
      <c r="T1297" t="str">
        <f t="shared" si="145"/>
        <v/>
      </c>
    </row>
    <row r="1298" spans="2:20" x14ac:dyDescent="0.55000000000000004">
      <c r="B1298" s="15" t="str">
        <f t="shared" si="143"/>
        <v>_2</v>
      </c>
      <c r="E1298">
        <v>2</v>
      </c>
      <c r="G1298" t="e">
        <f t="shared" si="144"/>
        <v>#N/A</v>
      </c>
      <c r="H1298" t="e">
        <f t="shared" si="146"/>
        <v>#N/A</v>
      </c>
      <c r="I1298" t="e">
        <f t="shared" si="147"/>
        <v>#N/A</v>
      </c>
      <c r="J1298" t="e">
        <f t="shared" si="148"/>
        <v>#N/A</v>
      </c>
      <c r="K1298" t="e">
        <f t="shared" si="149"/>
        <v>#N/A</v>
      </c>
      <c r="T1298" t="str">
        <f t="shared" si="145"/>
        <v/>
      </c>
    </row>
    <row r="1299" spans="2:20" x14ac:dyDescent="0.55000000000000004">
      <c r="B1299" s="15" t="str">
        <f t="shared" si="143"/>
        <v>_2</v>
      </c>
      <c r="E1299">
        <v>2</v>
      </c>
      <c r="G1299" t="e">
        <f t="shared" si="144"/>
        <v>#N/A</v>
      </c>
      <c r="H1299" t="e">
        <f t="shared" si="146"/>
        <v>#N/A</v>
      </c>
      <c r="I1299" t="e">
        <f t="shared" si="147"/>
        <v>#N/A</v>
      </c>
      <c r="J1299" t="e">
        <f t="shared" si="148"/>
        <v>#N/A</v>
      </c>
      <c r="K1299" t="e">
        <f t="shared" si="149"/>
        <v>#N/A</v>
      </c>
      <c r="T1299" t="str">
        <f t="shared" si="145"/>
        <v/>
      </c>
    </row>
    <row r="1300" spans="2:20" x14ac:dyDescent="0.55000000000000004">
      <c r="B1300" s="15" t="str">
        <f t="shared" si="143"/>
        <v>_2</v>
      </c>
      <c r="E1300">
        <v>2</v>
      </c>
      <c r="G1300" t="e">
        <f t="shared" si="144"/>
        <v>#N/A</v>
      </c>
      <c r="H1300" t="e">
        <f t="shared" si="146"/>
        <v>#N/A</v>
      </c>
      <c r="I1300" t="e">
        <f t="shared" si="147"/>
        <v>#N/A</v>
      </c>
      <c r="J1300" t="e">
        <f t="shared" si="148"/>
        <v>#N/A</v>
      </c>
      <c r="K1300" t="e">
        <f t="shared" si="149"/>
        <v>#N/A</v>
      </c>
      <c r="T1300" t="str">
        <f t="shared" si="145"/>
        <v/>
      </c>
    </row>
    <row r="1301" spans="2:20" x14ac:dyDescent="0.55000000000000004">
      <c r="B1301" s="15" t="str">
        <f t="shared" si="143"/>
        <v>_2</v>
      </c>
      <c r="E1301">
        <v>2</v>
      </c>
      <c r="G1301" t="e">
        <f t="shared" si="144"/>
        <v>#N/A</v>
      </c>
      <c r="H1301" t="e">
        <f t="shared" si="146"/>
        <v>#N/A</v>
      </c>
      <c r="I1301" t="e">
        <f t="shared" si="147"/>
        <v>#N/A</v>
      </c>
      <c r="J1301" t="e">
        <f t="shared" si="148"/>
        <v>#N/A</v>
      </c>
      <c r="K1301" t="e">
        <f t="shared" si="149"/>
        <v>#N/A</v>
      </c>
      <c r="T1301" t="str">
        <f t="shared" si="145"/>
        <v/>
      </c>
    </row>
    <row r="1302" spans="2:20" x14ac:dyDescent="0.55000000000000004">
      <c r="B1302" s="15" t="str">
        <f t="shared" si="143"/>
        <v>_2</v>
      </c>
      <c r="E1302">
        <v>2</v>
      </c>
      <c r="G1302" t="e">
        <f t="shared" si="144"/>
        <v>#N/A</v>
      </c>
      <c r="H1302" t="e">
        <f t="shared" si="146"/>
        <v>#N/A</v>
      </c>
      <c r="I1302" t="e">
        <f t="shared" si="147"/>
        <v>#N/A</v>
      </c>
      <c r="J1302" t="e">
        <f t="shared" si="148"/>
        <v>#N/A</v>
      </c>
      <c r="K1302" t="e">
        <f t="shared" si="149"/>
        <v>#N/A</v>
      </c>
      <c r="T1302" t="str">
        <f t="shared" si="145"/>
        <v/>
      </c>
    </row>
    <row r="1303" spans="2:20" x14ac:dyDescent="0.55000000000000004">
      <c r="B1303" s="15" t="str">
        <f t="shared" si="143"/>
        <v>_2</v>
      </c>
      <c r="E1303">
        <v>2</v>
      </c>
      <c r="G1303" t="e">
        <f t="shared" si="144"/>
        <v>#N/A</v>
      </c>
      <c r="H1303" t="e">
        <f t="shared" si="146"/>
        <v>#N/A</v>
      </c>
      <c r="I1303" t="e">
        <f t="shared" si="147"/>
        <v>#N/A</v>
      </c>
      <c r="J1303" t="e">
        <f t="shared" si="148"/>
        <v>#N/A</v>
      </c>
      <c r="K1303" t="e">
        <f t="shared" si="149"/>
        <v>#N/A</v>
      </c>
      <c r="T1303" t="str">
        <f t="shared" si="145"/>
        <v/>
      </c>
    </row>
    <row r="1304" spans="2:20" x14ac:dyDescent="0.55000000000000004">
      <c r="B1304" s="15" t="str">
        <f t="shared" si="143"/>
        <v>_2</v>
      </c>
      <c r="E1304">
        <v>2</v>
      </c>
      <c r="G1304" t="e">
        <f t="shared" si="144"/>
        <v>#N/A</v>
      </c>
      <c r="H1304" t="e">
        <f t="shared" si="146"/>
        <v>#N/A</v>
      </c>
      <c r="I1304" t="e">
        <f t="shared" si="147"/>
        <v>#N/A</v>
      </c>
      <c r="J1304" t="e">
        <f t="shared" si="148"/>
        <v>#N/A</v>
      </c>
      <c r="K1304" t="e">
        <f t="shared" si="149"/>
        <v>#N/A</v>
      </c>
      <c r="T1304" t="str">
        <f t="shared" si="145"/>
        <v/>
      </c>
    </row>
    <row r="1305" spans="2:20" x14ac:dyDescent="0.55000000000000004">
      <c r="B1305" s="15" t="str">
        <f t="shared" si="143"/>
        <v>_2</v>
      </c>
      <c r="E1305">
        <v>2</v>
      </c>
      <c r="G1305" t="e">
        <f t="shared" si="144"/>
        <v>#N/A</v>
      </c>
      <c r="H1305" t="e">
        <f t="shared" si="146"/>
        <v>#N/A</v>
      </c>
      <c r="I1305" t="e">
        <f t="shared" si="147"/>
        <v>#N/A</v>
      </c>
      <c r="J1305" t="e">
        <f t="shared" si="148"/>
        <v>#N/A</v>
      </c>
      <c r="K1305" t="e">
        <f t="shared" si="149"/>
        <v>#N/A</v>
      </c>
      <c r="T1305" t="str">
        <f t="shared" si="145"/>
        <v/>
      </c>
    </row>
    <row r="1306" spans="2:20" x14ac:dyDescent="0.55000000000000004">
      <c r="B1306" s="15" t="str">
        <f t="shared" si="143"/>
        <v>_2</v>
      </c>
      <c r="E1306">
        <v>2</v>
      </c>
      <c r="G1306" t="e">
        <f t="shared" si="144"/>
        <v>#N/A</v>
      </c>
      <c r="H1306" t="e">
        <f t="shared" si="146"/>
        <v>#N/A</v>
      </c>
      <c r="I1306" t="e">
        <f t="shared" si="147"/>
        <v>#N/A</v>
      </c>
      <c r="J1306" t="e">
        <f t="shared" si="148"/>
        <v>#N/A</v>
      </c>
      <c r="K1306" t="e">
        <f t="shared" si="149"/>
        <v>#N/A</v>
      </c>
      <c r="T1306" t="str">
        <f t="shared" si="145"/>
        <v/>
      </c>
    </row>
    <row r="1307" spans="2:20" x14ac:dyDescent="0.55000000000000004">
      <c r="B1307" s="15" t="str">
        <f t="shared" si="143"/>
        <v>_2</v>
      </c>
      <c r="E1307">
        <v>2</v>
      </c>
      <c r="G1307" t="e">
        <f t="shared" si="144"/>
        <v>#N/A</v>
      </c>
      <c r="H1307" t="e">
        <f t="shared" si="146"/>
        <v>#N/A</v>
      </c>
      <c r="I1307" t="e">
        <f t="shared" si="147"/>
        <v>#N/A</v>
      </c>
      <c r="J1307" t="e">
        <f t="shared" si="148"/>
        <v>#N/A</v>
      </c>
      <c r="K1307" t="e">
        <f t="shared" si="149"/>
        <v>#N/A</v>
      </c>
      <c r="T1307" t="str">
        <f t="shared" si="145"/>
        <v/>
      </c>
    </row>
    <row r="1308" spans="2:20" x14ac:dyDescent="0.55000000000000004">
      <c r="B1308" s="15" t="str">
        <f t="shared" si="143"/>
        <v>_2</v>
      </c>
      <c r="E1308">
        <v>2</v>
      </c>
      <c r="G1308" t="e">
        <f t="shared" si="144"/>
        <v>#N/A</v>
      </c>
      <c r="H1308" t="e">
        <f t="shared" si="146"/>
        <v>#N/A</v>
      </c>
      <c r="I1308" t="e">
        <f t="shared" si="147"/>
        <v>#N/A</v>
      </c>
      <c r="J1308" t="e">
        <f t="shared" si="148"/>
        <v>#N/A</v>
      </c>
      <c r="K1308" t="e">
        <f t="shared" si="149"/>
        <v>#N/A</v>
      </c>
      <c r="T1308" t="str">
        <f t="shared" si="145"/>
        <v/>
      </c>
    </row>
    <row r="1309" spans="2:20" x14ac:dyDescent="0.55000000000000004">
      <c r="B1309" s="15" t="str">
        <f t="shared" si="143"/>
        <v>_2</v>
      </c>
      <c r="E1309">
        <v>2</v>
      </c>
      <c r="G1309" t="e">
        <f t="shared" si="144"/>
        <v>#N/A</v>
      </c>
      <c r="H1309" t="e">
        <f t="shared" si="146"/>
        <v>#N/A</v>
      </c>
      <c r="I1309" t="e">
        <f t="shared" si="147"/>
        <v>#N/A</v>
      </c>
      <c r="J1309" t="e">
        <f t="shared" si="148"/>
        <v>#N/A</v>
      </c>
      <c r="K1309" t="e">
        <f t="shared" si="149"/>
        <v>#N/A</v>
      </c>
      <c r="T1309" t="str">
        <f t="shared" si="145"/>
        <v/>
      </c>
    </row>
    <row r="1310" spans="2:20" x14ac:dyDescent="0.55000000000000004">
      <c r="B1310" s="15" t="str">
        <f t="shared" ref="B1310:B1373" si="150">A1310 &amp; "_2"</f>
        <v>_2</v>
      </c>
      <c r="E1310">
        <v>2</v>
      </c>
      <c r="G1310" t="e">
        <f t="shared" si="144"/>
        <v>#N/A</v>
      </c>
      <c r="H1310" t="e">
        <f t="shared" si="146"/>
        <v>#N/A</v>
      </c>
      <c r="I1310" t="e">
        <f t="shared" si="147"/>
        <v>#N/A</v>
      </c>
      <c r="J1310" t="e">
        <f t="shared" si="148"/>
        <v>#N/A</v>
      </c>
      <c r="K1310" t="e">
        <f t="shared" si="149"/>
        <v>#N/A</v>
      </c>
      <c r="T1310" t="str">
        <f t="shared" si="145"/>
        <v/>
      </c>
    </row>
    <row r="1311" spans="2:20" x14ac:dyDescent="0.55000000000000004">
      <c r="B1311" s="15" t="str">
        <f t="shared" si="150"/>
        <v>_2</v>
      </c>
      <c r="E1311">
        <v>2</v>
      </c>
      <c r="G1311" t="e">
        <f t="shared" si="144"/>
        <v>#N/A</v>
      </c>
      <c r="H1311" t="e">
        <f t="shared" si="146"/>
        <v>#N/A</v>
      </c>
      <c r="I1311" t="e">
        <f t="shared" si="147"/>
        <v>#N/A</v>
      </c>
      <c r="J1311" t="e">
        <f t="shared" si="148"/>
        <v>#N/A</v>
      </c>
      <c r="K1311" t="e">
        <f t="shared" si="149"/>
        <v>#N/A</v>
      </c>
      <c r="T1311" t="str">
        <f t="shared" si="145"/>
        <v/>
      </c>
    </row>
    <row r="1312" spans="2:20" x14ac:dyDescent="0.55000000000000004">
      <c r="B1312" s="15" t="str">
        <f t="shared" si="150"/>
        <v>_2</v>
      </c>
      <c r="E1312">
        <v>2</v>
      </c>
      <c r="G1312" t="e">
        <f t="shared" si="144"/>
        <v>#N/A</v>
      </c>
      <c r="H1312" t="e">
        <f t="shared" si="146"/>
        <v>#N/A</v>
      </c>
      <c r="I1312" t="e">
        <f t="shared" si="147"/>
        <v>#N/A</v>
      </c>
      <c r="J1312" t="e">
        <f t="shared" si="148"/>
        <v>#N/A</v>
      </c>
      <c r="K1312" t="e">
        <f t="shared" si="149"/>
        <v>#N/A</v>
      </c>
      <c r="T1312" t="str">
        <f t="shared" si="145"/>
        <v/>
      </c>
    </row>
    <row r="1313" spans="2:20" x14ac:dyDescent="0.55000000000000004">
      <c r="B1313" s="15" t="str">
        <f t="shared" si="150"/>
        <v>_2</v>
      </c>
      <c r="E1313">
        <v>2</v>
      </c>
      <c r="G1313" t="e">
        <f t="shared" si="144"/>
        <v>#N/A</v>
      </c>
      <c r="H1313" t="e">
        <f t="shared" si="146"/>
        <v>#N/A</v>
      </c>
      <c r="I1313" t="e">
        <f t="shared" si="147"/>
        <v>#N/A</v>
      </c>
      <c r="J1313" t="e">
        <f t="shared" si="148"/>
        <v>#N/A</v>
      </c>
      <c r="K1313" t="e">
        <f t="shared" si="149"/>
        <v>#N/A</v>
      </c>
      <c r="T1313" t="str">
        <f t="shared" si="145"/>
        <v/>
      </c>
    </row>
    <row r="1314" spans="2:20" x14ac:dyDescent="0.55000000000000004">
      <c r="B1314" s="15" t="str">
        <f t="shared" si="150"/>
        <v>_2</v>
      </c>
      <c r="E1314">
        <v>2</v>
      </c>
      <c r="G1314" t="e">
        <f t="shared" si="144"/>
        <v>#N/A</v>
      </c>
      <c r="H1314" t="e">
        <f t="shared" si="146"/>
        <v>#N/A</v>
      </c>
      <c r="I1314" t="e">
        <f t="shared" si="147"/>
        <v>#N/A</v>
      </c>
      <c r="J1314" t="e">
        <f t="shared" si="148"/>
        <v>#N/A</v>
      </c>
      <c r="K1314" t="e">
        <f t="shared" si="149"/>
        <v>#N/A</v>
      </c>
      <c r="T1314" t="str">
        <f t="shared" si="145"/>
        <v/>
      </c>
    </row>
    <row r="1315" spans="2:20" x14ac:dyDescent="0.55000000000000004">
      <c r="B1315" s="15" t="str">
        <f t="shared" si="150"/>
        <v>_2</v>
      </c>
      <c r="E1315">
        <v>2</v>
      </c>
      <c r="G1315" t="e">
        <f t="shared" si="144"/>
        <v>#N/A</v>
      </c>
      <c r="H1315" t="e">
        <f t="shared" si="146"/>
        <v>#N/A</v>
      </c>
      <c r="I1315" t="e">
        <f t="shared" si="147"/>
        <v>#N/A</v>
      </c>
      <c r="J1315" t="e">
        <f t="shared" si="148"/>
        <v>#N/A</v>
      </c>
      <c r="K1315" t="e">
        <f t="shared" si="149"/>
        <v>#N/A</v>
      </c>
      <c r="T1315" t="str">
        <f t="shared" si="145"/>
        <v/>
      </c>
    </row>
    <row r="1316" spans="2:20" x14ac:dyDescent="0.55000000000000004">
      <c r="B1316" s="15" t="str">
        <f t="shared" si="150"/>
        <v>_2</v>
      </c>
      <c r="E1316">
        <v>2</v>
      </c>
      <c r="G1316" t="e">
        <f t="shared" si="144"/>
        <v>#N/A</v>
      </c>
      <c r="H1316" t="e">
        <f t="shared" si="146"/>
        <v>#N/A</v>
      </c>
      <c r="I1316" t="e">
        <f t="shared" si="147"/>
        <v>#N/A</v>
      </c>
      <c r="J1316" t="e">
        <f t="shared" si="148"/>
        <v>#N/A</v>
      </c>
      <c r="K1316" t="e">
        <f t="shared" si="149"/>
        <v>#N/A</v>
      </c>
      <c r="T1316" t="str">
        <f t="shared" si="145"/>
        <v/>
      </c>
    </row>
    <row r="1317" spans="2:20" x14ac:dyDescent="0.55000000000000004">
      <c r="B1317" s="15" t="str">
        <f t="shared" si="150"/>
        <v>_2</v>
      </c>
      <c r="E1317">
        <v>2</v>
      </c>
      <c r="G1317" t="e">
        <f t="shared" si="144"/>
        <v>#N/A</v>
      </c>
      <c r="H1317" t="e">
        <f t="shared" si="146"/>
        <v>#N/A</v>
      </c>
      <c r="I1317" t="e">
        <f t="shared" si="147"/>
        <v>#N/A</v>
      </c>
      <c r="J1317" t="e">
        <f t="shared" si="148"/>
        <v>#N/A</v>
      </c>
      <c r="K1317" t="e">
        <f t="shared" si="149"/>
        <v>#N/A</v>
      </c>
      <c r="T1317" t="str">
        <f t="shared" si="145"/>
        <v/>
      </c>
    </row>
    <row r="1318" spans="2:20" x14ac:dyDescent="0.55000000000000004">
      <c r="B1318" s="15" t="str">
        <f t="shared" si="150"/>
        <v>_2</v>
      </c>
      <c r="E1318">
        <v>2</v>
      </c>
      <c r="G1318" t="e">
        <f t="shared" ref="G1318:G1381" si="151">VLOOKUP($F1318, $W$1:$AB$10, 2, FALSE)</f>
        <v>#N/A</v>
      </c>
      <c r="H1318" t="e">
        <f t="shared" si="146"/>
        <v>#N/A</v>
      </c>
      <c r="I1318" t="e">
        <f t="shared" si="147"/>
        <v>#N/A</v>
      </c>
      <c r="J1318" t="e">
        <f t="shared" si="148"/>
        <v>#N/A</v>
      </c>
      <c r="K1318" t="e">
        <f t="shared" si="149"/>
        <v>#N/A</v>
      </c>
      <c r="T1318" t="str">
        <f t="shared" si="145"/>
        <v/>
      </c>
    </row>
    <row r="1319" spans="2:20" x14ac:dyDescent="0.55000000000000004">
      <c r="B1319" s="15" t="str">
        <f t="shared" si="150"/>
        <v>_2</v>
      </c>
      <c r="E1319">
        <v>2</v>
      </c>
      <c r="G1319" t="e">
        <f t="shared" si="151"/>
        <v>#N/A</v>
      </c>
      <c r="H1319" t="e">
        <f t="shared" si="146"/>
        <v>#N/A</v>
      </c>
      <c r="I1319" t="e">
        <f t="shared" si="147"/>
        <v>#N/A</v>
      </c>
      <c r="J1319" t="e">
        <f t="shared" si="148"/>
        <v>#N/A</v>
      </c>
      <c r="K1319" t="e">
        <f t="shared" si="149"/>
        <v>#N/A</v>
      </c>
      <c r="T1319" t="str">
        <f t="shared" si="145"/>
        <v/>
      </c>
    </row>
    <row r="1320" spans="2:20" x14ac:dyDescent="0.55000000000000004">
      <c r="B1320" s="15" t="str">
        <f t="shared" si="150"/>
        <v>_2</v>
      </c>
      <c r="E1320">
        <v>2</v>
      </c>
      <c r="G1320" t="e">
        <f t="shared" si="151"/>
        <v>#N/A</v>
      </c>
      <c r="H1320" t="e">
        <f t="shared" si="146"/>
        <v>#N/A</v>
      </c>
      <c r="I1320" t="e">
        <f t="shared" si="147"/>
        <v>#N/A</v>
      </c>
      <c r="J1320" t="e">
        <f t="shared" si="148"/>
        <v>#N/A</v>
      </c>
      <c r="K1320" t="e">
        <f t="shared" si="149"/>
        <v>#N/A</v>
      </c>
      <c r="T1320" t="str">
        <f t="shared" si="145"/>
        <v/>
      </c>
    </row>
    <row r="1321" spans="2:20" x14ac:dyDescent="0.55000000000000004">
      <c r="B1321" s="15" t="str">
        <f t="shared" si="150"/>
        <v>_2</v>
      </c>
      <c r="E1321">
        <v>2</v>
      </c>
      <c r="G1321" t="e">
        <f t="shared" si="151"/>
        <v>#N/A</v>
      </c>
      <c r="H1321" t="e">
        <f t="shared" si="146"/>
        <v>#N/A</v>
      </c>
      <c r="I1321" t="e">
        <f t="shared" si="147"/>
        <v>#N/A</v>
      </c>
      <c r="J1321" t="e">
        <f t="shared" si="148"/>
        <v>#N/A</v>
      </c>
      <c r="K1321" t="e">
        <f t="shared" si="149"/>
        <v>#N/A</v>
      </c>
      <c r="T1321" t="str">
        <f t="shared" si="145"/>
        <v/>
      </c>
    </row>
    <row r="1322" spans="2:20" x14ac:dyDescent="0.55000000000000004">
      <c r="B1322" s="15" t="str">
        <f t="shared" si="150"/>
        <v>_2</v>
      </c>
      <c r="E1322">
        <v>2</v>
      </c>
      <c r="G1322" t="e">
        <f t="shared" si="151"/>
        <v>#N/A</v>
      </c>
      <c r="H1322" t="e">
        <f t="shared" si="146"/>
        <v>#N/A</v>
      </c>
      <c r="I1322" t="e">
        <f t="shared" si="147"/>
        <v>#N/A</v>
      </c>
      <c r="J1322" t="e">
        <f t="shared" si="148"/>
        <v>#N/A</v>
      </c>
      <c r="K1322" t="e">
        <f t="shared" si="149"/>
        <v>#N/A</v>
      </c>
      <c r="T1322" t="str">
        <f t="shared" si="145"/>
        <v/>
      </c>
    </row>
    <row r="1323" spans="2:20" x14ac:dyDescent="0.55000000000000004">
      <c r="B1323" s="15" t="str">
        <f t="shared" si="150"/>
        <v>_2</v>
      </c>
      <c r="E1323">
        <v>2</v>
      </c>
      <c r="G1323" t="e">
        <f t="shared" si="151"/>
        <v>#N/A</v>
      </c>
      <c r="H1323" t="e">
        <f t="shared" si="146"/>
        <v>#N/A</v>
      </c>
      <c r="I1323" t="e">
        <f t="shared" si="147"/>
        <v>#N/A</v>
      </c>
      <c r="J1323" t="e">
        <f t="shared" si="148"/>
        <v>#N/A</v>
      </c>
      <c r="K1323" t="e">
        <f t="shared" si="149"/>
        <v>#N/A</v>
      </c>
      <c r="T1323" t="str">
        <f t="shared" si="145"/>
        <v/>
      </c>
    </row>
    <row r="1324" spans="2:20" x14ac:dyDescent="0.55000000000000004">
      <c r="B1324" s="15" t="str">
        <f t="shared" si="150"/>
        <v>_2</v>
      </c>
      <c r="E1324">
        <v>2</v>
      </c>
      <c r="G1324" t="e">
        <f t="shared" si="151"/>
        <v>#N/A</v>
      </c>
      <c r="H1324" t="e">
        <f t="shared" si="146"/>
        <v>#N/A</v>
      </c>
      <c r="I1324" t="e">
        <f t="shared" si="147"/>
        <v>#N/A</v>
      </c>
      <c r="J1324" t="e">
        <f t="shared" si="148"/>
        <v>#N/A</v>
      </c>
      <c r="K1324" t="e">
        <f t="shared" si="149"/>
        <v>#N/A</v>
      </c>
      <c r="T1324" t="str">
        <f t="shared" si="145"/>
        <v/>
      </c>
    </row>
    <row r="1325" spans="2:20" x14ac:dyDescent="0.55000000000000004">
      <c r="B1325" s="15" t="str">
        <f t="shared" si="150"/>
        <v>_2</v>
      </c>
      <c r="E1325">
        <v>2</v>
      </c>
      <c r="G1325" t="e">
        <f t="shared" si="151"/>
        <v>#N/A</v>
      </c>
      <c r="H1325" t="e">
        <f t="shared" si="146"/>
        <v>#N/A</v>
      </c>
      <c r="I1325" t="e">
        <f t="shared" si="147"/>
        <v>#N/A</v>
      </c>
      <c r="J1325" t="e">
        <f t="shared" si="148"/>
        <v>#N/A</v>
      </c>
      <c r="K1325" t="e">
        <f t="shared" si="149"/>
        <v>#N/A</v>
      </c>
      <c r="T1325" t="str">
        <f t="shared" si="145"/>
        <v/>
      </c>
    </row>
    <row r="1326" spans="2:20" x14ac:dyDescent="0.55000000000000004">
      <c r="B1326" s="15" t="str">
        <f t="shared" si="150"/>
        <v>_2</v>
      </c>
      <c r="E1326">
        <v>2</v>
      </c>
      <c r="G1326" t="e">
        <f t="shared" si="151"/>
        <v>#N/A</v>
      </c>
      <c r="H1326" t="e">
        <f t="shared" si="146"/>
        <v>#N/A</v>
      </c>
      <c r="I1326" t="e">
        <f t="shared" si="147"/>
        <v>#N/A</v>
      </c>
      <c r="J1326" t="e">
        <f t="shared" si="148"/>
        <v>#N/A</v>
      </c>
      <c r="K1326" t="e">
        <f t="shared" si="149"/>
        <v>#N/A</v>
      </c>
      <c r="T1326" t="str">
        <f t="shared" si="145"/>
        <v/>
      </c>
    </row>
    <row r="1327" spans="2:20" x14ac:dyDescent="0.55000000000000004">
      <c r="B1327" s="15" t="str">
        <f t="shared" si="150"/>
        <v>_2</v>
      </c>
      <c r="E1327">
        <v>2</v>
      </c>
      <c r="G1327" t="e">
        <f t="shared" si="151"/>
        <v>#N/A</v>
      </c>
      <c r="H1327" t="e">
        <f t="shared" si="146"/>
        <v>#N/A</v>
      </c>
      <c r="I1327" t="e">
        <f t="shared" si="147"/>
        <v>#N/A</v>
      </c>
      <c r="J1327" t="e">
        <f t="shared" si="148"/>
        <v>#N/A</v>
      </c>
      <c r="K1327" t="e">
        <f t="shared" si="149"/>
        <v>#N/A</v>
      </c>
      <c r="T1327" t="str">
        <f t="shared" si="145"/>
        <v/>
      </c>
    </row>
    <row r="1328" spans="2:20" x14ac:dyDescent="0.55000000000000004">
      <c r="B1328" s="15" t="str">
        <f t="shared" si="150"/>
        <v>_2</v>
      </c>
      <c r="E1328">
        <v>2</v>
      </c>
      <c r="G1328" t="e">
        <f t="shared" si="151"/>
        <v>#N/A</v>
      </c>
      <c r="H1328" t="e">
        <f t="shared" si="146"/>
        <v>#N/A</v>
      </c>
      <c r="I1328" t="e">
        <f t="shared" si="147"/>
        <v>#N/A</v>
      </c>
      <c r="J1328" t="e">
        <f t="shared" si="148"/>
        <v>#N/A</v>
      </c>
      <c r="K1328" t="e">
        <f t="shared" si="149"/>
        <v>#N/A</v>
      </c>
      <c r="T1328" t="str">
        <f t="shared" si="145"/>
        <v/>
      </c>
    </row>
    <row r="1329" spans="2:20" x14ac:dyDescent="0.55000000000000004">
      <c r="B1329" s="15" t="str">
        <f t="shared" si="150"/>
        <v>_2</v>
      </c>
      <c r="E1329">
        <v>2</v>
      </c>
      <c r="G1329" t="e">
        <f t="shared" si="151"/>
        <v>#N/A</v>
      </c>
      <c r="H1329" t="e">
        <f t="shared" si="146"/>
        <v>#N/A</v>
      </c>
      <c r="I1329" t="e">
        <f t="shared" si="147"/>
        <v>#N/A</v>
      </c>
      <c r="J1329" t="e">
        <f t="shared" si="148"/>
        <v>#N/A</v>
      </c>
      <c r="K1329" t="e">
        <f t="shared" si="149"/>
        <v>#N/A</v>
      </c>
      <c r="T1329" t="str">
        <f t="shared" si="145"/>
        <v/>
      </c>
    </row>
    <row r="1330" spans="2:20" x14ac:dyDescent="0.55000000000000004">
      <c r="B1330" s="15" t="str">
        <f t="shared" si="150"/>
        <v>_2</v>
      </c>
      <c r="E1330">
        <v>2</v>
      </c>
      <c r="G1330" t="e">
        <f t="shared" si="151"/>
        <v>#N/A</v>
      </c>
      <c r="H1330" t="e">
        <f t="shared" si="146"/>
        <v>#N/A</v>
      </c>
      <c r="I1330" t="e">
        <f t="shared" si="147"/>
        <v>#N/A</v>
      </c>
      <c r="J1330" t="e">
        <f t="shared" si="148"/>
        <v>#N/A</v>
      </c>
      <c r="K1330" t="e">
        <f t="shared" si="149"/>
        <v>#N/A</v>
      </c>
      <c r="T1330" t="str">
        <f t="shared" si="145"/>
        <v/>
      </c>
    </row>
    <row r="1331" spans="2:20" x14ac:dyDescent="0.55000000000000004">
      <c r="B1331" s="15" t="str">
        <f t="shared" si="150"/>
        <v>_2</v>
      </c>
      <c r="E1331">
        <v>2</v>
      </c>
      <c r="G1331" t="e">
        <f t="shared" si="151"/>
        <v>#N/A</v>
      </c>
      <c r="H1331" t="e">
        <f t="shared" si="146"/>
        <v>#N/A</v>
      </c>
      <c r="I1331" t="e">
        <f t="shared" si="147"/>
        <v>#N/A</v>
      </c>
      <c r="J1331" t="e">
        <f t="shared" si="148"/>
        <v>#N/A</v>
      </c>
      <c r="K1331" t="e">
        <f t="shared" si="149"/>
        <v>#N/A</v>
      </c>
      <c r="T1331" t="str">
        <f t="shared" si="145"/>
        <v/>
      </c>
    </row>
    <row r="1332" spans="2:20" x14ac:dyDescent="0.55000000000000004">
      <c r="B1332" s="15" t="str">
        <f t="shared" si="150"/>
        <v>_2</v>
      </c>
      <c r="E1332">
        <v>2</v>
      </c>
      <c r="G1332" t="e">
        <f t="shared" si="151"/>
        <v>#N/A</v>
      </c>
      <c r="H1332" t="e">
        <f t="shared" si="146"/>
        <v>#N/A</v>
      </c>
      <c r="I1332" t="e">
        <f t="shared" si="147"/>
        <v>#N/A</v>
      </c>
      <c r="J1332" t="e">
        <f t="shared" si="148"/>
        <v>#N/A</v>
      </c>
      <c r="K1332" t="e">
        <f t="shared" si="149"/>
        <v>#N/A</v>
      </c>
      <c r="T1332" t="str">
        <f t="shared" ref="T1332:T1395" si="152">IF(S1332&lt;&gt;"", S1332*236.588, "")</f>
        <v/>
      </c>
    </row>
    <row r="1333" spans="2:20" x14ac:dyDescent="0.55000000000000004">
      <c r="B1333" s="15" t="str">
        <f t="shared" si="150"/>
        <v>_2</v>
      </c>
      <c r="E1333">
        <v>2</v>
      </c>
      <c r="G1333" t="e">
        <f t="shared" si="151"/>
        <v>#N/A</v>
      </c>
      <c r="H1333" t="e">
        <f t="shared" si="146"/>
        <v>#N/A</v>
      </c>
      <c r="I1333" t="e">
        <f t="shared" si="147"/>
        <v>#N/A</v>
      </c>
      <c r="J1333" t="e">
        <f t="shared" si="148"/>
        <v>#N/A</v>
      </c>
      <c r="K1333" t="e">
        <f t="shared" si="149"/>
        <v>#N/A</v>
      </c>
      <c r="T1333" t="str">
        <f t="shared" si="152"/>
        <v/>
      </c>
    </row>
    <row r="1334" spans="2:20" x14ac:dyDescent="0.55000000000000004">
      <c r="B1334" s="15" t="str">
        <f t="shared" si="150"/>
        <v>_2</v>
      </c>
      <c r="E1334">
        <v>2</v>
      </c>
      <c r="G1334" t="e">
        <f t="shared" si="151"/>
        <v>#N/A</v>
      </c>
      <c r="H1334" t="e">
        <f t="shared" si="146"/>
        <v>#N/A</v>
      </c>
      <c r="I1334" t="e">
        <f t="shared" si="147"/>
        <v>#N/A</v>
      </c>
      <c r="J1334" t="e">
        <f t="shared" si="148"/>
        <v>#N/A</v>
      </c>
      <c r="K1334" t="e">
        <f t="shared" si="149"/>
        <v>#N/A</v>
      </c>
      <c r="T1334" t="str">
        <f t="shared" si="152"/>
        <v/>
      </c>
    </row>
    <row r="1335" spans="2:20" x14ac:dyDescent="0.55000000000000004">
      <c r="B1335" s="15" t="str">
        <f t="shared" si="150"/>
        <v>_2</v>
      </c>
      <c r="E1335">
        <v>2</v>
      </c>
      <c r="G1335" t="e">
        <f t="shared" si="151"/>
        <v>#N/A</v>
      </c>
      <c r="H1335" t="e">
        <f t="shared" si="146"/>
        <v>#N/A</v>
      </c>
      <c r="I1335" t="e">
        <f t="shared" si="147"/>
        <v>#N/A</v>
      </c>
      <c r="J1335" t="e">
        <f t="shared" si="148"/>
        <v>#N/A</v>
      </c>
      <c r="K1335" t="e">
        <f t="shared" si="149"/>
        <v>#N/A</v>
      </c>
      <c r="T1335" t="str">
        <f t="shared" si="152"/>
        <v/>
      </c>
    </row>
    <row r="1336" spans="2:20" x14ac:dyDescent="0.55000000000000004">
      <c r="B1336" s="15" t="str">
        <f t="shared" si="150"/>
        <v>_2</v>
      </c>
      <c r="E1336">
        <v>2</v>
      </c>
      <c r="G1336" t="e">
        <f t="shared" si="151"/>
        <v>#N/A</v>
      </c>
      <c r="H1336" t="e">
        <f t="shared" si="146"/>
        <v>#N/A</v>
      </c>
      <c r="I1336" t="e">
        <f t="shared" si="147"/>
        <v>#N/A</v>
      </c>
      <c r="J1336" t="e">
        <f t="shared" si="148"/>
        <v>#N/A</v>
      </c>
      <c r="K1336" t="e">
        <f t="shared" si="149"/>
        <v>#N/A</v>
      </c>
      <c r="T1336" t="str">
        <f t="shared" si="152"/>
        <v/>
      </c>
    </row>
    <row r="1337" spans="2:20" x14ac:dyDescent="0.55000000000000004">
      <c r="B1337" s="15" t="str">
        <f t="shared" si="150"/>
        <v>_2</v>
      </c>
      <c r="E1337">
        <v>2</v>
      </c>
      <c r="G1337" t="e">
        <f t="shared" si="151"/>
        <v>#N/A</v>
      </c>
      <c r="H1337" t="e">
        <f t="shared" si="146"/>
        <v>#N/A</v>
      </c>
      <c r="I1337" t="e">
        <f t="shared" si="147"/>
        <v>#N/A</v>
      </c>
      <c r="J1337" t="e">
        <f t="shared" si="148"/>
        <v>#N/A</v>
      </c>
      <c r="K1337" t="e">
        <f t="shared" si="149"/>
        <v>#N/A</v>
      </c>
      <c r="T1337" t="str">
        <f t="shared" si="152"/>
        <v/>
      </c>
    </row>
    <row r="1338" spans="2:20" x14ac:dyDescent="0.55000000000000004">
      <c r="B1338" s="15" t="str">
        <f t="shared" si="150"/>
        <v>_2</v>
      </c>
      <c r="E1338">
        <v>2</v>
      </c>
      <c r="G1338" t="e">
        <f t="shared" si="151"/>
        <v>#N/A</v>
      </c>
      <c r="H1338" t="e">
        <f t="shared" si="146"/>
        <v>#N/A</v>
      </c>
      <c r="I1338" t="e">
        <f t="shared" si="147"/>
        <v>#N/A</v>
      </c>
      <c r="J1338" t="e">
        <f t="shared" si="148"/>
        <v>#N/A</v>
      </c>
      <c r="K1338" t="e">
        <f t="shared" si="149"/>
        <v>#N/A</v>
      </c>
      <c r="T1338" t="str">
        <f t="shared" si="152"/>
        <v/>
      </c>
    </row>
    <row r="1339" spans="2:20" x14ac:dyDescent="0.55000000000000004">
      <c r="B1339" s="15" t="str">
        <f t="shared" si="150"/>
        <v>_2</v>
      </c>
      <c r="E1339">
        <v>2</v>
      </c>
      <c r="G1339" t="e">
        <f t="shared" si="151"/>
        <v>#N/A</v>
      </c>
      <c r="H1339" t="e">
        <f t="shared" si="146"/>
        <v>#N/A</v>
      </c>
      <c r="I1339" t="e">
        <f t="shared" si="147"/>
        <v>#N/A</v>
      </c>
      <c r="J1339" t="e">
        <f t="shared" si="148"/>
        <v>#N/A</v>
      </c>
      <c r="K1339" t="e">
        <f t="shared" si="149"/>
        <v>#N/A</v>
      </c>
      <c r="T1339" t="str">
        <f t="shared" si="152"/>
        <v/>
      </c>
    </row>
    <row r="1340" spans="2:20" x14ac:dyDescent="0.55000000000000004">
      <c r="B1340" s="15" t="str">
        <f t="shared" si="150"/>
        <v>_2</v>
      </c>
      <c r="E1340">
        <v>2</v>
      </c>
      <c r="G1340" t="e">
        <f t="shared" si="151"/>
        <v>#N/A</v>
      </c>
      <c r="H1340" t="e">
        <f t="shared" si="146"/>
        <v>#N/A</v>
      </c>
      <c r="I1340" t="e">
        <f t="shared" si="147"/>
        <v>#N/A</v>
      </c>
      <c r="J1340" t="e">
        <f t="shared" si="148"/>
        <v>#N/A</v>
      </c>
      <c r="K1340" t="e">
        <f t="shared" si="149"/>
        <v>#N/A</v>
      </c>
      <c r="T1340" t="str">
        <f t="shared" si="152"/>
        <v/>
      </c>
    </row>
    <row r="1341" spans="2:20" x14ac:dyDescent="0.55000000000000004">
      <c r="B1341" s="15" t="str">
        <f t="shared" si="150"/>
        <v>_2</v>
      </c>
      <c r="E1341">
        <v>2</v>
      </c>
      <c r="G1341" t="e">
        <f t="shared" si="151"/>
        <v>#N/A</v>
      </c>
      <c r="H1341" t="e">
        <f t="shared" si="146"/>
        <v>#N/A</v>
      </c>
      <c r="I1341" t="e">
        <f t="shared" si="147"/>
        <v>#N/A</v>
      </c>
      <c r="J1341" t="e">
        <f t="shared" si="148"/>
        <v>#N/A</v>
      </c>
      <c r="K1341" t="e">
        <f t="shared" si="149"/>
        <v>#N/A</v>
      </c>
      <c r="T1341" t="str">
        <f t="shared" si="152"/>
        <v/>
      </c>
    </row>
    <row r="1342" spans="2:20" x14ac:dyDescent="0.55000000000000004">
      <c r="B1342" s="15" t="str">
        <f t="shared" si="150"/>
        <v>_2</v>
      </c>
      <c r="E1342">
        <v>2</v>
      </c>
      <c r="G1342" t="e">
        <f t="shared" si="151"/>
        <v>#N/A</v>
      </c>
      <c r="H1342" t="e">
        <f t="shared" si="146"/>
        <v>#N/A</v>
      </c>
      <c r="I1342" t="e">
        <f t="shared" si="147"/>
        <v>#N/A</v>
      </c>
      <c r="J1342" t="e">
        <f t="shared" si="148"/>
        <v>#N/A</v>
      </c>
      <c r="K1342" t="e">
        <f t="shared" si="149"/>
        <v>#N/A</v>
      </c>
      <c r="T1342" t="str">
        <f t="shared" si="152"/>
        <v/>
      </c>
    </row>
    <row r="1343" spans="2:20" x14ac:dyDescent="0.55000000000000004">
      <c r="B1343" s="15" t="str">
        <f t="shared" si="150"/>
        <v>_2</v>
      </c>
      <c r="E1343">
        <v>2</v>
      </c>
      <c r="G1343" t="e">
        <f t="shared" si="151"/>
        <v>#N/A</v>
      </c>
      <c r="H1343" t="e">
        <f t="shared" si="146"/>
        <v>#N/A</v>
      </c>
      <c r="I1343" t="e">
        <f t="shared" si="147"/>
        <v>#N/A</v>
      </c>
      <c r="J1343" t="e">
        <f t="shared" si="148"/>
        <v>#N/A</v>
      </c>
      <c r="K1343" t="e">
        <f t="shared" si="149"/>
        <v>#N/A</v>
      </c>
      <c r="T1343" t="str">
        <f t="shared" si="152"/>
        <v/>
      </c>
    </row>
    <row r="1344" spans="2:20" x14ac:dyDescent="0.55000000000000004">
      <c r="B1344" s="15" t="str">
        <f t="shared" si="150"/>
        <v>_2</v>
      </c>
      <c r="E1344">
        <v>2</v>
      </c>
      <c r="G1344" t="e">
        <f t="shared" si="151"/>
        <v>#N/A</v>
      </c>
      <c r="H1344" t="e">
        <f t="shared" si="146"/>
        <v>#N/A</v>
      </c>
      <c r="I1344" t="e">
        <f t="shared" si="147"/>
        <v>#N/A</v>
      </c>
      <c r="J1344" t="e">
        <f t="shared" si="148"/>
        <v>#N/A</v>
      </c>
      <c r="K1344" t="e">
        <f t="shared" si="149"/>
        <v>#N/A</v>
      </c>
      <c r="T1344" t="str">
        <f t="shared" si="152"/>
        <v/>
      </c>
    </row>
    <row r="1345" spans="2:20" x14ac:dyDescent="0.55000000000000004">
      <c r="B1345" s="15" t="str">
        <f t="shared" si="150"/>
        <v>_2</v>
      </c>
      <c r="E1345">
        <v>2</v>
      </c>
      <c r="G1345" t="e">
        <f t="shared" si="151"/>
        <v>#N/A</v>
      </c>
      <c r="H1345" t="e">
        <f t="shared" ref="H1345:H1408" si="153">VLOOKUP($F1345, $W$1:$AB$10, 3, FALSE)</f>
        <v>#N/A</v>
      </c>
      <c r="I1345" t="e">
        <f t="shared" ref="I1345:I1408" si="154">VLOOKUP($F1345, $W$1:$AB$10, 4, FALSE)</f>
        <v>#N/A</v>
      </c>
      <c r="J1345" t="e">
        <f t="shared" ref="J1345:J1408" si="155">VLOOKUP($F1345, $W$1:$AC$10, 5, FALSE)</f>
        <v>#N/A</v>
      </c>
      <c r="K1345" t="e">
        <f t="shared" ref="K1345:K1408" si="156">VLOOKUP($F1345, $W$1:$AB$10, 6, FALSE)</f>
        <v>#N/A</v>
      </c>
      <c r="T1345" t="str">
        <f t="shared" si="152"/>
        <v/>
      </c>
    </row>
    <row r="1346" spans="2:20" x14ac:dyDescent="0.55000000000000004">
      <c r="B1346" s="15" t="str">
        <f t="shared" si="150"/>
        <v>_2</v>
      </c>
      <c r="E1346">
        <v>2</v>
      </c>
      <c r="G1346" t="e">
        <f t="shared" si="151"/>
        <v>#N/A</v>
      </c>
      <c r="H1346" t="e">
        <f t="shared" si="153"/>
        <v>#N/A</v>
      </c>
      <c r="I1346" t="e">
        <f t="shared" si="154"/>
        <v>#N/A</v>
      </c>
      <c r="J1346" t="e">
        <f t="shared" si="155"/>
        <v>#N/A</v>
      </c>
      <c r="K1346" t="e">
        <f t="shared" si="156"/>
        <v>#N/A</v>
      </c>
      <c r="T1346" t="str">
        <f t="shared" si="152"/>
        <v/>
      </c>
    </row>
    <row r="1347" spans="2:20" x14ac:dyDescent="0.55000000000000004">
      <c r="B1347" s="15" t="str">
        <f t="shared" si="150"/>
        <v>_2</v>
      </c>
      <c r="E1347">
        <v>2</v>
      </c>
      <c r="G1347" t="e">
        <f t="shared" si="151"/>
        <v>#N/A</v>
      </c>
      <c r="H1347" t="e">
        <f t="shared" si="153"/>
        <v>#N/A</v>
      </c>
      <c r="I1347" t="e">
        <f t="shared" si="154"/>
        <v>#N/A</v>
      </c>
      <c r="J1347" t="e">
        <f t="shared" si="155"/>
        <v>#N/A</v>
      </c>
      <c r="K1347" t="e">
        <f t="shared" si="156"/>
        <v>#N/A</v>
      </c>
      <c r="T1347" t="str">
        <f t="shared" si="152"/>
        <v/>
      </c>
    </row>
    <row r="1348" spans="2:20" x14ac:dyDescent="0.55000000000000004">
      <c r="B1348" s="15" t="str">
        <f t="shared" si="150"/>
        <v>_2</v>
      </c>
      <c r="E1348">
        <v>2</v>
      </c>
      <c r="G1348" t="e">
        <f t="shared" si="151"/>
        <v>#N/A</v>
      </c>
      <c r="H1348" t="e">
        <f t="shared" si="153"/>
        <v>#N/A</v>
      </c>
      <c r="I1348" t="e">
        <f t="shared" si="154"/>
        <v>#N/A</v>
      </c>
      <c r="J1348" t="e">
        <f t="shared" si="155"/>
        <v>#N/A</v>
      </c>
      <c r="K1348" t="e">
        <f t="shared" si="156"/>
        <v>#N/A</v>
      </c>
      <c r="T1348" t="str">
        <f t="shared" si="152"/>
        <v/>
      </c>
    </row>
    <row r="1349" spans="2:20" x14ac:dyDescent="0.55000000000000004">
      <c r="B1349" s="15" t="str">
        <f t="shared" si="150"/>
        <v>_2</v>
      </c>
      <c r="E1349">
        <v>2</v>
      </c>
      <c r="G1349" t="e">
        <f t="shared" si="151"/>
        <v>#N/A</v>
      </c>
      <c r="H1349" t="e">
        <f t="shared" si="153"/>
        <v>#N/A</v>
      </c>
      <c r="I1349" t="e">
        <f t="shared" si="154"/>
        <v>#N/A</v>
      </c>
      <c r="J1349" t="e">
        <f t="shared" si="155"/>
        <v>#N/A</v>
      </c>
      <c r="K1349" t="e">
        <f t="shared" si="156"/>
        <v>#N/A</v>
      </c>
      <c r="T1349" t="str">
        <f t="shared" si="152"/>
        <v/>
      </c>
    </row>
    <row r="1350" spans="2:20" x14ac:dyDescent="0.55000000000000004">
      <c r="B1350" s="15" t="str">
        <f t="shared" si="150"/>
        <v>_2</v>
      </c>
      <c r="E1350">
        <v>2</v>
      </c>
      <c r="G1350" t="e">
        <f t="shared" si="151"/>
        <v>#N/A</v>
      </c>
      <c r="H1350" t="e">
        <f t="shared" si="153"/>
        <v>#N/A</v>
      </c>
      <c r="I1350" t="e">
        <f t="shared" si="154"/>
        <v>#N/A</v>
      </c>
      <c r="J1350" t="e">
        <f t="shared" si="155"/>
        <v>#N/A</v>
      </c>
      <c r="K1350" t="e">
        <f t="shared" si="156"/>
        <v>#N/A</v>
      </c>
      <c r="T1350" t="str">
        <f t="shared" si="152"/>
        <v/>
      </c>
    </row>
    <row r="1351" spans="2:20" x14ac:dyDescent="0.55000000000000004">
      <c r="B1351" s="15" t="str">
        <f t="shared" si="150"/>
        <v>_2</v>
      </c>
      <c r="E1351">
        <v>2</v>
      </c>
      <c r="G1351" t="e">
        <f t="shared" si="151"/>
        <v>#N/A</v>
      </c>
      <c r="H1351" t="e">
        <f t="shared" si="153"/>
        <v>#N/A</v>
      </c>
      <c r="I1351" t="e">
        <f t="shared" si="154"/>
        <v>#N/A</v>
      </c>
      <c r="J1351" t="e">
        <f t="shared" si="155"/>
        <v>#N/A</v>
      </c>
      <c r="K1351" t="e">
        <f t="shared" si="156"/>
        <v>#N/A</v>
      </c>
      <c r="T1351" t="str">
        <f t="shared" si="152"/>
        <v/>
      </c>
    </row>
    <row r="1352" spans="2:20" x14ac:dyDescent="0.55000000000000004">
      <c r="B1352" s="15" t="str">
        <f t="shared" si="150"/>
        <v>_2</v>
      </c>
      <c r="E1352">
        <v>2</v>
      </c>
      <c r="G1352" t="e">
        <f t="shared" si="151"/>
        <v>#N/A</v>
      </c>
      <c r="H1352" t="e">
        <f t="shared" si="153"/>
        <v>#N/A</v>
      </c>
      <c r="I1352" t="e">
        <f t="shared" si="154"/>
        <v>#N/A</v>
      </c>
      <c r="J1352" t="e">
        <f t="shared" si="155"/>
        <v>#N/A</v>
      </c>
      <c r="K1352" t="e">
        <f t="shared" si="156"/>
        <v>#N/A</v>
      </c>
      <c r="T1352" t="str">
        <f t="shared" si="152"/>
        <v/>
      </c>
    </row>
    <row r="1353" spans="2:20" x14ac:dyDescent="0.55000000000000004">
      <c r="B1353" s="15" t="str">
        <f t="shared" si="150"/>
        <v>_2</v>
      </c>
      <c r="E1353">
        <v>2</v>
      </c>
      <c r="G1353" t="e">
        <f t="shared" si="151"/>
        <v>#N/A</v>
      </c>
      <c r="H1353" t="e">
        <f t="shared" si="153"/>
        <v>#N/A</v>
      </c>
      <c r="I1353" t="e">
        <f t="shared" si="154"/>
        <v>#N/A</v>
      </c>
      <c r="J1353" t="e">
        <f t="shared" si="155"/>
        <v>#N/A</v>
      </c>
      <c r="K1353" t="e">
        <f t="shared" si="156"/>
        <v>#N/A</v>
      </c>
      <c r="T1353" t="str">
        <f t="shared" si="152"/>
        <v/>
      </c>
    </row>
    <row r="1354" spans="2:20" x14ac:dyDescent="0.55000000000000004">
      <c r="B1354" s="15" t="str">
        <f t="shared" si="150"/>
        <v>_2</v>
      </c>
      <c r="E1354">
        <v>2</v>
      </c>
      <c r="G1354" t="e">
        <f t="shared" si="151"/>
        <v>#N/A</v>
      </c>
      <c r="H1354" t="e">
        <f t="shared" si="153"/>
        <v>#N/A</v>
      </c>
      <c r="I1354" t="e">
        <f t="shared" si="154"/>
        <v>#N/A</v>
      </c>
      <c r="J1354" t="e">
        <f t="shared" si="155"/>
        <v>#N/A</v>
      </c>
      <c r="K1354" t="e">
        <f t="shared" si="156"/>
        <v>#N/A</v>
      </c>
      <c r="T1354" t="str">
        <f t="shared" si="152"/>
        <v/>
      </c>
    </row>
    <row r="1355" spans="2:20" x14ac:dyDescent="0.55000000000000004">
      <c r="B1355" s="15" t="str">
        <f t="shared" si="150"/>
        <v>_2</v>
      </c>
      <c r="E1355">
        <v>2</v>
      </c>
      <c r="G1355" t="e">
        <f t="shared" si="151"/>
        <v>#N/A</v>
      </c>
      <c r="H1355" t="e">
        <f t="shared" si="153"/>
        <v>#N/A</v>
      </c>
      <c r="I1355" t="e">
        <f t="shared" si="154"/>
        <v>#N/A</v>
      </c>
      <c r="J1355" t="e">
        <f t="shared" si="155"/>
        <v>#N/A</v>
      </c>
      <c r="K1355" t="e">
        <f t="shared" si="156"/>
        <v>#N/A</v>
      </c>
      <c r="T1355" t="str">
        <f t="shared" si="152"/>
        <v/>
      </c>
    </row>
    <row r="1356" spans="2:20" x14ac:dyDescent="0.55000000000000004">
      <c r="B1356" s="15" t="str">
        <f t="shared" si="150"/>
        <v>_2</v>
      </c>
      <c r="E1356">
        <v>2</v>
      </c>
      <c r="G1356" t="e">
        <f t="shared" si="151"/>
        <v>#N/A</v>
      </c>
      <c r="H1356" t="e">
        <f t="shared" si="153"/>
        <v>#N/A</v>
      </c>
      <c r="I1356" t="e">
        <f t="shared" si="154"/>
        <v>#N/A</v>
      </c>
      <c r="J1356" t="e">
        <f t="shared" si="155"/>
        <v>#N/A</v>
      </c>
      <c r="K1356" t="e">
        <f t="shared" si="156"/>
        <v>#N/A</v>
      </c>
      <c r="T1356" t="str">
        <f t="shared" si="152"/>
        <v/>
      </c>
    </row>
    <row r="1357" spans="2:20" x14ac:dyDescent="0.55000000000000004">
      <c r="B1357" s="15" t="str">
        <f t="shared" si="150"/>
        <v>_2</v>
      </c>
      <c r="E1357">
        <v>2</v>
      </c>
      <c r="G1357" t="e">
        <f t="shared" si="151"/>
        <v>#N/A</v>
      </c>
      <c r="H1357" t="e">
        <f t="shared" si="153"/>
        <v>#N/A</v>
      </c>
      <c r="I1357" t="e">
        <f t="shared" si="154"/>
        <v>#N/A</v>
      </c>
      <c r="J1357" t="e">
        <f t="shared" si="155"/>
        <v>#N/A</v>
      </c>
      <c r="K1357" t="e">
        <f t="shared" si="156"/>
        <v>#N/A</v>
      </c>
      <c r="T1357" t="str">
        <f t="shared" si="152"/>
        <v/>
      </c>
    </row>
    <row r="1358" spans="2:20" x14ac:dyDescent="0.55000000000000004">
      <c r="B1358" s="15" t="str">
        <f t="shared" si="150"/>
        <v>_2</v>
      </c>
      <c r="E1358">
        <v>2</v>
      </c>
      <c r="G1358" t="e">
        <f t="shared" si="151"/>
        <v>#N/A</v>
      </c>
      <c r="H1358" t="e">
        <f t="shared" si="153"/>
        <v>#N/A</v>
      </c>
      <c r="I1358" t="e">
        <f t="shared" si="154"/>
        <v>#N/A</v>
      </c>
      <c r="J1358" t="e">
        <f t="shared" si="155"/>
        <v>#N/A</v>
      </c>
      <c r="K1358" t="e">
        <f t="shared" si="156"/>
        <v>#N/A</v>
      </c>
      <c r="T1358" t="str">
        <f t="shared" si="152"/>
        <v/>
      </c>
    </row>
    <row r="1359" spans="2:20" x14ac:dyDescent="0.55000000000000004">
      <c r="B1359" s="15" t="str">
        <f t="shared" si="150"/>
        <v>_2</v>
      </c>
      <c r="E1359">
        <v>2</v>
      </c>
      <c r="G1359" t="e">
        <f t="shared" si="151"/>
        <v>#N/A</v>
      </c>
      <c r="H1359" t="e">
        <f t="shared" si="153"/>
        <v>#N/A</v>
      </c>
      <c r="I1359" t="e">
        <f t="shared" si="154"/>
        <v>#N/A</v>
      </c>
      <c r="J1359" t="e">
        <f t="shared" si="155"/>
        <v>#N/A</v>
      </c>
      <c r="K1359" t="e">
        <f t="shared" si="156"/>
        <v>#N/A</v>
      </c>
      <c r="T1359" t="str">
        <f t="shared" si="152"/>
        <v/>
      </c>
    </row>
    <row r="1360" spans="2:20" x14ac:dyDescent="0.55000000000000004">
      <c r="B1360" s="15" t="str">
        <f t="shared" si="150"/>
        <v>_2</v>
      </c>
      <c r="E1360">
        <v>2</v>
      </c>
      <c r="G1360" t="e">
        <f t="shared" si="151"/>
        <v>#N/A</v>
      </c>
      <c r="H1360" t="e">
        <f t="shared" si="153"/>
        <v>#N/A</v>
      </c>
      <c r="I1360" t="e">
        <f t="shared" si="154"/>
        <v>#N/A</v>
      </c>
      <c r="J1360" t="e">
        <f t="shared" si="155"/>
        <v>#N/A</v>
      </c>
      <c r="K1360" t="e">
        <f t="shared" si="156"/>
        <v>#N/A</v>
      </c>
      <c r="T1360" t="str">
        <f t="shared" si="152"/>
        <v/>
      </c>
    </row>
    <row r="1361" spans="2:20" x14ac:dyDescent="0.55000000000000004">
      <c r="B1361" s="15" t="str">
        <f t="shared" si="150"/>
        <v>_2</v>
      </c>
      <c r="E1361">
        <v>2</v>
      </c>
      <c r="G1361" t="e">
        <f t="shared" si="151"/>
        <v>#N/A</v>
      </c>
      <c r="H1361" t="e">
        <f t="shared" si="153"/>
        <v>#N/A</v>
      </c>
      <c r="I1361" t="e">
        <f t="shared" si="154"/>
        <v>#N/A</v>
      </c>
      <c r="J1361" t="e">
        <f t="shared" si="155"/>
        <v>#N/A</v>
      </c>
      <c r="K1361" t="e">
        <f t="shared" si="156"/>
        <v>#N/A</v>
      </c>
      <c r="T1361" t="str">
        <f t="shared" si="152"/>
        <v/>
      </c>
    </row>
    <row r="1362" spans="2:20" x14ac:dyDescent="0.55000000000000004">
      <c r="B1362" s="15" t="str">
        <f t="shared" si="150"/>
        <v>_2</v>
      </c>
      <c r="E1362">
        <v>2</v>
      </c>
      <c r="G1362" t="e">
        <f t="shared" si="151"/>
        <v>#N/A</v>
      </c>
      <c r="H1362" t="e">
        <f t="shared" si="153"/>
        <v>#N/A</v>
      </c>
      <c r="I1362" t="e">
        <f t="shared" si="154"/>
        <v>#N/A</v>
      </c>
      <c r="J1362" t="e">
        <f t="shared" si="155"/>
        <v>#N/A</v>
      </c>
      <c r="K1362" t="e">
        <f t="shared" si="156"/>
        <v>#N/A</v>
      </c>
      <c r="T1362" t="str">
        <f t="shared" si="152"/>
        <v/>
      </c>
    </row>
    <row r="1363" spans="2:20" x14ac:dyDescent="0.55000000000000004">
      <c r="B1363" s="15" t="str">
        <f t="shared" si="150"/>
        <v>_2</v>
      </c>
      <c r="E1363">
        <v>2</v>
      </c>
      <c r="G1363" t="e">
        <f t="shared" si="151"/>
        <v>#N/A</v>
      </c>
      <c r="H1363" t="e">
        <f t="shared" si="153"/>
        <v>#N/A</v>
      </c>
      <c r="I1363" t="e">
        <f t="shared" si="154"/>
        <v>#N/A</v>
      </c>
      <c r="J1363" t="e">
        <f t="shared" si="155"/>
        <v>#N/A</v>
      </c>
      <c r="K1363" t="e">
        <f t="shared" si="156"/>
        <v>#N/A</v>
      </c>
      <c r="T1363" t="str">
        <f t="shared" si="152"/>
        <v/>
      </c>
    </row>
    <row r="1364" spans="2:20" x14ac:dyDescent="0.55000000000000004">
      <c r="B1364" s="15" t="str">
        <f t="shared" si="150"/>
        <v>_2</v>
      </c>
      <c r="E1364">
        <v>2</v>
      </c>
      <c r="G1364" t="e">
        <f t="shared" si="151"/>
        <v>#N/A</v>
      </c>
      <c r="H1364" t="e">
        <f t="shared" si="153"/>
        <v>#N/A</v>
      </c>
      <c r="I1364" t="e">
        <f t="shared" si="154"/>
        <v>#N/A</v>
      </c>
      <c r="J1364" t="e">
        <f t="shared" si="155"/>
        <v>#N/A</v>
      </c>
      <c r="K1364" t="e">
        <f t="shared" si="156"/>
        <v>#N/A</v>
      </c>
      <c r="T1364" t="str">
        <f t="shared" si="152"/>
        <v/>
      </c>
    </row>
    <row r="1365" spans="2:20" x14ac:dyDescent="0.55000000000000004">
      <c r="B1365" s="15" t="str">
        <f t="shared" si="150"/>
        <v>_2</v>
      </c>
      <c r="E1365">
        <v>2</v>
      </c>
      <c r="G1365" t="e">
        <f t="shared" si="151"/>
        <v>#N/A</v>
      </c>
      <c r="H1365" t="e">
        <f t="shared" si="153"/>
        <v>#N/A</v>
      </c>
      <c r="I1365" t="e">
        <f t="shared" si="154"/>
        <v>#N/A</v>
      </c>
      <c r="J1365" t="e">
        <f t="shared" si="155"/>
        <v>#N/A</v>
      </c>
      <c r="K1365" t="e">
        <f t="shared" si="156"/>
        <v>#N/A</v>
      </c>
      <c r="T1365" t="str">
        <f t="shared" si="152"/>
        <v/>
      </c>
    </row>
    <row r="1366" spans="2:20" x14ac:dyDescent="0.55000000000000004">
      <c r="B1366" s="15" t="str">
        <f t="shared" si="150"/>
        <v>_2</v>
      </c>
      <c r="E1366">
        <v>2</v>
      </c>
      <c r="G1366" t="e">
        <f t="shared" si="151"/>
        <v>#N/A</v>
      </c>
      <c r="H1366" t="e">
        <f t="shared" si="153"/>
        <v>#N/A</v>
      </c>
      <c r="I1366" t="e">
        <f t="shared" si="154"/>
        <v>#N/A</v>
      </c>
      <c r="J1366" t="e">
        <f t="shared" si="155"/>
        <v>#N/A</v>
      </c>
      <c r="K1366" t="e">
        <f t="shared" si="156"/>
        <v>#N/A</v>
      </c>
      <c r="T1366" t="str">
        <f t="shared" si="152"/>
        <v/>
      </c>
    </row>
    <row r="1367" spans="2:20" x14ac:dyDescent="0.55000000000000004">
      <c r="B1367" s="15" t="str">
        <f t="shared" si="150"/>
        <v>_2</v>
      </c>
      <c r="E1367">
        <v>2</v>
      </c>
      <c r="G1367" t="e">
        <f t="shared" si="151"/>
        <v>#N/A</v>
      </c>
      <c r="H1367" t="e">
        <f t="shared" si="153"/>
        <v>#N/A</v>
      </c>
      <c r="I1367" t="e">
        <f t="shared" si="154"/>
        <v>#N/A</v>
      </c>
      <c r="J1367" t="e">
        <f t="shared" si="155"/>
        <v>#N/A</v>
      </c>
      <c r="K1367" t="e">
        <f t="shared" si="156"/>
        <v>#N/A</v>
      </c>
      <c r="T1367" t="str">
        <f t="shared" si="152"/>
        <v/>
      </c>
    </row>
    <row r="1368" spans="2:20" x14ac:dyDescent="0.55000000000000004">
      <c r="B1368" s="15" t="str">
        <f t="shared" si="150"/>
        <v>_2</v>
      </c>
      <c r="E1368">
        <v>2</v>
      </c>
      <c r="G1368" t="e">
        <f t="shared" si="151"/>
        <v>#N/A</v>
      </c>
      <c r="H1368" t="e">
        <f t="shared" si="153"/>
        <v>#N/A</v>
      </c>
      <c r="I1368" t="e">
        <f t="shared" si="154"/>
        <v>#N/A</v>
      </c>
      <c r="J1368" t="e">
        <f t="shared" si="155"/>
        <v>#N/A</v>
      </c>
      <c r="K1368" t="e">
        <f t="shared" si="156"/>
        <v>#N/A</v>
      </c>
      <c r="T1368" t="str">
        <f t="shared" si="152"/>
        <v/>
      </c>
    </row>
    <row r="1369" spans="2:20" x14ac:dyDescent="0.55000000000000004">
      <c r="B1369" s="15" t="str">
        <f t="shared" si="150"/>
        <v>_2</v>
      </c>
      <c r="E1369">
        <v>2</v>
      </c>
      <c r="G1369" t="e">
        <f t="shared" si="151"/>
        <v>#N/A</v>
      </c>
      <c r="H1369" t="e">
        <f t="shared" si="153"/>
        <v>#N/A</v>
      </c>
      <c r="I1369" t="e">
        <f t="shared" si="154"/>
        <v>#N/A</v>
      </c>
      <c r="J1369" t="e">
        <f t="shared" si="155"/>
        <v>#N/A</v>
      </c>
      <c r="K1369" t="e">
        <f t="shared" si="156"/>
        <v>#N/A</v>
      </c>
      <c r="T1369" t="str">
        <f t="shared" si="152"/>
        <v/>
      </c>
    </row>
    <row r="1370" spans="2:20" x14ac:dyDescent="0.55000000000000004">
      <c r="B1370" s="15" t="str">
        <f t="shared" si="150"/>
        <v>_2</v>
      </c>
      <c r="E1370">
        <v>2</v>
      </c>
      <c r="G1370" t="e">
        <f t="shared" si="151"/>
        <v>#N/A</v>
      </c>
      <c r="H1370" t="e">
        <f t="shared" si="153"/>
        <v>#N/A</v>
      </c>
      <c r="I1370" t="e">
        <f t="shared" si="154"/>
        <v>#N/A</v>
      </c>
      <c r="J1370" t="e">
        <f t="shared" si="155"/>
        <v>#N/A</v>
      </c>
      <c r="K1370" t="e">
        <f t="shared" si="156"/>
        <v>#N/A</v>
      </c>
      <c r="T1370" t="str">
        <f t="shared" si="152"/>
        <v/>
      </c>
    </row>
    <row r="1371" spans="2:20" x14ac:dyDescent="0.55000000000000004">
      <c r="B1371" s="15" t="str">
        <f t="shared" si="150"/>
        <v>_2</v>
      </c>
      <c r="E1371">
        <v>2</v>
      </c>
      <c r="G1371" t="e">
        <f t="shared" si="151"/>
        <v>#N/A</v>
      </c>
      <c r="H1371" t="e">
        <f t="shared" si="153"/>
        <v>#N/A</v>
      </c>
      <c r="I1371" t="e">
        <f t="shared" si="154"/>
        <v>#N/A</v>
      </c>
      <c r="J1371" t="e">
        <f t="shared" si="155"/>
        <v>#N/A</v>
      </c>
      <c r="K1371" t="e">
        <f t="shared" si="156"/>
        <v>#N/A</v>
      </c>
      <c r="T1371" t="str">
        <f t="shared" si="152"/>
        <v/>
      </c>
    </row>
    <row r="1372" spans="2:20" x14ac:dyDescent="0.55000000000000004">
      <c r="B1372" s="15" t="str">
        <f t="shared" si="150"/>
        <v>_2</v>
      </c>
      <c r="E1372">
        <v>2</v>
      </c>
      <c r="G1372" t="e">
        <f t="shared" si="151"/>
        <v>#N/A</v>
      </c>
      <c r="H1372" t="e">
        <f t="shared" si="153"/>
        <v>#N/A</v>
      </c>
      <c r="I1372" t="e">
        <f t="shared" si="154"/>
        <v>#N/A</v>
      </c>
      <c r="J1372" t="e">
        <f t="shared" si="155"/>
        <v>#N/A</v>
      </c>
      <c r="K1372" t="e">
        <f t="shared" si="156"/>
        <v>#N/A</v>
      </c>
      <c r="T1372" t="str">
        <f t="shared" si="152"/>
        <v/>
      </c>
    </row>
    <row r="1373" spans="2:20" x14ac:dyDescent="0.55000000000000004">
      <c r="B1373" s="15" t="str">
        <f t="shared" si="150"/>
        <v>_2</v>
      </c>
      <c r="E1373">
        <v>2</v>
      </c>
      <c r="G1373" t="e">
        <f t="shared" si="151"/>
        <v>#N/A</v>
      </c>
      <c r="H1373" t="e">
        <f t="shared" si="153"/>
        <v>#N/A</v>
      </c>
      <c r="I1373" t="e">
        <f t="shared" si="154"/>
        <v>#N/A</v>
      </c>
      <c r="J1373" t="e">
        <f t="shared" si="155"/>
        <v>#N/A</v>
      </c>
      <c r="K1373" t="e">
        <f t="shared" si="156"/>
        <v>#N/A</v>
      </c>
      <c r="T1373" t="str">
        <f t="shared" si="152"/>
        <v/>
      </c>
    </row>
    <row r="1374" spans="2:20" x14ac:dyDescent="0.55000000000000004">
      <c r="B1374" s="15" t="str">
        <f t="shared" ref="B1374:B1437" si="157">A1374 &amp; "_2"</f>
        <v>_2</v>
      </c>
      <c r="E1374">
        <v>2</v>
      </c>
      <c r="G1374" t="e">
        <f t="shared" si="151"/>
        <v>#N/A</v>
      </c>
      <c r="H1374" t="e">
        <f t="shared" si="153"/>
        <v>#N/A</v>
      </c>
      <c r="I1374" t="e">
        <f t="shared" si="154"/>
        <v>#N/A</v>
      </c>
      <c r="J1374" t="e">
        <f t="shared" si="155"/>
        <v>#N/A</v>
      </c>
      <c r="K1374" t="e">
        <f t="shared" si="156"/>
        <v>#N/A</v>
      </c>
      <c r="T1374" t="str">
        <f t="shared" si="152"/>
        <v/>
      </c>
    </row>
    <row r="1375" spans="2:20" x14ac:dyDescent="0.55000000000000004">
      <c r="B1375" s="15" t="str">
        <f t="shared" si="157"/>
        <v>_2</v>
      </c>
      <c r="E1375">
        <v>2</v>
      </c>
      <c r="G1375" t="e">
        <f t="shared" si="151"/>
        <v>#N/A</v>
      </c>
      <c r="H1375" t="e">
        <f t="shared" si="153"/>
        <v>#N/A</v>
      </c>
      <c r="I1375" t="e">
        <f t="shared" si="154"/>
        <v>#N/A</v>
      </c>
      <c r="J1375" t="e">
        <f t="shared" si="155"/>
        <v>#N/A</v>
      </c>
      <c r="K1375" t="e">
        <f t="shared" si="156"/>
        <v>#N/A</v>
      </c>
      <c r="T1375" t="str">
        <f t="shared" si="152"/>
        <v/>
      </c>
    </row>
    <row r="1376" spans="2:20" x14ac:dyDescent="0.55000000000000004">
      <c r="B1376" s="15" t="str">
        <f t="shared" si="157"/>
        <v>_2</v>
      </c>
      <c r="E1376">
        <v>2</v>
      </c>
      <c r="G1376" t="e">
        <f t="shared" si="151"/>
        <v>#N/A</v>
      </c>
      <c r="H1376" t="e">
        <f t="shared" si="153"/>
        <v>#N/A</v>
      </c>
      <c r="I1376" t="e">
        <f t="shared" si="154"/>
        <v>#N/A</v>
      </c>
      <c r="J1376" t="e">
        <f t="shared" si="155"/>
        <v>#N/A</v>
      </c>
      <c r="K1376" t="e">
        <f t="shared" si="156"/>
        <v>#N/A</v>
      </c>
      <c r="T1376" t="str">
        <f t="shared" si="152"/>
        <v/>
      </c>
    </row>
    <row r="1377" spans="2:20" x14ac:dyDescent="0.55000000000000004">
      <c r="B1377" s="15" t="str">
        <f t="shared" si="157"/>
        <v>_2</v>
      </c>
      <c r="E1377">
        <v>2</v>
      </c>
      <c r="G1377" t="e">
        <f t="shared" si="151"/>
        <v>#N/A</v>
      </c>
      <c r="H1377" t="e">
        <f t="shared" si="153"/>
        <v>#N/A</v>
      </c>
      <c r="I1377" t="e">
        <f t="shared" si="154"/>
        <v>#N/A</v>
      </c>
      <c r="J1377" t="e">
        <f t="shared" si="155"/>
        <v>#N/A</v>
      </c>
      <c r="K1377" t="e">
        <f t="shared" si="156"/>
        <v>#N/A</v>
      </c>
      <c r="T1377" t="str">
        <f t="shared" si="152"/>
        <v/>
      </c>
    </row>
    <row r="1378" spans="2:20" x14ac:dyDescent="0.55000000000000004">
      <c r="B1378" s="15" t="str">
        <f t="shared" si="157"/>
        <v>_2</v>
      </c>
      <c r="E1378">
        <v>2</v>
      </c>
      <c r="G1378" t="e">
        <f t="shared" si="151"/>
        <v>#N/A</v>
      </c>
      <c r="H1378" t="e">
        <f t="shared" si="153"/>
        <v>#N/A</v>
      </c>
      <c r="I1378" t="e">
        <f t="shared" si="154"/>
        <v>#N/A</v>
      </c>
      <c r="J1378" t="e">
        <f t="shared" si="155"/>
        <v>#N/A</v>
      </c>
      <c r="K1378" t="e">
        <f t="shared" si="156"/>
        <v>#N/A</v>
      </c>
      <c r="T1378" t="str">
        <f t="shared" si="152"/>
        <v/>
      </c>
    </row>
    <row r="1379" spans="2:20" x14ac:dyDescent="0.55000000000000004">
      <c r="B1379" s="15" t="str">
        <f t="shared" si="157"/>
        <v>_2</v>
      </c>
      <c r="E1379">
        <v>2</v>
      </c>
      <c r="G1379" t="e">
        <f t="shared" si="151"/>
        <v>#N/A</v>
      </c>
      <c r="H1379" t="e">
        <f t="shared" si="153"/>
        <v>#N/A</v>
      </c>
      <c r="I1379" t="e">
        <f t="shared" si="154"/>
        <v>#N/A</v>
      </c>
      <c r="J1379" t="e">
        <f t="shared" si="155"/>
        <v>#N/A</v>
      </c>
      <c r="K1379" t="e">
        <f t="shared" si="156"/>
        <v>#N/A</v>
      </c>
      <c r="T1379" t="str">
        <f t="shared" si="152"/>
        <v/>
      </c>
    </row>
    <row r="1380" spans="2:20" x14ac:dyDescent="0.55000000000000004">
      <c r="B1380" s="15" t="str">
        <f t="shared" si="157"/>
        <v>_2</v>
      </c>
      <c r="E1380">
        <v>2</v>
      </c>
      <c r="G1380" t="e">
        <f t="shared" si="151"/>
        <v>#N/A</v>
      </c>
      <c r="H1380" t="e">
        <f t="shared" si="153"/>
        <v>#N/A</v>
      </c>
      <c r="I1380" t="e">
        <f t="shared" si="154"/>
        <v>#N/A</v>
      </c>
      <c r="J1380" t="e">
        <f t="shared" si="155"/>
        <v>#N/A</v>
      </c>
      <c r="K1380" t="e">
        <f t="shared" si="156"/>
        <v>#N/A</v>
      </c>
      <c r="T1380" t="str">
        <f t="shared" si="152"/>
        <v/>
      </c>
    </row>
    <row r="1381" spans="2:20" x14ac:dyDescent="0.55000000000000004">
      <c r="B1381" s="15" t="str">
        <f t="shared" si="157"/>
        <v>_2</v>
      </c>
      <c r="E1381">
        <v>2</v>
      </c>
      <c r="G1381" t="e">
        <f t="shared" si="151"/>
        <v>#N/A</v>
      </c>
      <c r="H1381" t="e">
        <f t="shared" si="153"/>
        <v>#N/A</v>
      </c>
      <c r="I1381" t="e">
        <f t="shared" si="154"/>
        <v>#N/A</v>
      </c>
      <c r="J1381" t="e">
        <f t="shared" si="155"/>
        <v>#N/A</v>
      </c>
      <c r="K1381" t="e">
        <f t="shared" si="156"/>
        <v>#N/A</v>
      </c>
      <c r="T1381" t="str">
        <f t="shared" si="152"/>
        <v/>
      </c>
    </row>
    <row r="1382" spans="2:20" x14ac:dyDescent="0.55000000000000004">
      <c r="B1382" s="15" t="str">
        <f t="shared" si="157"/>
        <v>_2</v>
      </c>
      <c r="E1382">
        <v>2</v>
      </c>
      <c r="G1382" t="e">
        <f t="shared" ref="G1382:G1445" si="158">VLOOKUP($F1382, $W$1:$AB$10, 2, FALSE)</f>
        <v>#N/A</v>
      </c>
      <c r="H1382" t="e">
        <f t="shared" si="153"/>
        <v>#N/A</v>
      </c>
      <c r="I1382" t="e">
        <f t="shared" si="154"/>
        <v>#N/A</v>
      </c>
      <c r="J1382" t="e">
        <f t="shared" si="155"/>
        <v>#N/A</v>
      </c>
      <c r="K1382" t="e">
        <f t="shared" si="156"/>
        <v>#N/A</v>
      </c>
      <c r="T1382" t="str">
        <f t="shared" si="152"/>
        <v/>
      </c>
    </row>
    <row r="1383" spans="2:20" x14ac:dyDescent="0.55000000000000004">
      <c r="B1383" s="15" t="str">
        <f t="shared" si="157"/>
        <v>_2</v>
      </c>
      <c r="E1383">
        <v>2</v>
      </c>
      <c r="G1383" t="e">
        <f t="shared" si="158"/>
        <v>#N/A</v>
      </c>
      <c r="H1383" t="e">
        <f t="shared" si="153"/>
        <v>#N/A</v>
      </c>
      <c r="I1383" t="e">
        <f t="shared" si="154"/>
        <v>#N/A</v>
      </c>
      <c r="J1383" t="e">
        <f t="shared" si="155"/>
        <v>#N/A</v>
      </c>
      <c r="K1383" t="e">
        <f t="shared" si="156"/>
        <v>#N/A</v>
      </c>
      <c r="T1383" t="str">
        <f t="shared" si="152"/>
        <v/>
      </c>
    </row>
    <row r="1384" spans="2:20" x14ac:dyDescent="0.55000000000000004">
      <c r="B1384" s="15" t="str">
        <f t="shared" si="157"/>
        <v>_2</v>
      </c>
      <c r="E1384">
        <v>2</v>
      </c>
      <c r="G1384" t="e">
        <f t="shared" si="158"/>
        <v>#N/A</v>
      </c>
      <c r="H1384" t="e">
        <f t="shared" si="153"/>
        <v>#N/A</v>
      </c>
      <c r="I1384" t="e">
        <f t="shared" si="154"/>
        <v>#N/A</v>
      </c>
      <c r="J1384" t="e">
        <f t="shared" si="155"/>
        <v>#N/A</v>
      </c>
      <c r="K1384" t="e">
        <f t="shared" si="156"/>
        <v>#N/A</v>
      </c>
      <c r="T1384" t="str">
        <f t="shared" si="152"/>
        <v/>
      </c>
    </row>
    <row r="1385" spans="2:20" x14ac:dyDescent="0.55000000000000004">
      <c r="B1385" s="15" t="str">
        <f t="shared" si="157"/>
        <v>_2</v>
      </c>
      <c r="E1385">
        <v>2</v>
      </c>
      <c r="G1385" t="e">
        <f t="shared" si="158"/>
        <v>#N/A</v>
      </c>
      <c r="H1385" t="e">
        <f t="shared" si="153"/>
        <v>#N/A</v>
      </c>
      <c r="I1385" t="e">
        <f t="shared" si="154"/>
        <v>#N/A</v>
      </c>
      <c r="J1385" t="e">
        <f t="shared" si="155"/>
        <v>#N/A</v>
      </c>
      <c r="K1385" t="e">
        <f t="shared" si="156"/>
        <v>#N/A</v>
      </c>
      <c r="T1385" t="str">
        <f t="shared" si="152"/>
        <v/>
      </c>
    </row>
    <row r="1386" spans="2:20" x14ac:dyDescent="0.55000000000000004">
      <c r="B1386" s="15" t="str">
        <f t="shared" si="157"/>
        <v>_2</v>
      </c>
      <c r="E1386">
        <v>2</v>
      </c>
      <c r="G1386" t="e">
        <f t="shared" si="158"/>
        <v>#N/A</v>
      </c>
      <c r="H1386" t="e">
        <f t="shared" si="153"/>
        <v>#N/A</v>
      </c>
      <c r="I1386" t="e">
        <f t="shared" si="154"/>
        <v>#N/A</v>
      </c>
      <c r="J1386" t="e">
        <f t="shared" si="155"/>
        <v>#N/A</v>
      </c>
      <c r="K1386" t="e">
        <f t="shared" si="156"/>
        <v>#N/A</v>
      </c>
      <c r="T1386" t="str">
        <f t="shared" si="152"/>
        <v/>
      </c>
    </row>
    <row r="1387" spans="2:20" x14ac:dyDescent="0.55000000000000004">
      <c r="B1387" s="15" t="str">
        <f t="shared" si="157"/>
        <v>_2</v>
      </c>
      <c r="E1387">
        <v>2</v>
      </c>
      <c r="G1387" t="e">
        <f t="shared" si="158"/>
        <v>#N/A</v>
      </c>
      <c r="H1387" t="e">
        <f t="shared" si="153"/>
        <v>#N/A</v>
      </c>
      <c r="I1387" t="e">
        <f t="shared" si="154"/>
        <v>#N/A</v>
      </c>
      <c r="J1387" t="e">
        <f t="shared" si="155"/>
        <v>#N/A</v>
      </c>
      <c r="K1387" t="e">
        <f t="shared" si="156"/>
        <v>#N/A</v>
      </c>
      <c r="T1387" t="str">
        <f t="shared" si="152"/>
        <v/>
      </c>
    </row>
    <row r="1388" spans="2:20" x14ac:dyDescent="0.55000000000000004">
      <c r="B1388" s="15" t="str">
        <f t="shared" si="157"/>
        <v>_2</v>
      </c>
      <c r="E1388">
        <v>2</v>
      </c>
      <c r="G1388" t="e">
        <f t="shared" si="158"/>
        <v>#N/A</v>
      </c>
      <c r="H1388" t="e">
        <f t="shared" si="153"/>
        <v>#N/A</v>
      </c>
      <c r="I1388" t="e">
        <f t="shared" si="154"/>
        <v>#N/A</v>
      </c>
      <c r="J1388" t="e">
        <f t="shared" si="155"/>
        <v>#N/A</v>
      </c>
      <c r="K1388" t="e">
        <f t="shared" si="156"/>
        <v>#N/A</v>
      </c>
      <c r="T1388" t="str">
        <f t="shared" si="152"/>
        <v/>
      </c>
    </row>
    <row r="1389" spans="2:20" x14ac:dyDescent="0.55000000000000004">
      <c r="B1389" s="15" t="str">
        <f t="shared" si="157"/>
        <v>_2</v>
      </c>
      <c r="E1389">
        <v>2</v>
      </c>
      <c r="G1389" t="e">
        <f t="shared" si="158"/>
        <v>#N/A</v>
      </c>
      <c r="H1389" t="e">
        <f t="shared" si="153"/>
        <v>#N/A</v>
      </c>
      <c r="I1389" t="e">
        <f t="shared" si="154"/>
        <v>#N/A</v>
      </c>
      <c r="J1389" t="e">
        <f t="shared" si="155"/>
        <v>#N/A</v>
      </c>
      <c r="K1389" t="e">
        <f t="shared" si="156"/>
        <v>#N/A</v>
      </c>
      <c r="T1389" t="str">
        <f t="shared" si="152"/>
        <v/>
      </c>
    </row>
    <row r="1390" spans="2:20" x14ac:dyDescent="0.55000000000000004">
      <c r="B1390" s="15" t="str">
        <f t="shared" si="157"/>
        <v>_2</v>
      </c>
      <c r="E1390">
        <v>2</v>
      </c>
      <c r="G1390" t="e">
        <f t="shared" si="158"/>
        <v>#N/A</v>
      </c>
      <c r="H1390" t="e">
        <f t="shared" si="153"/>
        <v>#N/A</v>
      </c>
      <c r="I1390" t="e">
        <f t="shared" si="154"/>
        <v>#N/A</v>
      </c>
      <c r="J1390" t="e">
        <f t="shared" si="155"/>
        <v>#N/A</v>
      </c>
      <c r="K1390" t="e">
        <f t="shared" si="156"/>
        <v>#N/A</v>
      </c>
      <c r="T1390" t="str">
        <f t="shared" si="152"/>
        <v/>
      </c>
    </row>
    <row r="1391" spans="2:20" x14ac:dyDescent="0.55000000000000004">
      <c r="B1391" s="15" t="str">
        <f t="shared" si="157"/>
        <v>_2</v>
      </c>
      <c r="E1391">
        <v>2</v>
      </c>
      <c r="G1391" t="e">
        <f t="shared" si="158"/>
        <v>#N/A</v>
      </c>
      <c r="H1391" t="e">
        <f t="shared" si="153"/>
        <v>#N/A</v>
      </c>
      <c r="I1391" t="e">
        <f t="shared" si="154"/>
        <v>#N/A</v>
      </c>
      <c r="J1391" t="e">
        <f t="shared" si="155"/>
        <v>#N/A</v>
      </c>
      <c r="K1391" t="e">
        <f t="shared" si="156"/>
        <v>#N/A</v>
      </c>
      <c r="T1391" t="str">
        <f t="shared" si="152"/>
        <v/>
      </c>
    </row>
    <row r="1392" spans="2:20" x14ac:dyDescent="0.55000000000000004">
      <c r="B1392" s="15" t="str">
        <f t="shared" si="157"/>
        <v>_2</v>
      </c>
      <c r="E1392">
        <v>2</v>
      </c>
      <c r="G1392" t="e">
        <f t="shared" si="158"/>
        <v>#N/A</v>
      </c>
      <c r="H1392" t="e">
        <f t="shared" si="153"/>
        <v>#N/A</v>
      </c>
      <c r="I1392" t="e">
        <f t="shared" si="154"/>
        <v>#N/A</v>
      </c>
      <c r="J1392" t="e">
        <f t="shared" si="155"/>
        <v>#N/A</v>
      </c>
      <c r="K1392" t="e">
        <f t="shared" si="156"/>
        <v>#N/A</v>
      </c>
      <c r="T1392" t="str">
        <f t="shared" si="152"/>
        <v/>
      </c>
    </row>
    <row r="1393" spans="2:20" x14ac:dyDescent="0.55000000000000004">
      <c r="B1393" s="15" t="str">
        <f t="shared" si="157"/>
        <v>_2</v>
      </c>
      <c r="E1393">
        <v>2</v>
      </c>
      <c r="G1393" t="e">
        <f t="shared" si="158"/>
        <v>#N/A</v>
      </c>
      <c r="H1393" t="e">
        <f t="shared" si="153"/>
        <v>#N/A</v>
      </c>
      <c r="I1393" t="e">
        <f t="shared" si="154"/>
        <v>#N/A</v>
      </c>
      <c r="J1393" t="e">
        <f t="shared" si="155"/>
        <v>#N/A</v>
      </c>
      <c r="K1393" t="e">
        <f t="shared" si="156"/>
        <v>#N/A</v>
      </c>
      <c r="T1393" t="str">
        <f t="shared" si="152"/>
        <v/>
      </c>
    </row>
    <row r="1394" spans="2:20" x14ac:dyDescent="0.55000000000000004">
      <c r="B1394" s="15" t="str">
        <f t="shared" si="157"/>
        <v>_2</v>
      </c>
      <c r="E1394">
        <v>2</v>
      </c>
      <c r="G1394" t="e">
        <f t="shared" si="158"/>
        <v>#N/A</v>
      </c>
      <c r="H1394" t="e">
        <f t="shared" si="153"/>
        <v>#N/A</v>
      </c>
      <c r="I1394" t="e">
        <f t="shared" si="154"/>
        <v>#N/A</v>
      </c>
      <c r="J1394" t="e">
        <f t="shared" si="155"/>
        <v>#N/A</v>
      </c>
      <c r="K1394" t="e">
        <f t="shared" si="156"/>
        <v>#N/A</v>
      </c>
      <c r="T1394" t="str">
        <f t="shared" si="152"/>
        <v/>
      </c>
    </row>
    <row r="1395" spans="2:20" x14ac:dyDescent="0.55000000000000004">
      <c r="B1395" s="15" t="str">
        <f t="shared" si="157"/>
        <v>_2</v>
      </c>
      <c r="E1395">
        <v>2</v>
      </c>
      <c r="G1395" t="e">
        <f t="shared" si="158"/>
        <v>#N/A</v>
      </c>
      <c r="H1395" t="e">
        <f t="shared" si="153"/>
        <v>#N/A</v>
      </c>
      <c r="I1395" t="e">
        <f t="shared" si="154"/>
        <v>#N/A</v>
      </c>
      <c r="J1395" t="e">
        <f t="shared" si="155"/>
        <v>#N/A</v>
      </c>
      <c r="K1395" t="e">
        <f t="shared" si="156"/>
        <v>#N/A</v>
      </c>
      <c r="T1395" t="str">
        <f t="shared" si="152"/>
        <v/>
      </c>
    </row>
    <row r="1396" spans="2:20" x14ac:dyDescent="0.55000000000000004">
      <c r="B1396" s="15" t="str">
        <f t="shared" si="157"/>
        <v>_2</v>
      </c>
      <c r="E1396">
        <v>2</v>
      </c>
      <c r="G1396" t="e">
        <f t="shared" si="158"/>
        <v>#N/A</v>
      </c>
      <c r="H1396" t="e">
        <f t="shared" si="153"/>
        <v>#N/A</v>
      </c>
      <c r="I1396" t="e">
        <f t="shared" si="154"/>
        <v>#N/A</v>
      </c>
      <c r="J1396" t="e">
        <f t="shared" si="155"/>
        <v>#N/A</v>
      </c>
      <c r="K1396" t="e">
        <f t="shared" si="156"/>
        <v>#N/A</v>
      </c>
      <c r="T1396" t="str">
        <f t="shared" ref="T1396:T1459" si="159">IF(S1396&lt;&gt;"", S1396*236.588, "")</f>
        <v/>
      </c>
    </row>
    <row r="1397" spans="2:20" x14ac:dyDescent="0.55000000000000004">
      <c r="B1397" s="15" t="str">
        <f t="shared" si="157"/>
        <v>_2</v>
      </c>
      <c r="E1397">
        <v>2</v>
      </c>
      <c r="G1397" t="e">
        <f t="shared" si="158"/>
        <v>#N/A</v>
      </c>
      <c r="H1397" t="e">
        <f t="shared" si="153"/>
        <v>#N/A</v>
      </c>
      <c r="I1397" t="e">
        <f t="shared" si="154"/>
        <v>#N/A</v>
      </c>
      <c r="J1397" t="e">
        <f t="shared" si="155"/>
        <v>#N/A</v>
      </c>
      <c r="K1397" t="e">
        <f t="shared" si="156"/>
        <v>#N/A</v>
      </c>
      <c r="T1397" t="str">
        <f t="shared" si="159"/>
        <v/>
      </c>
    </row>
    <row r="1398" spans="2:20" x14ac:dyDescent="0.55000000000000004">
      <c r="B1398" s="15" t="str">
        <f t="shared" si="157"/>
        <v>_2</v>
      </c>
      <c r="E1398">
        <v>2</v>
      </c>
      <c r="G1398" t="e">
        <f t="shared" si="158"/>
        <v>#N/A</v>
      </c>
      <c r="H1398" t="e">
        <f t="shared" si="153"/>
        <v>#N/A</v>
      </c>
      <c r="I1398" t="e">
        <f t="shared" si="154"/>
        <v>#N/A</v>
      </c>
      <c r="J1398" t="e">
        <f t="shared" si="155"/>
        <v>#N/A</v>
      </c>
      <c r="K1398" t="e">
        <f t="shared" si="156"/>
        <v>#N/A</v>
      </c>
      <c r="T1398" t="str">
        <f t="shared" si="159"/>
        <v/>
      </c>
    </row>
    <row r="1399" spans="2:20" x14ac:dyDescent="0.55000000000000004">
      <c r="B1399" s="15" t="str">
        <f t="shared" si="157"/>
        <v>_2</v>
      </c>
      <c r="E1399">
        <v>2</v>
      </c>
      <c r="G1399" t="e">
        <f t="shared" si="158"/>
        <v>#N/A</v>
      </c>
      <c r="H1399" t="e">
        <f t="shared" si="153"/>
        <v>#N/A</v>
      </c>
      <c r="I1399" t="e">
        <f t="shared" si="154"/>
        <v>#N/A</v>
      </c>
      <c r="J1399" t="e">
        <f t="shared" si="155"/>
        <v>#N/A</v>
      </c>
      <c r="K1399" t="e">
        <f t="shared" si="156"/>
        <v>#N/A</v>
      </c>
      <c r="T1399" t="str">
        <f t="shared" si="159"/>
        <v/>
      </c>
    </row>
    <row r="1400" spans="2:20" x14ac:dyDescent="0.55000000000000004">
      <c r="B1400" s="15" t="str">
        <f t="shared" si="157"/>
        <v>_2</v>
      </c>
      <c r="E1400">
        <v>2</v>
      </c>
      <c r="G1400" t="e">
        <f t="shared" si="158"/>
        <v>#N/A</v>
      </c>
      <c r="H1400" t="e">
        <f t="shared" si="153"/>
        <v>#N/A</v>
      </c>
      <c r="I1400" t="e">
        <f t="shared" si="154"/>
        <v>#N/A</v>
      </c>
      <c r="J1400" t="e">
        <f t="shared" si="155"/>
        <v>#N/A</v>
      </c>
      <c r="K1400" t="e">
        <f t="shared" si="156"/>
        <v>#N/A</v>
      </c>
      <c r="T1400" t="str">
        <f t="shared" si="159"/>
        <v/>
      </c>
    </row>
    <row r="1401" spans="2:20" x14ac:dyDescent="0.55000000000000004">
      <c r="B1401" s="15" t="str">
        <f t="shared" si="157"/>
        <v>_2</v>
      </c>
      <c r="E1401">
        <v>2</v>
      </c>
      <c r="G1401" t="e">
        <f t="shared" si="158"/>
        <v>#N/A</v>
      </c>
      <c r="H1401" t="e">
        <f t="shared" si="153"/>
        <v>#N/A</v>
      </c>
      <c r="I1401" t="e">
        <f t="shared" si="154"/>
        <v>#N/A</v>
      </c>
      <c r="J1401" t="e">
        <f t="shared" si="155"/>
        <v>#N/A</v>
      </c>
      <c r="K1401" t="e">
        <f t="shared" si="156"/>
        <v>#N/A</v>
      </c>
      <c r="T1401" t="str">
        <f t="shared" si="159"/>
        <v/>
      </c>
    </row>
    <row r="1402" spans="2:20" x14ac:dyDescent="0.55000000000000004">
      <c r="B1402" s="15" t="str">
        <f t="shared" si="157"/>
        <v>_2</v>
      </c>
      <c r="E1402">
        <v>2</v>
      </c>
      <c r="G1402" t="e">
        <f t="shared" si="158"/>
        <v>#N/A</v>
      </c>
      <c r="H1402" t="e">
        <f t="shared" si="153"/>
        <v>#N/A</v>
      </c>
      <c r="I1402" t="e">
        <f t="shared" si="154"/>
        <v>#N/A</v>
      </c>
      <c r="J1402" t="e">
        <f t="shared" si="155"/>
        <v>#N/A</v>
      </c>
      <c r="K1402" t="e">
        <f t="shared" si="156"/>
        <v>#N/A</v>
      </c>
      <c r="T1402" t="str">
        <f t="shared" si="159"/>
        <v/>
      </c>
    </row>
    <row r="1403" spans="2:20" x14ac:dyDescent="0.55000000000000004">
      <c r="B1403" s="15" t="str">
        <f t="shared" si="157"/>
        <v>_2</v>
      </c>
      <c r="E1403">
        <v>2</v>
      </c>
      <c r="G1403" t="e">
        <f t="shared" si="158"/>
        <v>#N/A</v>
      </c>
      <c r="H1403" t="e">
        <f t="shared" si="153"/>
        <v>#N/A</v>
      </c>
      <c r="I1403" t="e">
        <f t="shared" si="154"/>
        <v>#N/A</v>
      </c>
      <c r="J1403" t="e">
        <f t="shared" si="155"/>
        <v>#N/A</v>
      </c>
      <c r="K1403" t="e">
        <f t="shared" si="156"/>
        <v>#N/A</v>
      </c>
      <c r="T1403" t="str">
        <f t="shared" si="159"/>
        <v/>
      </c>
    </row>
    <row r="1404" spans="2:20" x14ac:dyDescent="0.55000000000000004">
      <c r="B1404" s="15" t="str">
        <f t="shared" si="157"/>
        <v>_2</v>
      </c>
      <c r="E1404">
        <v>2</v>
      </c>
      <c r="G1404" t="e">
        <f t="shared" si="158"/>
        <v>#N/A</v>
      </c>
      <c r="H1404" t="e">
        <f t="shared" si="153"/>
        <v>#N/A</v>
      </c>
      <c r="I1404" t="e">
        <f t="shared" si="154"/>
        <v>#N/A</v>
      </c>
      <c r="J1404" t="e">
        <f t="shared" si="155"/>
        <v>#N/A</v>
      </c>
      <c r="K1404" t="e">
        <f t="shared" si="156"/>
        <v>#N/A</v>
      </c>
      <c r="T1404" t="str">
        <f t="shared" si="159"/>
        <v/>
      </c>
    </row>
    <row r="1405" spans="2:20" x14ac:dyDescent="0.55000000000000004">
      <c r="B1405" s="15" t="str">
        <f t="shared" si="157"/>
        <v>_2</v>
      </c>
      <c r="E1405">
        <v>2</v>
      </c>
      <c r="G1405" t="e">
        <f t="shared" si="158"/>
        <v>#N/A</v>
      </c>
      <c r="H1405" t="e">
        <f t="shared" si="153"/>
        <v>#N/A</v>
      </c>
      <c r="I1405" t="e">
        <f t="shared" si="154"/>
        <v>#N/A</v>
      </c>
      <c r="J1405" t="e">
        <f t="shared" si="155"/>
        <v>#N/A</v>
      </c>
      <c r="K1405" t="e">
        <f t="shared" si="156"/>
        <v>#N/A</v>
      </c>
      <c r="T1405" t="str">
        <f t="shared" si="159"/>
        <v/>
      </c>
    </row>
    <row r="1406" spans="2:20" x14ac:dyDescent="0.55000000000000004">
      <c r="B1406" s="15" t="str">
        <f t="shared" si="157"/>
        <v>_2</v>
      </c>
      <c r="E1406">
        <v>2</v>
      </c>
      <c r="G1406" t="e">
        <f t="shared" si="158"/>
        <v>#N/A</v>
      </c>
      <c r="H1406" t="e">
        <f t="shared" si="153"/>
        <v>#N/A</v>
      </c>
      <c r="I1406" t="e">
        <f t="shared" si="154"/>
        <v>#N/A</v>
      </c>
      <c r="J1406" t="e">
        <f t="shared" si="155"/>
        <v>#N/A</v>
      </c>
      <c r="K1406" t="e">
        <f t="shared" si="156"/>
        <v>#N/A</v>
      </c>
      <c r="T1406" t="str">
        <f t="shared" si="159"/>
        <v/>
      </c>
    </row>
    <row r="1407" spans="2:20" x14ac:dyDescent="0.55000000000000004">
      <c r="B1407" s="15" t="str">
        <f t="shared" si="157"/>
        <v>_2</v>
      </c>
      <c r="E1407">
        <v>2</v>
      </c>
      <c r="G1407" t="e">
        <f t="shared" si="158"/>
        <v>#N/A</v>
      </c>
      <c r="H1407" t="e">
        <f t="shared" si="153"/>
        <v>#N/A</v>
      </c>
      <c r="I1407" t="e">
        <f t="shared" si="154"/>
        <v>#N/A</v>
      </c>
      <c r="J1407" t="e">
        <f t="shared" si="155"/>
        <v>#N/A</v>
      </c>
      <c r="K1407" t="e">
        <f t="shared" si="156"/>
        <v>#N/A</v>
      </c>
      <c r="T1407" t="str">
        <f t="shared" si="159"/>
        <v/>
      </c>
    </row>
    <row r="1408" spans="2:20" x14ac:dyDescent="0.55000000000000004">
      <c r="B1408" s="15" t="str">
        <f t="shared" si="157"/>
        <v>_2</v>
      </c>
      <c r="E1408">
        <v>2</v>
      </c>
      <c r="G1408" t="e">
        <f t="shared" si="158"/>
        <v>#N/A</v>
      </c>
      <c r="H1408" t="e">
        <f t="shared" si="153"/>
        <v>#N/A</v>
      </c>
      <c r="I1408" t="e">
        <f t="shared" si="154"/>
        <v>#N/A</v>
      </c>
      <c r="J1408" t="e">
        <f t="shared" si="155"/>
        <v>#N/A</v>
      </c>
      <c r="K1408" t="e">
        <f t="shared" si="156"/>
        <v>#N/A</v>
      </c>
      <c r="T1408" t="str">
        <f t="shared" si="159"/>
        <v/>
      </c>
    </row>
    <row r="1409" spans="2:20" x14ac:dyDescent="0.55000000000000004">
      <c r="B1409" s="15" t="str">
        <f t="shared" si="157"/>
        <v>_2</v>
      </c>
      <c r="E1409">
        <v>2</v>
      </c>
      <c r="G1409" t="e">
        <f t="shared" si="158"/>
        <v>#N/A</v>
      </c>
      <c r="H1409" t="e">
        <f t="shared" ref="H1409:H1472" si="160">VLOOKUP($F1409, $W$1:$AB$10, 3, FALSE)</f>
        <v>#N/A</v>
      </c>
      <c r="I1409" t="e">
        <f t="shared" ref="I1409:I1472" si="161">VLOOKUP($F1409, $W$1:$AB$10, 4, FALSE)</f>
        <v>#N/A</v>
      </c>
      <c r="J1409" t="e">
        <f t="shared" ref="J1409:J1472" si="162">VLOOKUP($F1409, $W$1:$AC$10, 5, FALSE)</f>
        <v>#N/A</v>
      </c>
      <c r="K1409" t="e">
        <f t="shared" ref="K1409:K1472" si="163">VLOOKUP($F1409, $W$1:$AB$10, 6, FALSE)</f>
        <v>#N/A</v>
      </c>
      <c r="T1409" t="str">
        <f t="shared" si="159"/>
        <v/>
      </c>
    </row>
    <row r="1410" spans="2:20" x14ac:dyDescent="0.55000000000000004">
      <c r="B1410" s="15" t="str">
        <f t="shared" si="157"/>
        <v>_2</v>
      </c>
      <c r="E1410">
        <v>2</v>
      </c>
      <c r="G1410" t="e">
        <f t="shared" si="158"/>
        <v>#N/A</v>
      </c>
      <c r="H1410" t="e">
        <f t="shared" si="160"/>
        <v>#N/A</v>
      </c>
      <c r="I1410" t="e">
        <f t="shared" si="161"/>
        <v>#N/A</v>
      </c>
      <c r="J1410" t="e">
        <f t="shared" si="162"/>
        <v>#N/A</v>
      </c>
      <c r="K1410" t="e">
        <f t="shared" si="163"/>
        <v>#N/A</v>
      </c>
      <c r="T1410" t="str">
        <f t="shared" si="159"/>
        <v/>
      </c>
    </row>
    <row r="1411" spans="2:20" x14ac:dyDescent="0.55000000000000004">
      <c r="B1411" s="15" t="str">
        <f t="shared" si="157"/>
        <v>_2</v>
      </c>
      <c r="E1411">
        <v>2</v>
      </c>
      <c r="G1411" t="e">
        <f t="shared" si="158"/>
        <v>#N/A</v>
      </c>
      <c r="H1411" t="e">
        <f t="shared" si="160"/>
        <v>#N/A</v>
      </c>
      <c r="I1411" t="e">
        <f t="shared" si="161"/>
        <v>#N/A</v>
      </c>
      <c r="J1411" t="e">
        <f t="shared" si="162"/>
        <v>#N/A</v>
      </c>
      <c r="K1411" t="e">
        <f t="shared" si="163"/>
        <v>#N/A</v>
      </c>
      <c r="T1411" t="str">
        <f t="shared" si="159"/>
        <v/>
      </c>
    </row>
    <row r="1412" spans="2:20" x14ac:dyDescent="0.55000000000000004">
      <c r="B1412" s="15" t="str">
        <f t="shared" si="157"/>
        <v>_2</v>
      </c>
      <c r="E1412">
        <v>2</v>
      </c>
      <c r="G1412" t="e">
        <f t="shared" si="158"/>
        <v>#N/A</v>
      </c>
      <c r="H1412" t="e">
        <f t="shared" si="160"/>
        <v>#N/A</v>
      </c>
      <c r="I1412" t="e">
        <f t="shared" si="161"/>
        <v>#N/A</v>
      </c>
      <c r="J1412" t="e">
        <f t="shared" si="162"/>
        <v>#N/A</v>
      </c>
      <c r="K1412" t="e">
        <f t="shared" si="163"/>
        <v>#N/A</v>
      </c>
      <c r="T1412" t="str">
        <f t="shared" si="159"/>
        <v/>
      </c>
    </row>
    <row r="1413" spans="2:20" x14ac:dyDescent="0.55000000000000004">
      <c r="B1413" s="15" t="str">
        <f t="shared" si="157"/>
        <v>_2</v>
      </c>
      <c r="E1413">
        <v>2</v>
      </c>
      <c r="G1413" t="e">
        <f t="shared" si="158"/>
        <v>#N/A</v>
      </c>
      <c r="H1413" t="e">
        <f t="shared" si="160"/>
        <v>#N/A</v>
      </c>
      <c r="I1413" t="e">
        <f t="shared" si="161"/>
        <v>#N/A</v>
      </c>
      <c r="J1413" t="e">
        <f t="shared" si="162"/>
        <v>#N/A</v>
      </c>
      <c r="K1413" t="e">
        <f t="shared" si="163"/>
        <v>#N/A</v>
      </c>
      <c r="T1413" t="str">
        <f t="shared" si="159"/>
        <v/>
      </c>
    </row>
    <row r="1414" spans="2:20" x14ac:dyDescent="0.55000000000000004">
      <c r="B1414" s="15" t="str">
        <f t="shared" si="157"/>
        <v>_2</v>
      </c>
      <c r="E1414">
        <v>2</v>
      </c>
      <c r="G1414" t="e">
        <f t="shared" si="158"/>
        <v>#N/A</v>
      </c>
      <c r="H1414" t="e">
        <f t="shared" si="160"/>
        <v>#N/A</v>
      </c>
      <c r="I1414" t="e">
        <f t="shared" si="161"/>
        <v>#N/A</v>
      </c>
      <c r="J1414" t="e">
        <f t="shared" si="162"/>
        <v>#N/A</v>
      </c>
      <c r="K1414" t="e">
        <f t="shared" si="163"/>
        <v>#N/A</v>
      </c>
      <c r="T1414" t="str">
        <f t="shared" si="159"/>
        <v/>
      </c>
    </row>
    <row r="1415" spans="2:20" x14ac:dyDescent="0.55000000000000004">
      <c r="B1415" s="15" t="str">
        <f t="shared" si="157"/>
        <v>_2</v>
      </c>
      <c r="E1415">
        <v>2</v>
      </c>
      <c r="G1415" t="e">
        <f t="shared" si="158"/>
        <v>#N/A</v>
      </c>
      <c r="H1415" t="e">
        <f t="shared" si="160"/>
        <v>#N/A</v>
      </c>
      <c r="I1415" t="e">
        <f t="shared" si="161"/>
        <v>#N/A</v>
      </c>
      <c r="J1415" t="e">
        <f t="shared" si="162"/>
        <v>#N/A</v>
      </c>
      <c r="K1415" t="e">
        <f t="shared" si="163"/>
        <v>#N/A</v>
      </c>
      <c r="T1415" t="str">
        <f t="shared" si="159"/>
        <v/>
      </c>
    </row>
    <row r="1416" spans="2:20" x14ac:dyDescent="0.55000000000000004">
      <c r="B1416" s="15" t="str">
        <f t="shared" si="157"/>
        <v>_2</v>
      </c>
      <c r="E1416">
        <v>2</v>
      </c>
      <c r="G1416" t="e">
        <f t="shared" si="158"/>
        <v>#N/A</v>
      </c>
      <c r="H1416" t="e">
        <f t="shared" si="160"/>
        <v>#N/A</v>
      </c>
      <c r="I1416" t="e">
        <f t="shared" si="161"/>
        <v>#N/A</v>
      </c>
      <c r="J1416" t="e">
        <f t="shared" si="162"/>
        <v>#N/A</v>
      </c>
      <c r="K1416" t="e">
        <f t="shared" si="163"/>
        <v>#N/A</v>
      </c>
      <c r="T1416" t="str">
        <f t="shared" si="159"/>
        <v/>
      </c>
    </row>
    <row r="1417" spans="2:20" x14ac:dyDescent="0.55000000000000004">
      <c r="B1417" s="15" t="str">
        <f t="shared" si="157"/>
        <v>_2</v>
      </c>
      <c r="E1417">
        <v>2</v>
      </c>
      <c r="G1417" t="e">
        <f t="shared" si="158"/>
        <v>#N/A</v>
      </c>
      <c r="H1417" t="e">
        <f t="shared" si="160"/>
        <v>#N/A</v>
      </c>
      <c r="I1417" t="e">
        <f t="shared" si="161"/>
        <v>#N/A</v>
      </c>
      <c r="J1417" t="e">
        <f t="shared" si="162"/>
        <v>#N/A</v>
      </c>
      <c r="K1417" t="e">
        <f t="shared" si="163"/>
        <v>#N/A</v>
      </c>
      <c r="T1417" t="str">
        <f t="shared" si="159"/>
        <v/>
      </c>
    </row>
    <row r="1418" spans="2:20" x14ac:dyDescent="0.55000000000000004">
      <c r="B1418" s="15" t="str">
        <f t="shared" si="157"/>
        <v>_2</v>
      </c>
      <c r="E1418">
        <v>2</v>
      </c>
      <c r="G1418" t="e">
        <f t="shared" si="158"/>
        <v>#N/A</v>
      </c>
      <c r="H1418" t="e">
        <f t="shared" si="160"/>
        <v>#N/A</v>
      </c>
      <c r="I1418" t="e">
        <f t="shared" si="161"/>
        <v>#N/A</v>
      </c>
      <c r="J1418" t="e">
        <f t="shared" si="162"/>
        <v>#N/A</v>
      </c>
      <c r="K1418" t="e">
        <f t="shared" si="163"/>
        <v>#N/A</v>
      </c>
      <c r="T1418" t="str">
        <f t="shared" si="159"/>
        <v/>
      </c>
    </row>
    <row r="1419" spans="2:20" x14ac:dyDescent="0.55000000000000004">
      <c r="B1419" s="15" t="str">
        <f t="shared" si="157"/>
        <v>_2</v>
      </c>
      <c r="E1419">
        <v>2</v>
      </c>
      <c r="G1419" t="e">
        <f t="shared" si="158"/>
        <v>#N/A</v>
      </c>
      <c r="H1419" t="e">
        <f t="shared" si="160"/>
        <v>#N/A</v>
      </c>
      <c r="I1419" t="e">
        <f t="shared" si="161"/>
        <v>#N/A</v>
      </c>
      <c r="J1419" t="e">
        <f t="shared" si="162"/>
        <v>#N/A</v>
      </c>
      <c r="K1419" t="e">
        <f t="shared" si="163"/>
        <v>#N/A</v>
      </c>
      <c r="T1419" t="str">
        <f t="shared" si="159"/>
        <v/>
      </c>
    </row>
    <row r="1420" spans="2:20" x14ac:dyDescent="0.55000000000000004">
      <c r="B1420" s="15" t="str">
        <f t="shared" si="157"/>
        <v>_2</v>
      </c>
      <c r="E1420">
        <v>2</v>
      </c>
      <c r="G1420" t="e">
        <f t="shared" si="158"/>
        <v>#N/A</v>
      </c>
      <c r="H1420" t="e">
        <f t="shared" si="160"/>
        <v>#N/A</v>
      </c>
      <c r="I1420" t="e">
        <f t="shared" si="161"/>
        <v>#N/A</v>
      </c>
      <c r="J1420" t="e">
        <f t="shared" si="162"/>
        <v>#N/A</v>
      </c>
      <c r="K1420" t="e">
        <f t="shared" si="163"/>
        <v>#N/A</v>
      </c>
      <c r="T1420" t="str">
        <f t="shared" si="159"/>
        <v/>
      </c>
    </row>
    <row r="1421" spans="2:20" x14ac:dyDescent="0.55000000000000004">
      <c r="B1421" s="15" t="str">
        <f t="shared" si="157"/>
        <v>_2</v>
      </c>
      <c r="E1421">
        <v>2</v>
      </c>
      <c r="G1421" t="e">
        <f t="shared" si="158"/>
        <v>#N/A</v>
      </c>
      <c r="H1421" t="e">
        <f t="shared" si="160"/>
        <v>#N/A</v>
      </c>
      <c r="I1421" t="e">
        <f t="shared" si="161"/>
        <v>#N/A</v>
      </c>
      <c r="J1421" t="e">
        <f t="shared" si="162"/>
        <v>#N/A</v>
      </c>
      <c r="K1421" t="e">
        <f t="shared" si="163"/>
        <v>#N/A</v>
      </c>
      <c r="T1421" t="str">
        <f t="shared" si="159"/>
        <v/>
      </c>
    </row>
    <row r="1422" spans="2:20" x14ac:dyDescent="0.55000000000000004">
      <c r="B1422" s="15" t="str">
        <f t="shared" si="157"/>
        <v>_2</v>
      </c>
      <c r="E1422">
        <v>2</v>
      </c>
      <c r="G1422" t="e">
        <f t="shared" si="158"/>
        <v>#N/A</v>
      </c>
      <c r="H1422" t="e">
        <f t="shared" si="160"/>
        <v>#N/A</v>
      </c>
      <c r="I1422" t="e">
        <f t="shared" si="161"/>
        <v>#N/A</v>
      </c>
      <c r="J1422" t="e">
        <f t="shared" si="162"/>
        <v>#N/A</v>
      </c>
      <c r="K1422" t="e">
        <f t="shared" si="163"/>
        <v>#N/A</v>
      </c>
      <c r="T1422" t="str">
        <f t="shared" si="159"/>
        <v/>
      </c>
    </row>
    <row r="1423" spans="2:20" x14ac:dyDescent="0.55000000000000004">
      <c r="B1423" s="15" t="str">
        <f t="shared" si="157"/>
        <v>_2</v>
      </c>
      <c r="E1423">
        <v>2</v>
      </c>
      <c r="G1423" t="e">
        <f t="shared" si="158"/>
        <v>#N/A</v>
      </c>
      <c r="H1423" t="e">
        <f t="shared" si="160"/>
        <v>#N/A</v>
      </c>
      <c r="I1423" t="e">
        <f t="shared" si="161"/>
        <v>#N/A</v>
      </c>
      <c r="J1423" t="e">
        <f t="shared" si="162"/>
        <v>#N/A</v>
      </c>
      <c r="K1423" t="e">
        <f t="shared" si="163"/>
        <v>#N/A</v>
      </c>
      <c r="T1423" t="str">
        <f t="shared" si="159"/>
        <v/>
      </c>
    </row>
    <row r="1424" spans="2:20" x14ac:dyDescent="0.55000000000000004">
      <c r="B1424" s="15" t="str">
        <f t="shared" si="157"/>
        <v>_2</v>
      </c>
      <c r="E1424">
        <v>2</v>
      </c>
      <c r="G1424" t="e">
        <f t="shared" si="158"/>
        <v>#N/A</v>
      </c>
      <c r="H1424" t="e">
        <f t="shared" si="160"/>
        <v>#N/A</v>
      </c>
      <c r="I1424" t="e">
        <f t="shared" si="161"/>
        <v>#N/A</v>
      </c>
      <c r="J1424" t="e">
        <f t="shared" si="162"/>
        <v>#N/A</v>
      </c>
      <c r="K1424" t="e">
        <f t="shared" si="163"/>
        <v>#N/A</v>
      </c>
      <c r="T1424" t="str">
        <f t="shared" si="159"/>
        <v/>
      </c>
    </row>
    <row r="1425" spans="2:20" x14ac:dyDescent="0.55000000000000004">
      <c r="B1425" s="15" t="str">
        <f t="shared" si="157"/>
        <v>_2</v>
      </c>
      <c r="E1425">
        <v>2</v>
      </c>
      <c r="G1425" t="e">
        <f t="shared" si="158"/>
        <v>#N/A</v>
      </c>
      <c r="H1425" t="e">
        <f t="shared" si="160"/>
        <v>#N/A</v>
      </c>
      <c r="I1425" t="e">
        <f t="shared" si="161"/>
        <v>#N/A</v>
      </c>
      <c r="J1425" t="e">
        <f t="shared" si="162"/>
        <v>#N/A</v>
      </c>
      <c r="K1425" t="e">
        <f t="shared" si="163"/>
        <v>#N/A</v>
      </c>
      <c r="T1425" t="str">
        <f t="shared" si="159"/>
        <v/>
      </c>
    </row>
    <row r="1426" spans="2:20" x14ac:dyDescent="0.55000000000000004">
      <c r="B1426" s="15" t="str">
        <f t="shared" si="157"/>
        <v>_2</v>
      </c>
      <c r="E1426">
        <v>2</v>
      </c>
      <c r="G1426" t="e">
        <f t="shared" si="158"/>
        <v>#N/A</v>
      </c>
      <c r="H1426" t="e">
        <f t="shared" si="160"/>
        <v>#N/A</v>
      </c>
      <c r="I1426" t="e">
        <f t="shared" si="161"/>
        <v>#N/A</v>
      </c>
      <c r="J1426" t="e">
        <f t="shared" si="162"/>
        <v>#N/A</v>
      </c>
      <c r="K1426" t="e">
        <f t="shared" si="163"/>
        <v>#N/A</v>
      </c>
      <c r="T1426" t="str">
        <f t="shared" si="159"/>
        <v/>
      </c>
    </row>
    <row r="1427" spans="2:20" x14ac:dyDescent="0.55000000000000004">
      <c r="B1427" s="15" t="str">
        <f t="shared" si="157"/>
        <v>_2</v>
      </c>
      <c r="E1427">
        <v>2</v>
      </c>
      <c r="G1427" t="e">
        <f t="shared" si="158"/>
        <v>#N/A</v>
      </c>
      <c r="H1427" t="e">
        <f t="shared" si="160"/>
        <v>#N/A</v>
      </c>
      <c r="I1427" t="e">
        <f t="shared" si="161"/>
        <v>#N/A</v>
      </c>
      <c r="J1427" t="e">
        <f t="shared" si="162"/>
        <v>#N/A</v>
      </c>
      <c r="K1427" t="e">
        <f t="shared" si="163"/>
        <v>#N/A</v>
      </c>
      <c r="T1427" t="str">
        <f t="shared" si="159"/>
        <v/>
      </c>
    </row>
    <row r="1428" spans="2:20" x14ac:dyDescent="0.55000000000000004">
      <c r="B1428" s="15" t="str">
        <f t="shared" si="157"/>
        <v>_2</v>
      </c>
      <c r="E1428">
        <v>2</v>
      </c>
      <c r="G1428" t="e">
        <f t="shared" si="158"/>
        <v>#N/A</v>
      </c>
      <c r="H1428" t="e">
        <f t="shared" si="160"/>
        <v>#N/A</v>
      </c>
      <c r="I1428" t="e">
        <f t="shared" si="161"/>
        <v>#N/A</v>
      </c>
      <c r="J1428" t="e">
        <f t="shared" si="162"/>
        <v>#N/A</v>
      </c>
      <c r="K1428" t="e">
        <f t="shared" si="163"/>
        <v>#N/A</v>
      </c>
      <c r="T1428" t="str">
        <f t="shared" si="159"/>
        <v/>
      </c>
    </row>
    <row r="1429" spans="2:20" x14ac:dyDescent="0.55000000000000004">
      <c r="B1429" s="15" t="str">
        <f t="shared" si="157"/>
        <v>_2</v>
      </c>
      <c r="E1429">
        <v>2</v>
      </c>
      <c r="G1429" t="e">
        <f t="shared" si="158"/>
        <v>#N/A</v>
      </c>
      <c r="H1429" t="e">
        <f t="shared" si="160"/>
        <v>#N/A</v>
      </c>
      <c r="I1429" t="e">
        <f t="shared" si="161"/>
        <v>#N/A</v>
      </c>
      <c r="J1429" t="e">
        <f t="shared" si="162"/>
        <v>#N/A</v>
      </c>
      <c r="K1429" t="e">
        <f t="shared" si="163"/>
        <v>#N/A</v>
      </c>
      <c r="T1429" t="str">
        <f t="shared" si="159"/>
        <v/>
      </c>
    </row>
    <row r="1430" spans="2:20" x14ac:dyDescent="0.55000000000000004">
      <c r="B1430" s="15" t="str">
        <f t="shared" si="157"/>
        <v>_2</v>
      </c>
      <c r="E1430">
        <v>2</v>
      </c>
      <c r="G1430" t="e">
        <f t="shared" si="158"/>
        <v>#N/A</v>
      </c>
      <c r="H1430" t="e">
        <f t="shared" si="160"/>
        <v>#N/A</v>
      </c>
      <c r="I1430" t="e">
        <f t="shared" si="161"/>
        <v>#N/A</v>
      </c>
      <c r="J1430" t="e">
        <f t="shared" si="162"/>
        <v>#N/A</v>
      </c>
      <c r="K1430" t="e">
        <f t="shared" si="163"/>
        <v>#N/A</v>
      </c>
      <c r="T1430" t="str">
        <f t="shared" si="159"/>
        <v/>
      </c>
    </row>
    <row r="1431" spans="2:20" x14ac:dyDescent="0.55000000000000004">
      <c r="B1431" s="15" t="str">
        <f t="shared" si="157"/>
        <v>_2</v>
      </c>
      <c r="E1431">
        <v>2</v>
      </c>
      <c r="G1431" t="e">
        <f t="shared" si="158"/>
        <v>#N/A</v>
      </c>
      <c r="H1431" t="e">
        <f t="shared" si="160"/>
        <v>#N/A</v>
      </c>
      <c r="I1431" t="e">
        <f t="shared" si="161"/>
        <v>#N/A</v>
      </c>
      <c r="J1431" t="e">
        <f t="shared" si="162"/>
        <v>#N/A</v>
      </c>
      <c r="K1431" t="e">
        <f t="shared" si="163"/>
        <v>#N/A</v>
      </c>
      <c r="T1431" t="str">
        <f t="shared" si="159"/>
        <v/>
      </c>
    </row>
    <row r="1432" spans="2:20" x14ac:dyDescent="0.55000000000000004">
      <c r="B1432" s="15" t="str">
        <f t="shared" si="157"/>
        <v>_2</v>
      </c>
      <c r="E1432">
        <v>2</v>
      </c>
      <c r="G1432" t="e">
        <f t="shared" si="158"/>
        <v>#N/A</v>
      </c>
      <c r="H1432" t="e">
        <f t="shared" si="160"/>
        <v>#N/A</v>
      </c>
      <c r="I1432" t="e">
        <f t="shared" si="161"/>
        <v>#N/A</v>
      </c>
      <c r="J1432" t="e">
        <f t="shared" si="162"/>
        <v>#N/A</v>
      </c>
      <c r="K1432" t="e">
        <f t="shared" si="163"/>
        <v>#N/A</v>
      </c>
      <c r="T1432" t="str">
        <f t="shared" si="159"/>
        <v/>
      </c>
    </row>
    <row r="1433" spans="2:20" x14ac:dyDescent="0.55000000000000004">
      <c r="B1433" s="15" t="str">
        <f t="shared" si="157"/>
        <v>_2</v>
      </c>
      <c r="E1433">
        <v>2</v>
      </c>
      <c r="G1433" t="e">
        <f t="shared" si="158"/>
        <v>#N/A</v>
      </c>
      <c r="H1433" t="e">
        <f t="shared" si="160"/>
        <v>#N/A</v>
      </c>
      <c r="I1433" t="e">
        <f t="shared" si="161"/>
        <v>#N/A</v>
      </c>
      <c r="J1433" t="e">
        <f t="shared" si="162"/>
        <v>#N/A</v>
      </c>
      <c r="K1433" t="e">
        <f t="shared" si="163"/>
        <v>#N/A</v>
      </c>
      <c r="T1433" t="str">
        <f t="shared" si="159"/>
        <v/>
      </c>
    </row>
    <row r="1434" spans="2:20" x14ac:dyDescent="0.55000000000000004">
      <c r="B1434" s="15" t="str">
        <f t="shared" si="157"/>
        <v>_2</v>
      </c>
      <c r="E1434">
        <v>2</v>
      </c>
      <c r="G1434" t="e">
        <f t="shared" si="158"/>
        <v>#N/A</v>
      </c>
      <c r="H1434" t="e">
        <f t="shared" si="160"/>
        <v>#N/A</v>
      </c>
      <c r="I1434" t="e">
        <f t="shared" si="161"/>
        <v>#N/A</v>
      </c>
      <c r="J1434" t="e">
        <f t="shared" si="162"/>
        <v>#N/A</v>
      </c>
      <c r="K1434" t="e">
        <f t="shared" si="163"/>
        <v>#N/A</v>
      </c>
      <c r="T1434" t="str">
        <f t="shared" si="159"/>
        <v/>
      </c>
    </row>
    <row r="1435" spans="2:20" x14ac:dyDescent="0.55000000000000004">
      <c r="B1435" s="15" t="str">
        <f t="shared" si="157"/>
        <v>_2</v>
      </c>
      <c r="E1435">
        <v>2</v>
      </c>
      <c r="G1435" t="e">
        <f t="shared" si="158"/>
        <v>#N/A</v>
      </c>
      <c r="H1435" t="e">
        <f t="shared" si="160"/>
        <v>#N/A</v>
      </c>
      <c r="I1435" t="e">
        <f t="shared" si="161"/>
        <v>#N/A</v>
      </c>
      <c r="J1435" t="e">
        <f t="shared" si="162"/>
        <v>#N/A</v>
      </c>
      <c r="K1435" t="e">
        <f t="shared" si="163"/>
        <v>#N/A</v>
      </c>
      <c r="T1435" t="str">
        <f t="shared" si="159"/>
        <v/>
      </c>
    </row>
    <row r="1436" spans="2:20" x14ac:dyDescent="0.55000000000000004">
      <c r="B1436" s="15" t="str">
        <f t="shared" si="157"/>
        <v>_2</v>
      </c>
      <c r="E1436">
        <v>2</v>
      </c>
      <c r="G1436" t="e">
        <f t="shared" si="158"/>
        <v>#N/A</v>
      </c>
      <c r="H1436" t="e">
        <f t="shared" si="160"/>
        <v>#N/A</v>
      </c>
      <c r="I1436" t="e">
        <f t="shared" si="161"/>
        <v>#N/A</v>
      </c>
      <c r="J1436" t="e">
        <f t="shared" si="162"/>
        <v>#N/A</v>
      </c>
      <c r="K1436" t="e">
        <f t="shared" si="163"/>
        <v>#N/A</v>
      </c>
      <c r="T1436" t="str">
        <f t="shared" si="159"/>
        <v/>
      </c>
    </row>
    <row r="1437" spans="2:20" x14ac:dyDescent="0.55000000000000004">
      <c r="B1437" s="15" t="str">
        <f t="shared" si="157"/>
        <v>_2</v>
      </c>
      <c r="E1437">
        <v>2</v>
      </c>
      <c r="G1437" t="e">
        <f t="shared" si="158"/>
        <v>#N/A</v>
      </c>
      <c r="H1437" t="e">
        <f t="shared" si="160"/>
        <v>#N/A</v>
      </c>
      <c r="I1437" t="e">
        <f t="shared" si="161"/>
        <v>#N/A</v>
      </c>
      <c r="J1437" t="e">
        <f t="shared" si="162"/>
        <v>#N/A</v>
      </c>
      <c r="K1437" t="e">
        <f t="shared" si="163"/>
        <v>#N/A</v>
      </c>
      <c r="T1437" t="str">
        <f t="shared" si="159"/>
        <v/>
      </c>
    </row>
    <row r="1438" spans="2:20" x14ac:dyDescent="0.55000000000000004">
      <c r="B1438" s="15" t="str">
        <f t="shared" ref="B1438:B1500" si="164">A1438 &amp; "_2"</f>
        <v>_2</v>
      </c>
      <c r="E1438">
        <v>2</v>
      </c>
      <c r="G1438" t="e">
        <f t="shared" si="158"/>
        <v>#N/A</v>
      </c>
      <c r="H1438" t="e">
        <f t="shared" si="160"/>
        <v>#N/A</v>
      </c>
      <c r="I1438" t="e">
        <f t="shared" si="161"/>
        <v>#N/A</v>
      </c>
      <c r="J1438" t="e">
        <f t="shared" si="162"/>
        <v>#N/A</v>
      </c>
      <c r="K1438" t="e">
        <f t="shared" si="163"/>
        <v>#N/A</v>
      </c>
      <c r="T1438" t="str">
        <f t="shared" si="159"/>
        <v/>
      </c>
    </row>
    <row r="1439" spans="2:20" x14ac:dyDescent="0.55000000000000004">
      <c r="B1439" s="15" t="str">
        <f t="shared" si="164"/>
        <v>_2</v>
      </c>
      <c r="E1439">
        <v>2</v>
      </c>
      <c r="G1439" t="e">
        <f t="shared" si="158"/>
        <v>#N/A</v>
      </c>
      <c r="H1439" t="e">
        <f t="shared" si="160"/>
        <v>#N/A</v>
      </c>
      <c r="I1439" t="e">
        <f t="shared" si="161"/>
        <v>#N/A</v>
      </c>
      <c r="J1439" t="e">
        <f t="shared" si="162"/>
        <v>#N/A</v>
      </c>
      <c r="K1439" t="e">
        <f t="shared" si="163"/>
        <v>#N/A</v>
      </c>
      <c r="T1439" t="str">
        <f t="shared" si="159"/>
        <v/>
      </c>
    </row>
    <row r="1440" spans="2:20" x14ac:dyDescent="0.55000000000000004">
      <c r="B1440" s="15" t="str">
        <f t="shared" si="164"/>
        <v>_2</v>
      </c>
      <c r="E1440">
        <v>2</v>
      </c>
      <c r="G1440" t="e">
        <f t="shared" si="158"/>
        <v>#N/A</v>
      </c>
      <c r="H1440" t="e">
        <f t="shared" si="160"/>
        <v>#N/A</v>
      </c>
      <c r="I1440" t="e">
        <f t="shared" si="161"/>
        <v>#N/A</v>
      </c>
      <c r="J1440" t="e">
        <f t="shared" si="162"/>
        <v>#N/A</v>
      </c>
      <c r="K1440" t="e">
        <f t="shared" si="163"/>
        <v>#N/A</v>
      </c>
      <c r="T1440" t="str">
        <f t="shared" si="159"/>
        <v/>
      </c>
    </row>
    <row r="1441" spans="2:20" x14ac:dyDescent="0.55000000000000004">
      <c r="B1441" s="15" t="str">
        <f t="shared" si="164"/>
        <v>_2</v>
      </c>
      <c r="E1441">
        <v>2</v>
      </c>
      <c r="G1441" t="e">
        <f t="shared" si="158"/>
        <v>#N/A</v>
      </c>
      <c r="H1441" t="e">
        <f t="shared" si="160"/>
        <v>#N/A</v>
      </c>
      <c r="I1441" t="e">
        <f t="shared" si="161"/>
        <v>#N/A</v>
      </c>
      <c r="J1441" t="e">
        <f t="shared" si="162"/>
        <v>#N/A</v>
      </c>
      <c r="K1441" t="e">
        <f t="shared" si="163"/>
        <v>#N/A</v>
      </c>
      <c r="T1441" t="str">
        <f t="shared" si="159"/>
        <v/>
      </c>
    </row>
    <row r="1442" spans="2:20" x14ac:dyDescent="0.55000000000000004">
      <c r="B1442" s="15" t="str">
        <f t="shared" si="164"/>
        <v>_2</v>
      </c>
      <c r="E1442">
        <v>2</v>
      </c>
      <c r="G1442" t="e">
        <f t="shared" si="158"/>
        <v>#N/A</v>
      </c>
      <c r="H1442" t="e">
        <f t="shared" si="160"/>
        <v>#N/A</v>
      </c>
      <c r="I1442" t="e">
        <f t="shared" si="161"/>
        <v>#N/A</v>
      </c>
      <c r="J1442" t="e">
        <f t="shared" si="162"/>
        <v>#N/A</v>
      </c>
      <c r="K1442" t="e">
        <f t="shared" si="163"/>
        <v>#N/A</v>
      </c>
      <c r="T1442" t="str">
        <f t="shared" si="159"/>
        <v/>
      </c>
    </row>
    <row r="1443" spans="2:20" x14ac:dyDescent="0.55000000000000004">
      <c r="B1443" s="15" t="str">
        <f t="shared" si="164"/>
        <v>_2</v>
      </c>
      <c r="E1443">
        <v>2</v>
      </c>
      <c r="G1443" t="e">
        <f t="shared" si="158"/>
        <v>#N/A</v>
      </c>
      <c r="H1443" t="e">
        <f t="shared" si="160"/>
        <v>#N/A</v>
      </c>
      <c r="I1443" t="e">
        <f t="shared" si="161"/>
        <v>#N/A</v>
      </c>
      <c r="J1443" t="e">
        <f t="shared" si="162"/>
        <v>#N/A</v>
      </c>
      <c r="K1443" t="e">
        <f t="shared" si="163"/>
        <v>#N/A</v>
      </c>
      <c r="T1443" t="str">
        <f t="shared" si="159"/>
        <v/>
      </c>
    </row>
    <row r="1444" spans="2:20" x14ac:dyDescent="0.55000000000000004">
      <c r="B1444" s="15" t="str">
        <f t="shared" si="164"/>
        <v>_2</v>
      </c>
      <c r="E1444">
        <v>2</v>
      </c>
      <c r="G1444" t="e">
        <f t="shared" si="158"/>
        <v>#N/A</v>
      </c>
      <c r="H1444" t="e">
        <f t="shared" si="160"/>
        <v>#N/A</v>
      </c>
      <c r="I1444" t="e">
        <f t="shared" si="161"/>
        <v>#N/A</v>
      </c>
      <c r="J1444" t="e">
        <f t="shared" si="162"/>
        <v>#N/A</v>
      </c>
      <c r="K1444" t="e">
        <f t="shared" si="163"/>
        <v>#N/A</v>
      </c>
      <c r="T1444" t="str">
        <f t="shared" si="159"/>
        <v/>
      </c>
    </row>
    <row r="1445" spans="2:20" x14ac:dyDescent="0.55000000000000004">
      <c r="B1445" s="15" t="str">
        <f t="shared" si="164"/>
        <v>_2</v>
      </c>
      <c r="E1445">
        <v>2</v>
      </c>
      <c r="G1445" t="e">
        <f t="shared" si="158"/>
        <v>#N/A</v>
      </c>
      <c r="H1445" t="e">
        <f t="shared" si="160"/>
        <v>#N/A</v>
      </c>
      <c r="I1445" t="e">
        <f t="shared" si="161"/>
        <v>#N/A</v>
      </c>
      <c r="J1445" t="e">
        <f t="shared" si="162"/>
        <v>#N/A</v>
      </c>
      <c r="K1445" t="e">
        <f t="shared" si="163"/>
        <v>#N/A</v>
      </c>
      <c r="T1445" t="str">
        <f t="shared" si="159"/>
        <v/>
      </c>
    </row>
    <row r="1446" spans="2:20" x14ac:dyDescent="0.55000000000000004">
      <c r="B1446" s="15" t="str">
        <f t="shared" si="164"/>
        <v>_2</v>
      </c>
      <c r="E1446">
        <v>2</v>
      </c>
      <c r="G1446" t="e">
        <f t="shared" ref="G1446:G1500" si="165">VLOOKUP($F1446, $W$1:$AB$10, 2, FALSE)</f>
        <v>#N/A</v>
      </c>
      <c r="H1446" t="e">
        <f t="shared" si="160"/>
        <v>#N/A</v>
      </c>
      <c r="I1446" t="e">
        <f t="shared" si="161"/>
        <v>#N/A</v>
      </c>
      <c r="J1446" t="e">
        <f t="shared" si="162"/>
        <v>#N/A</v>
      </c>
      <c r="K1446" t="e">
        <f t="shared" si="163"/>
        <v>#N/A</v>
      </c>
      <c r="T1446" t="str">
        <f t="shared" si="159"/>
        <v/>
      </c>
    </row>
    <row r="1447" spans="2:20" x14ac:dyDescent="0.55000000000000004">
      <c r="B1447" s="15" t="str">
        <f t="shared" si="164"/>
        <v>_2</v>
      </c>
      <c r="E1447">
        <v>2</v>
      </c>
      <c r="G1447" t="e">
        <f t="shared" si="165"/>
        <v>#N/A</v>
      </c>
      <c r="H1447" t="e">
        <f t="shared" si="160"/>
        <v>#N/A</v>
      </c>
      <c r="I1447" t="e">
        <f t="shared" si="161"/>
        <v>#N/A</v>
      </c>
      <c r="J1447" t="e">
        <f t="shared" si="162"/>
        <v>#N/A</v>
      </c>
      <c r="K1447" t="e">
        <f t="shared" si="163"/>
        <v>#N/A</v>
      </c>
      <c r="T1447" t="str">
        <f t="shared" si="159"/>
        <v/>
      </c>
    </row>
    <row r="1448" spans="2:20" x14ac:dyDescent="0.55000000000000004">
      <c r="B1448" s="15" t="str">
        <f t="shared" si="164"/>
        <v>_2</v>
      </c>
      <c r="E1448">
        <v>2</v>
      </c>
      <c r="G1448" t="e">
        <f t="shared" si="165"/>
        <v>#N/A</v>
      </c>
      <c r="H1448" t="e">
        <f t="shared" si="160"/>
        <v>#N/A</v>
      </c>
      <c r="I1448" t="e">
        <f t="shared" si="161"/>
        <v>#N/A</v>
      </c>
      <c r="J1448" t="e">
        <f t="shared" si="162"/>
        <v>#N/A</v>
      </c>
      <c r="K1448" t="e">
        <f t="shared" si="163"/>
        <v>#N/A</v>
      </c>
      <c r="T1448" t="str">
        <f t="shared" si="159"/>
        <v/>
      </c>
    </row>
    <row r="1449" spans="2:20" x14ac:dyDescent="0.55000000000000004">
      <c r="B1449" s="15" t="str">
        <f t="shared" si="164"/>
        <v>_2</v>
      </c>
      <c r="E1449">
        <v>2</v>
      </c>
      <c r="G1449" t="e">
        <f t="shared" si="165"/>
        <v>#N/A</v>
      </c>
      <c r="H1449" t="e">
        <f t="shared" si="160"/>
        <v>#N/A</v>
      </c>
      <c r="I1449" t="e">
        <f t="shared" si="161"/>
        <v>#N/A</v>
      </c>
      <c r="J1449" t="e">
        <f t="shared" si="162"/>
        <v>#N/A</v>
      </c>
      <c r="K1449" t="e">
        <f t="shared" si="163"/>
        <v>#N/A</v>
      </c>
      <c r="T1449" t="str">
        <f t="shared" si="159"/>
        <v/>
      </c>
    </row>
    <row r="1450" spans="2:20" x14ac:dyDescent="0.55000000000000004">
      <c r="B1450" s="15" t="str">
        <f t="shared" si="164"/>
        <v>_2</v>
      </c>
      <c r="E1450">
        <v>2</v>
      </c>
      <c r="G1450" t="e">
        <f t="shared" si="165"/>
        <v>#N/A</v>
      </c>
      <c r="H1450" t="e">
        <f t="shared" si="160"/>
        <v>#N/A</v>
      </c>
      <c r="I1450" t="e">
        <f t="shared" si="161"/>
        <v>#N/A</v>
      </c>
      <c r="J1450" t="e">
        <f t="shared" si="162"/>
        <v>#N/A</v>
      </c>
      <c r="K1450" t="e">
        <f t="shared" si="163"/>
        <v>#N/A</v>
      </c>
      <c r="T1450" t="str">
        <f t="shared" si="159"/>
        <v/>
      </c>
    </row>
    <row r="1451" spans="2:20" x14ac:dyDescent="0.55000000000000004">
      <c r="B1451" s="15" t="str">
        <f t="shared" si="164"/>
        <v>_2</v>
      </c>
      <c r="E1451">
        <v>2</v>
      </c>
      <c r="G1451" t="e">
        <f t="shared" si="165"/>
        <v>#N/A</v>
      </c>
      <c r="H1451" t="e">
        <f t="shared" si="160"/>
        <v>#N/A</v>
      </c>
      <c r="I1451" t="e">
        <f t="shared" si="161"/>
        <v>#N/A</v>
      </c>
      <c r="J1451" t="e">
        <f t="shared" si="162"/>
        <v>#N/A</v>
      </c>
      <c r="K1451" t="e">
        <f t="shared" si="163"/>
        <v>#N/A</v>
      </c>
      <c r="T1451" t="str">
        <f t="shared" si="159"/>
        <v/>
      </c>
    </row>
    <row r="1452" spans="2:20" x14ac:dyDescent="0.55000000000000004">
      <c r="B1452" s="15" t="str">
        <f t="shared" si="164"/>
        <v>_2</v>
      </c>
      <c r="E1452">
        <v>2</v>
      </c>
      <c r="G1452" t="e">
        <f t="shared" si="165"/>
        <v>#N/A</v>
      </c>
      <c r="H1452" t="e">
        <f t="shared" si="160"/>
        <v>#N/A</v>
      </c>
      <c r="I1452" t="e">
        <f t="shared" si="161"/>
        <v>#N/A</v>
      </c>
      <c r="J1452" t="e">
        <f t="shared" si="162"/>
        <v>#N/A</v>
      </c>
      <c r="K1452" t="e">
        <f t="shared" si="163"/>
        <v>#N/A</v>
      </c>
      <c r="T1452" t="str">
        <f t="shared" si="159"/>
        <v/>
      </c>
    </row>
    <row r="1453" spans="2:20" x14ac:dyDescent="0.55000000000000004">
      <c r="B1453" s="15" t="str">
        <f t="shared" si="164"/>
        <v>_2</v>
      </c>
      <c r="E1453">
        <v>2</v>
      </c>
      <c r="G1453" t="e">
        <f t="shared" si="165"/>
        <v>#N/A</v>
      </c>
      <c r="H1453" t="e">
        <f t="shared" si="160"/>
        <v>#N/A</v>
      </c>
      <c r="I1453" t="e">
        <f t="shared" si="161"/>
        <v>#N/A</v>
      </c>
      <c r="J1453" t="e">
        <f t="shared" si="162"/>
        <v>#N/A</v>
      </c>
      <c r="K1453" t="e">
        <f t="shared" si="163"/>
        <v>#N/A</v>
      </c>
      <c r="T1453" t="str">
        <f t="shared" si="159"/>
        <v/>
      </c>
    </row>
    <row r="1454" spans="2:20" x14ac:dyDescent="0.55000000000000004">
      <c r="B1454" s="15" t="str">
        <f t="shared" si="164"/>
        <v>_2</v>
      </c>
      <c r="E1454">
        <v>2</v>
      </c>
      <c r="G1454" t="e">
        <f t="shared" si="165"/>
        <v>#N/A</v>
      </c>
      <c r="H1454" t="e">
        <f t="shared" si="160"/>
        <v>#N/A</v>
      </c>
      <c r="I1454" t="e">
        <f t="shared" si="161"/>
        <v>#N/A</v>
      </c>
      <c r="J1454" t="e">
        <f t="shared" si="162"/>
        <v>#N/A</v>
      </c>
      <c r="K1454" t="e">
        <f t="shared" si="163"/>
        <v>#N/A</v>
      </c>
      <c r="T1454" t="str">
        <f t="shared" si="159"/>
        <v/>
      </c>
    </row>
    <row r="1455" spans="2:20" x14ac:dyDescent="0.55000000000000004">
      <c r="B1455" s="15" t="str">
        <f t="shared" si="164"/>
        <v>_2</v>
      </c>
      <c r="E1455">
        <v>2</v>
      </c>
      <c r="G1455" t="e">
        <f t="shared" si="165"/>
        <v>#N/A</v>
      </c>
      <c r="H1455" t="e">
        <f t="shared" si="160"/>
        <v>#N/A</v>
      </c>
      <c r="I1455" t="e">
        <f t="shared" si="161"/>
        <v>#N/A</v>
      </c>
      <c r="J1455" t="e">
        <f t="shared" si="162"/>
        <v>#N/A</v>
      </c>
      <c r="K1455" t="e">
        <f t="shared" si="163"/>
        <v>#N/A</v>
      </c>
      <c r="T1455" t="str">
        <f t="shared" si="159"/>
        <v/>
      </c>
    </row>
    <row r="1456" spans="2:20" x14ac:dyDescent="0.55000000000000004">
      <c r="B1456" s="15" t="str">
        <f t="shared" si="164"/>
        <v>_2</v>
      </c>
      <c r="E1456">
        <v>2</v>
      </c>
      <c r="G1456" t="e">
        <f t="shared" si="165"/>
        <v>#N/A</v>
      </c>
      <c r="H1456" t="e">
        <f t="shared" si="160"/>
        <v>#N/A</v>
      </c>
      <c r="I1456" t="e">
        <f t="shared" si="161"/>
        <v>#N/A</v>
      </c>
      <c r="J1456" t="e">
        <f t="shared" si="162"/>
        <v>#N/A</v>
      </c>
      <c r="K1456" t="e">
        <f t="shared" si="163"/>
        <v>#N/A</v>
      </c>
      <c r="T1456" t="str">
        <f t="shared" si="159"/>
        <v/>
      </c>
    </row>
    <row r="1457" spans="2:20" x14ac:dyDescent="0.55000000000000004">
      <c r="B1457" s="15" t="str">
        <f t="shared" si="164"/>
        <v>_2</v>
      </c>
      <c r="E1457">
        <v>2</v>
      </c>
      <c r="G1457" t="e">
        <f t="shared" si="165"/>
        <v>#N/A</v>
      </c>
      <c r="H1457" t="e">
        <f t="shared" si="160"/>
        <v>#N/A</v>
      </c>
      <c r="I1457" t="e">
        <f t="shared" si="161"/>
        <v>#N/A</v>
      </c>
      <c r="J1457" t="e">
        <f t="shared" si="162"/>
        <v>#N/A</v>
      </c>
      <c r="K1457" t="e">
        <f t="shared" si="163"/>
        <v>#N/A</v>
      </c>
      <c r="T1457" t="str">
        <f t="shared" si="159"/>
        <v/>
      </c>
    </row>
    <row r="1458" spans="2:20" x14ac:dyDescent="0.55000000000000004">
      <c r="B1458" s="15" t="str">
        <f t="shared" si="164"/>
        <v>_2</v>
      </c>
      <c r="E1458">
        <v>2</v>
      </c>
      <c r="G1458" t="e">
        <f t="shared" si="165"/>
        <v>#N/A</v>
      </c>
      <c r="H1458" t="e">
        <f t="shared" si="160"/>
        <v>#N/A</v>
      </c>
      <c r="I1458" t="e">
        <f t="shared" si="161"/>
        <v>#N/A</v>
      </c>
      <c r="J1458" t="e">
        <f t="shared" si="162"/>
        <v>#N/A</v>
      </c>
      <c r="K1458" t="e">
        <f t="shared" si="163"/>
        <v>#N/A</v>
      </c>
      <c r="T1458" t="str">
        <f t="shared" si="159"/>
        <v/>
      </c>
    </row>
    <row r="1459" spans="2:20" x14ac:dyDescent="0.55000000000000004">
      <c r="B1459" s="15" t="str">
        <f t="shared" si="164"/>
        <v>_2</v>
      </c>
      <c r="E1459">
        <v>2</v>
      </c>
      <c r="G1459" t="e">
        <f t="shared" si="165"/>
        <v>#N/A</v>
      </c>
      <c r="H1459" t="e">
        <f t="shared" si="160"/>
        <v>#N/A</v>
      </c>
      <c r="I1459" t="e">
        <f t="shared" si="161"/>
        <v>#N/A</v>
      </c>
      <c r="J1459" t="e">
        <f t="shared" si="162"/>
        <v>#N/A</v>
      </c>
      <c r="K1459" t="e">
        <f t="shared" si="163"/>
        <v>#N/A</v>
      </c>
      <c r="T1459" t="str">
        <f t="shared" si="159"/>
        <v/>
      </c>
    </row>
    <row r="1460" spans="2:20" x14ac:dyDescent="0.55000000000000004">
      <c r="B1460" s="15" t="str">
        <f t="shared" si="164"/>
        <v>_2</v>
      </c>
      <c r="E1460">
        <v>2</v>
      </c>
      <c r="G1460" t="e">
        <f t="shared" si="165"/>
        <v>#N/A</v>
      </c>
      <c r="H1460" t="e">
        <f t="shared" si="160"/>
        <v>#N/A</v>
      </c>
      <c r="I1460" t="e">
        <f t="shared" si="161"/>
        <v>#N/A</v>
      </c>
      <c r="J1460" t="e">
        <f t="shared" si="162"/>
        <v>#N/A</v>
      </c>
      <c r="K1460" t="e">
        <f t="shared" si="163"/>
        <v>#N/A</v>
      </c>
      <c r="T1460" t="str">
        <f t="shared" ref="T1460:T1500" si="166">IF(S1460&lt;&gt;"", S1460*236.588, "")</f>
        <v/>
      </c>
    </row>
    <row r="1461" spans="2:20" x14ac:dyDescent="0.55000000000000004">
      <c r="B1461" s="15" t="str">
        <f t="shared" si="164"/>
        <v>_2</v>
      </c>
      <c r="E1461">
        <v>2</v>
      </c>
      <c r="G1461" t="e">
        <f t="shared" si="165"/>
        <v>#N/A</v>
      </c>
      <c r="H1461" t="e">
        <f t="shared" si="160"/>
        <v>#N/A</v>
      </c>
      <c r="I1461" t="e">
        <f t="shared" si="161"/>
        <v>#N/A</v>
      </c>
      <c r="J1461" t="e">
        <f t="shared" si="162"/>
        <v>#N/A</v>
      </c>
      <c r="K1461" t="e">
        <f t="shared" si="163"/>
        <v>#N/A</v>
      </c>
      <c r="T1461" t="str">
        <f t="shared" si="166"/>
        <v/>
      </c>
    </row>
    <row r="1462" spans="2:20" x14ac:dyDescent="0.55000000000000004">
      <c r="B1462" s="15" t="str">
        <f t="shared" si="164"/>
        <v>_2</v>
      </c>
      <c r="E1462">
        <v>2</v>
      </c>
      <c r="G1462" t="e">
        <f t="shared" si="165"/>
        <v>#N/A</v>
      </c>
      <c r="H1462" t="e">
        <f t="shared" si="160"/>
        <v>#N/A</v>
      </c>
      <c r="I1462" t="e">
        <f t="shared" si="161"/>
        <v>#N/A</v>
      </c>
      <c r="J1462" t="e">
        <f t="shared" si="162"/>
        <v>#N/A</v>
      </c>
      <c r="K1462" t="e">
        <f t="shared" si="163"/>
        <v>#N/A</v>
      </c>
      <c r="T1462" t="str">
        <f t="shared" si="166"/>
        <v/>
      </c>
    </row>
    <row r="1463" spans="2:20" x14ac:dyDescent="0.55000000000000004">
      <c r="B1463" s="15" t="str">
        <f t="shared" si="164"/>
        <v>_2</v>
      </c>
      <c r="E1463">
        <v>2</v>
      </c>
      <c r="G1463" t="e">
        <f t="shared" si="165"/>
        <v>#N/A</v>
      </c>
      <c r="H1463" t="e">
        <f t="shared" si="160"/>
        <v>#N/A</v>
      </c>
      <c r="I1463" t="e">
        <f t="shared" si="161"/>
        <v>#N/A</v>
      </c>
      <c r="J1463" t="e">
        <f t="shared" si="162"/>
        <v>#N/A</v>
      </c>
      <c r="K1463" t="e">
        <f t="shared" si="163"/>
        <v>#N/A</v>
      </c>
      <c r="T1463" t="str">
        <f t="shared" si="166"/>
        <v/>
      </c>
    </row>
    <row r="1464" spans="2:20" x14ac:dyDescent="0.55000000000000004">
      <c r="B1464" s="15" t="str">
        <f t="shared" si="164"/>
        <v>_2</v>
      </c>
      <c r="E1464">
        <v>2</v>
      </c>
      <c r="G1464" t="e">
        <f t="shared" si="165"/>
        <v>#N/A</v>
      </c>
      <c r="H1464" t="e">
        <f t="shared" si="160"/>
        <v>#N/A</v>
      </c>
      <c r="I1464" t="e">
        <f t="shared" si="161"/>
        <v>#N/A</v>
      </c>
      <c r="J1464" t="e">
        <f t="shared" si="162"/>
        <v>#N/A</v>
      </c>
      <c r="K1464" t="e">
        <f t="shared" si="163"/>
        <v>#N/A</v>
      </c>
      <c r="T1464" t="str">
        <f t="shared" si="166"/>
        <v/>
      </c>
    </row>
    <row r="1465" spans="2:20" x14ac:dyDescent="0.55000000000000004">
      <c r="B1465" s="15" t="str">
        <f t="shared" si="164"/>
        <v>_2</v>
      </c>
      <c r="E1465">
        <v>2</v>
      </c>
      <c r="G1465" t="e">
        <f t="shared" si="165"/>
        <v>#N/A</v>
      </c>
      <c r="H1465" t="e">
        <f t="shared" si="160"/>
        <v>#N/A</v>
      </c>
      <c r="I1465" t="e">
        <f t="shared" si="161"/>
        <v>#N/A</v>
      </c>
      <c r="J1465" t="e">
        <f t="shared" si="162"/>
        <v>#N/A</v>
      </c>
      <c r="K1465" t="e">
        <f t="shared" si="163"/>
        <v>#N/A</v>
      </c>
      <c r="T1465" t="str">
        <f t="shared" si="166"/>
        <v/>
      </c>
    </row>
    <row r="1466" spans="2:20" x14ac:dyDescent="0.55000000000000004">
      <c r="B1466" s="15" t="str">
        <f t="shared" si="164"/>
        <v>_2</v>
      </c>
      <c r="E1466">
        <v>2</v>
      </c>
      <c r="G1466" t="e">
        <f t="shared" si="165"/>
        <v>#N/A</v>
      </c>
      <c r="H1466" t="e">
        <f t="shared" si="160"/>
        <v>#N/A</v>
      </c>
      <c r="I1466" t="e">
        <f t="shared" si="161"/>
        <v>#N/A</v>
      </c>
      <c r="J1466" t="e">
        <f t="shared" si="162"/>
        <v>#N/A</v>
      </c>
      <c r="K1466" t="e">
        <f t="shared" si="163"/>
        <v>#N/A</v>
      </c>
      <c r="T1466" t="str">
        <f t="shared" si="166"/>
        <v/>
      </c>
    </row>
    <row r="1467" spans="2:20" x14ac:dyDescent="0.55000000000000004">
      <c r="B1467" s="15" t="str">
        <f t="shared" si="164"/>
        <v>_2</v>
      </c>
      <c r="E1467">
        <v>2</v>
      </c>
      <c r="G1467" t="e">
        <f t="shared" si="165"/>
        <v>#N/A</v>
      </c>
      <c r="H1467" t="e">
        <f t="shared" si="160"/>
        <v>#N/A</v>
      </c>
      <c r="I1467" t="e">
        <f t="shared" si="161"/>
        <v>#N/A</v>
      </c>
      <c r="J1467" t="e">
        <f t="shared" si="162"/>
        <v>#N/A</v>
      </c>
      <c r="K1467" t="e">
        <f t="shared" si="163"/>
        <v>#N/A</v>
      </c>
      <c r="T1467" t="str">
        <f t="shared" si="166"/>
        <v/>
      </c>
    </row>
    <row r="1468" spans="2:20" x14ac:dyDescent="0.55000000000000004">
      <c r="B1468" s="15" t="str">
        <f t="shared" si="164"/>
        <v>_2</v>
      </c>
      <c r="E1468">
        <v>2</v>
      </c>
      <c r="G1468" t="e">
        <f t="shared" si="165"/>
        <v>#N/A</v>
      </c>
      <c r="H1468" t="e">
        <f t="shared" si="160"/>
        <v>#N/A</v>
      </c>
      <c r="I1468" t="e">
        <f t="shared" si="161"/>
        <v>#N/A</v>
      </c>
      <c r="J1468" t="e">
        <f t="shared" si="162"/>
        <v>#N/A</v>
      </c>
      <c r="K1468" t="e">
        <f t="shared" si="163"/>
        <v>#N/A</v>
      </c>
      <c r="T1468" t="str">
        <f t="shared" si="166"/>
        <v/>
      </c>
    </row>
    <row r="1469" spans="2:20" x14ac:dyDescent="0.55000000000000004">
      <c r="B1469" s="15" t="str">
        <f t="shared" si="164"/>
        <v>_2</v>
      </c>
      <c r="E1469">
        <v>2</v>
      </c>
      <c r="G1469" t="e">
        <f t="shared" si="165"/>
        <v>#N/A</v>
      </c>
      <c r="H1469" t="e">
        <f t="shared" si="160"/>
        <v>#N/A</v>
      </c>
      <c r="I1469" t="e">
        <f t="shared" si="161"/>
        <v>#N/A</v>
      </c>
      <c r="J1469" t="e">
        <f t="shared" si="162"/>
        <v>#N/A</v>
      </c>
      <c r="K1469" t="e">
        <f t="shared" si="163"/>
        <v>#N/A</v>
      </c>
      <c r="T1469" t="str">
        <f t="shared" si="166"/>
        <v/>
      </c>
    </row>
    <row r="1470" spans="2:20" x14ac:dyDescent="0.55000000000000004">
      <c r="B1470" s="15" t="str">
        <f t="shared" si="164"/>
        <v>_2</v>
      </c>
      <c r="E1470">
        <v>2</v>
      </c>
      <c r="G1470" t="e">
        <f t="shared" si="165"/>
        <v>#N/A</v>
      </c>
      <c r="H1470" t="e">
        <f t="shared" si="160"/>
        <v>#N/A</v>
      </c>
      <c r="I1470" t="e">
        <f t="shared" si="161"/>
        <v>#N/A</v>
      </c>
      <c r="J1470" t="e">
        <f t="shared" si="162"/>
        <v>#N/A</v>
      </c>
      <c r="K1470" t="e">
        <f t="shared" si="163"/>
        <v>#N/A</v>
      </c>
      <c r="T1470" t="str">
        <f t="shared" si="166"/>
        <v/>
      </c>
    </row>
    <row r="1471" spans="2:20" x14ac:dyDescent="0.55000000000000004">
      <c r="B1471" s="15" t="str">
        <f t="shared" si="164"/>
        <v>_2</v>
      </c>
      <c r="E1471">
        <v>2</v>
      </c>
      <c r="G1471" t="e">
        <f t="shared" si="165"/>
        <v>#N/A</v>
      </c>
      <c r="H1471" t="e">
        <f t="shared" si="160"/>
        <v>#N/A</v>
      </c>
      <c r="I1471" t="e">
        <f t="shared" si="161"/>
        <v>#N/A</v>
      </c>
      <c r="J1471" t="e">
        <f t="shared" si="162"/>
        <v>#N/A</v>
      </c>
      <c r="K1471" t="e">
        <f t="shared" si="163"/>
        <v>#N/A</v>
      </c>
      <c r="T1471" t="str">
        <f t="shared" si="166"/>
        <v/>
      </c>
    </row>
    <row r="1472" spans="2:20" x14ac:dyDescent="0.55000000000000004">
      <c r="B1472" s="15" t="str">
        <f t="shared" si="164"/>
        <v>_2</v>
      </c>
      <c r="E1472">
        <v>2</v>
      </c>
      <c r="G1472" t="e">
        <f t="shared" si="165"/>
        <v>#N/A</v>
      </c>
      <c r="H1472" t="e">
        <f t="shared" si="160"/>
        <v>#N/A</v>
      </c>
      <c r="I1472" t="e">
        <f t="shared" si="161"/>
        <v>#N/A</v>
      </c>
      <c r="J1472" t="e">
        <f t="shared" si="162"/>
        <v>#N/A</v>
      </c>
      <c r="K1472" t="e">
        <f t="shared" si="163"/>
        <v>#N/A</v>
      </c>
      <c r="T1472" t="str">
        <f t="shared" si="166"/>
        <v/>
      </c>
    </row>
    <row r="1473" spans="2:20" x14ac:dyDescent="0.55000000000000004">
      <c r="B1473" s="15" t="str">
        <f t="shared" si="164"/>
        <v>_2</v>
      </c>
      <c r="E1473">
        <v>2</v>
      </c>
      <c r="G1473" t="e">
        <f t="shared" si="165"/>
        <v>#N/A</v>
      </c>
      <c r="H1473" t="e">
        <f t="shared" ref="H1473:H1500" si="167">VLOOKUP($F1473, $W$1:$AB$10, 3, FALSE)</f>
        <v>#N/A</v>
      </c>
      <c r="I1473" t="e">
        <f t="shared" ref="I1473:I1500" si="168">VLOOKUP($F1473, $W$1:$AB$10, 4, FALSE)</f>
        <v>#N/A</v>
      </c>
      <c r="J1473" t="e">
        <f t="shared" ref="J1473:J1500" si="169">VLOOKUP($F1473, $W$1:$AC$10, 5, FALSE)</f>
        <v>#N/A</v>
      </c>
      <c r="K1473" t="e">
        <f t="shared" ref="K1473:K1500" si="170">VLOOKUP($F1473, $W$1:$AB$10, 6, FALSE)</f>
        <v>#N/A</v>
      </c>
      <c r="T1473" t="str">
        <f t="shared" si="166"/>
        <v/>
      </c>
    </row>
    <row r="1474" spans="2:20" x14ac:dyDescent="0.55000000000000004">
      <c r="B1474" s="15" t="str">
        <f t="shared" si="164"/>
        <v>_2</v>
      </c>
      <c r="E1474">
        <v>2</v>
      </c>
      <c r="G1474" t="e">
        <f t="shared" si="165"/>
        <v>#N/A</v>
      </c>
      <c r="H1474" t="e">
        <f t="shared" si="167"/>
        <v>#N/A</v>
      </c>
      <c r="I1474" t="e">
        <f t="shared" si="168"/>
        <v>#N/A</v>
      </c>
      <c r="J1474" t="e">
        <f t="shared" si="169"/>
        <v>#N/A</v>
      </c>
      <c r="K1474" t="e">
        <f t="shared" si="170"/>
        <v>#N/A</v>
      </c>
      <c r="T1474" t="str">
        <f t="shared" si="166"/>
        <v/>
      </c>
    </row>
    <row r="1475" spans="2:20" x14ac:dyDescent="0.55000000000000004">
      <c r="B1475" s="15" t="str">
        <f t="shared" si="164"/>
        <v>_2</v>
      </c>
      <c r="E1475">
        <v>2</v>
      </c>
      <c r="G1475" t="e">
        <f t="shared" si="165"/>
        <v>#N/A</v>
      </c>
      <c r="H1475" t="e">
        <f t="shared" si="167"/>
        <v>#N/A</v>
      </c>
      <c r="I1475" t="e">
        <f t="shared" si="168"/>
        <v>#N/A</v>
      </c>
      <c r="J1475" t="e">
        <f t="shared" si="169"/>
        <v>#N/A</v>
      </c>
      <c r="K1475" t="e">
        <f t="shared" si="170"/>
        <v>#N/A</v>
      </c>
      <c r="T1475" t="str">
        <f t="shared" si="166"/>
        <v/>
      </c>
    </row>
    <row r="1476" spans="2:20" x14ac:dyDescent="0.55000000000000004">
      <c r="B1476" s="15" t="str">
        <f t="shared" si="164"/>
        <v>_2</v>
      </c>
      <c r="E1476">
        <v>2</v>
      </c>
      <c r="G1476" t="e">
        <f t="shared" si="165"/>
        <v>#N/A</v>
      </c>
      <c r="H1476" t="e">
        <f t="shared" si="167"/>
        <v>#N/A</v>
      </c>
      <c r="I1476" t="e">
        <f t="shared" si="168"/>
        <v>#N/A</v>
      </c>
      <c r="J1476" t="e">
        <f t="shared" si="169"/>
        <v>#N/A</v>
      </c>
      <c r="K1476" t="e">
        <f t="shared" si="170"/>
        <v>#N/A</v>
      </c>
      <c r="T1476" t="str">
        <f t="shared" si="166"/>
        <v/>
      </c>
    </row>
    <row r="1477" spans="2:20" x14ac:dyDescent="0.55000000000000004">
      <c r="B1477" s="15" t="str">
        <f t="shared" si="164"/>
        <v>_2</v>
      </c>
      <c r="E1477">
        <v>2</v>
      </c>
      <c r="G1477" t="e">
        <f t="shared" si="165"/>
        <v>#N/A</v>
      </c>
      <c r="H1477" t="e">
        <f t="shared" si="167"/>
        <v>#N/A</v>
      </c>
      <c r="I1477" t="e">
        <f t="shared" si="168"/>
        <v>#N/A</v>
      </c>
      <c r="J1477" t="e">
        <f t="shared" si="169"/>
        <v>#N/A</v>
      </c>
      <c r="K1477" t="e">
        <f t="shared" si="170"/>
        <v>#N/A</v>
      </c>
      <c r="T1477" t="str">
        <f t="shared" si="166"/>
        <v/>
      </c>
    </row>
    <row r="1478" spans="2:20" x14ac:dyDescent="0.55000000000000004">
      <c r="B1478" s="15" t="str">
        <f t="shared" si="164"/>
        <v>_2</v>
      </c>
      <c r="E1478">
        <v>2</v>
      </c>
      <c r="G1478" t="e">
        <f t="shared" si="165"/>
        <v>#N/A</v>
      </c>
      <c r="H1478" t="e">
        <f t="shared" si="167"/>
        <v>#N/A</v>
      </c>
      <c r="I1478" t="e">
        <f t="shared" si="168"/>
        <v>#N/A</v>
      </c>
      <c r="J1478" t="e">
        <f t="shared" si="169"/>
        <v>#N/A</v>
      </c>
      <c r="K1478" t="e">
        <f t="shared" si="170"/>
        <v>#N/A</v>
      </c>
      <c r="T1478" t="str">
        <f t="shared" si="166"/>
        <v/>
      </c>
    </row>
    <row r="1479" spans="2:20" x14ac:dyDescent="0.55000000000000004">
      <c r="B1479" s="15" t="str">
        <f t="shared" si="164"/>
        <v>_2</v>
      </c>
      <c r="E1479">
        <v>2</v>
      </c>
      <c r="G1479" t="e">
        <f t="shared" si="165"/>
        <v>#N/A</v>
      </c>
      <c r="H1479" t="e">
        <f t="shared" si="167"/>
        <v>#N/A</v>
      </c>
      <c r="I1479" t="e">
        <f t="shared" si="168"/>
        <v>#N/A</v>
      </c>
      <c r="J1479" t="e">
        <f t="shared" si="169"/>
        <v>#N/A</v>
      </c>
      <c r="K1479" t="e">
        <f t="shared" si="170"/>
        <v>#N/A</v>
      </c>
      <c r="T1479" t="str">
        <f t="shared" si="166"/>
        <v/>
      </c>
    </row>
    <row r="1480" spans="2:20" x14ac:dyDescent="0.55000000000000004">
      <c r="B1480" s="15" t="str">
        <f t="shared" si="164"/>
        <v>_2</v>
      </c>
      <c r="E1480">
        <v>2</v>
      </c>
      <c r="G1480" t="e">
        <f t="shared" si="165"/>
        <v>#N/A</v>
      </c>
      <c r="H1480" t="e">
        <f t="shared" si="167"/>
        <v>#N/A</v>
      </c>
      <c r="I1480" t="e">
        <f t="shared" si="168"/>
        <v>#N/A</v>
      </c>
      <c r="J1480" t="e">
        <f t="shared" si="169"/>
        <v>#N/A</v>
      </c>
      <c r="K1480" t="e">
        <f t="shared" si="170"/>
        <v>#N/A</v>
      </c>
      <c r="T1480" t="str">
        <f t="shared" si="166"/>
        <v/>
      </c>
    </row>
    <row r="1481" spans="2:20" x14ac:dyDescent="0.55000000000000004">
      <c r="B1481" s="15" t="str">
        <f t="shared" si="164"/>
        <v>_2</v>
      </c>
      <c r="E1481">
        <v>2</v>
      </c>
      <c r="G1481" t="e">
        <f t="shared" si="165"/>
        <v>#N/A</v>
      </c>
      <c r="H1481" t="e">
        <f t="shared" si="167"/>
        <v>#N/A</v>
      </c>
      <c r="I1481" t="e">
        <f t="shared" si="168"/>
        <v>#N/A</v>
      </c>
      <c r="J1481" t="e">
        <f t="shared" si="169"/>
        <v>#N/A</v>
      </c>
      <c r="K1481" t="e">
        <f t="shared" si="170"/>
        <v>#N/A</v>
      </c>
      <c r="T1481" t="str">
        <f t="shared" si="166"/>
        <v/>
      </c>
    </row>
    <row r="1482" spans="2:20" x14ac:dyDescent="0.55000000000000004">
      <c r="B1482" s="15" t="str">
        <f t="shared" si="164"/>
        <v>_2</v>
      </c>
      <c r="E1482">
        <v>2</v>
      </c>
      <c r="G1482" t="e">
        <f t="shared" si="165"/>
        <v>#N/A</v>
      </c>
      <c r="H1482" t="e">
        <f t="shared" si="167"/>
        <v>#N/A</v>
      </c>
      <c r="I1482" t="e">
        <f t="shared" si="168"/>
        <v>#N/A</v>
      </c>
      <c r="J1482" t="e">
        <f t="shared" si="169"/>
        <v>#N/A</v>
      </c>
      <c r="K1482" t="e">
        <f t="shared" si="170"/>
        <v>#N/A</v>
      </c>
      <c r="T1482" t="str">
        <f t="shared" si="166"/>
        <v/>
      </c>
    </row>
    <row r="1483" spans="2:20" x14ac:dyDescent="0.55000000000000004">
      <c r="B1483" s="15" t="str">
        <f t="shared" si="164"/>
        <v>_2</v>
      </c>
      <c r="E1483">
        <v>2</v>
      </c>
      <c r="G1483" t="e">
        <f t="shared" si="165"/>
        <v>#N/A</v>
      </c>
      <c r="H1483" t="e">
        <f t="shared" si="167"/>
        <v>#N/A</v>
      </c>
      <c r="I1483" t="e">
        <f t="shared" si="168"/>
        <v>#N/A</v>
      </c>
      <c r="J1483" t="e">
        <f t="shared" si="169"/>
        <v>#N/A</v>
      </c>
      <c r="K1483" t="e">
        <f t="shared" si="170"/>
        <v>#N/A</v>
      </c>
      <c r="T1483" t="str">
        <f t="shared" si="166"/>
        <v/>
      </c>
    </row>
    <row r="1484" spans="2:20" x14ac:dyDescent="0.55000000000000004">
      <c r="B1484" s="15" t="str">
        <f t="shared" si="164"/>
        <v>_2</v>
      </c>
      <c r="E1484">
        <v>2</v>
      </c>
      <c r="G1484" t="e">
        <f t="shared" si="165"/>
        <v>#N/A</v>
      </c>
      <c r="H1484" t="e">
        <f t="shared" si="167"/>
        <v>#N/A</v>
      </c>
      <c r="I1484" t="e">
        <f t="shared" si="168"/>
        <v>#N/A</v>
      </c>
      <c r="J1484" t="e">
        <f t="shared" si="169"/>
        <v>#N/A</v>
      </c>
      <c r="K1484" t="e">
        <f t="shared" si="170"/>
        <v>#N/A</v>
      </c>
      <c r="T1484" t="str">
        <f t="shared" si="166"/>
        <v/>
      </c>
    </row>
    <row r="1485" spans="2:20" x14ac:dyDescent="0.55000000000000004">
      <c r="B1485" s="15" t="str">
        <f t="shared" si="164"/>
        <v>_2</v>
      </c>
      <c r="E1485">
        <v>2</v>
      </c>
      <c r="G1485" t="e">
        <f t="shared" si="165"/>
        <v>#N/A</v>
      </c>
      <c r="H1485" t="e">
        <f t="shared" si="167"/>
        <v>#N/A</v>
      </c>
      <c r="I1485" t="e">
        <f t="shared" si="168"/>
        <v>#N/A</v>
      </c>
      <c r="J1485" t="e">
        <f t="shared" si="169"/>
        <v>#N/A</v>
      </c>
      <c r="K1485" t="e">
        <f t="shared" si="170"/>
        <v>#N/A</v>
      </c>
      <c r="T1485" t="str">
        <f t="shared" si="166"/>
        <v/>
      </c>
    </row>
    <row r="1486" spans="2:20" x14ac:dyDescent="0.55000000000000004">
      <c r="B1486" s="15" t="str">
        <f t="shared" si="164"/>
        <v>_2</v>
      </c>
      <c r="E1486">
        <v>2</v>
      </c>
      <c r="G1486" t="e">
        <f t="shared" si="165"/>
        <v>#N/A</v>
      </c>
      <c r="H1486" t="e">
        <f t="shared" si="167"/>
        <v>#N/A</v>
      </c>
      <c r="I1486" t="e">
        <f t="shared" si="168"/>
        <v>#N/A</v>
      </c>
      <c r="J1486" t="e">
        <f t="shared" si="169"/>
        <v>#N/A</v>
      </c>
      <c r="K1486" t="e">
        <f t="shared" si="170"/>
        <v>#N/A</v>
      </c>
      <c r="T1486" t="str">
        <f t="shared" si="166"/>
        <v/>
      </c>
    </row>
    <row r="1487" spans="2:20" x14ac:dyDescent="0.55000000000000004">
      <c r="B1487" s="15" t="str">
        <f t="shared" si="164"/>
        <v>_2</v>
      </c>
      <c r="E1487">
        <v>2</v>
      </c>
      <c r="G1487" t="e">
        <f t="shared" si="165"/>
        <v>#N/A</v>
      </c>
      <c r="H1487" t="e">
        <f t="shared" si="167"/>
        <v>#N/A</v>
      </c>
      <c r="I1487" t="e">
        <f t="shared" si="168"/>
        <v>#N/A</v>
      </c>
      <c r="J1487" t="e">
        <f t="shared" si="169"/>
        <v>#N/A</v>
      </c>
      <c r="K1487" t="e">
        <f t="shared" si="170"/>
        <v>#N/A</v>
      </c>
      <c r="T1487" t="str">
        <f t="shared" si="166"/>
        <v/>
      </c>
    </row>
    <row r="1488" spans="2:20" x14ac:dyDescent="0.55000000000000004">
      <c r="B1488" s="15" t="str">
        <f t="shared" si="164"/>
        <v>_2</v>
      </c>
      <c r="E1488">
        <v>2</v>
      </c>
      <c r="G1488" t="e">
        <f t="shared" si="165"/>
        <v>#N/A</v>
      </c>
      <c r="H1488" t="e">
        <f t="shared" si="167"/>
        <v>#N/A</v>
      </c>
      <c r="I1488" t="e">
        <f t="shared" si="168"/>
        <v>#N/A</v>
      </c>
      <c r="J1488" t="e">
        <f t="shared" si="169"/>
        <v>#N/A</v>
      </c>
      <c r="K1488" t="e">
        <f t="shared" si="170"/>
        <v>#N/A</v>
      </c>
      <c r="T1488" t="str">
        <f t="shared" si="166"/>
        <v/>
      </c>
    </row>
    <row r="1489" spans="2:20" x14ac:dyDescent="0.55000000000000004">
      <c r="B1489" s="15" t="str">
        <f t="shared" si="164"/>
        <v>_2</v>
      </c>
      <c r="E1489">
        <v>2</v>
      </c>
      <c r="G1489" t="e">
        <f t="shared" si="165"/>
        <v>#N/A</v>
      </c>
      <c r="H1489" t="e">
        <f t="shared" si="167"/>
        <v>#N/A</v>
      </c>
      <c r="I1489" t="e">
        <f t="shared" si="168"/>
        <v>#N/A</v>
      </c>
      <c r="J1489" t="e">
        <f t="shared" si="169"/>
        <v>#N/A</v>
      </c>
      <c r="K1489" t="e">
        <f t="shared" si="170"/>
        <v>#N/A</v>
      </c>
      <c r="T1489" t="str">
        <f t="shared" si="166"/>
        <v/>
      </c>
    </row>
    <row r="1490" spans="2:20" x14ac:dyDescent="0.55000000000000004">
      <c r="B1490" s="15" t="str">
        <f t="shared" si="164"/>
        <v>_2</v>
      </c>
      <c r="E1490">
        <v>2</v>
      </c>
      <c r="G1490" t="e">
        <f t="shared" si="165"/>
        <v>#N/A</v>
      </c>
      <c r="H1490" t="e">
        <f t="shared" si="167"/>
        <v>#N/A</v>
      </c>
      <c r="I1490" t="e">
        <f t="shared" si="168"/>
        <v>#N/A</v>
      </c>
      <c r="J1490" t="e">
        <f t="shared" si="169"/>
        <v>#N/A</v>
      </c>
      <c r="K1490" t="e">
        <f t="shared" si="170"/>
        <v>#N/A</v>
      </c>
      <c r="T1490" t="str">
        <f t="shared" si="166"/>
        <v/>
      </c>
    </row>
    <row r="1491" spans="2:20" x14ac:dyDescent="0.55000000000000004">
      <c r="B1491" s="15" t="str">
        <f t="shared" si="164"/>
        <v>_2</v>
      </c>
      <c r="E1491">
        <v>2</v>
      </c>
      <c r="G1491" t="e">
        <f t="shared" si="165"/>
        <v>#N/A</v>
      </c>
      <c r="H1491" t="e">
        <f t="shared" si="167"/>
        <v>#N/A</v>
      </c>
      <c r="I1491" t="e">
        <f t="shared" si="168"/>
        <v>#N/A</v>
      </c>
      <c r="J1491" t="e">
        <f t="shared" si="169"/>
        <v>#N/A</v>
      </c>
      <c r="K1491" t="e">
        <f t="shared" si="170"/>
        <v>#N/A</v>
      </c>
      <c r="T1491" t="str">
        <f t="shared" si="166"/>
        <v/>
      </c>
    </row>
    <row r="1492" spans="2:20" x14ac:dyDescent="0.55000000000000004">
      <c r="B1492" s="15" t="str">
        <f t="shared" si="164"/>
        <v>_2</v>
      </c>
      <c r="E1492">
        <v>2</v>
      </c>
      <c r="G1492" t="e">
        <f t="shared" si="165"/>
        <v>#N/A</v>
      </c>
      <c r="H1492" t="e">
        <f t="shared" si="167"/>
        <v>#N/A</v>
      </c>
      <c r="I1492" t="e">
        <f t="shared" si="168"/>
        <v>#N/A</v>
      </c>
      <c r="J1492" t="e">
        <f t="shared" si="169"/>
        <v>#N/A</v>
      </c>
      <c r="K1492" t="e">
        <f t="shared" si="170"/>
        <v>#N/A</v>
      </c>
      <c r="T1492" t="str">
        <f t="shared" si="166"/>
        <v/>
      </c>
    </row>
    <row r="1493" spans="2:20" x14ac:dyDescent="0.55000000000000004">
      <c r="B1493" s="15" t="str">
        <f t="shared" si="164"/>
        <v>_2</v>
      </c>
      <c r="E1493">
        <v>2</v>
      </c>
      <c r="G1493" t="e">
        <f t="shared" si="165"/>
        <v>#N/A</v>
      </c>
      <c r="H1493" t="e">
        <f t="shared" si="167"/>
        <v>#N/A</v>
      </c>
      <c r="I1493" t="e">
        <f t="shared" si="168"/>
        <v>#N/A</v>
      </c>
      <c r="J1493" t="e">
        <f t="shared" si="169"/>
        <v>#N/A</v>
      </c>
      <c r="K1493" t="e">
        <f t="shared" si="170"/>
        <v>#N/A</v>
      </c>
      <c r="T1493" t="str">
        <f t="shared" si="166"/>
        <v/>
      </c>
    </row>
    <row r="1494" spans="2:20" x14ac:dyDescent="0.55000000000000004">
      <c r="B1494" s="15" t="str">
        <f t="shared" si="164"/>
        <v>_2</v>
      </c>
      <c r="E1494">
        <v>2</v>
      </c>
      <c r="G1494" t="e">
        <f t="shared" si="165"/>
        <v>#N/A</v>
      </c>
      <c r="H1494" t="e">
        <f t="shared" si="167"/>
        <v>#N/A</v>
      </c>
      <c r="I1494" t="e">
        <f t="shared" si="168"/>
        <v>#N/A</v>
      </c>
      <c r="J1494" t="e">
        <f t="shared" si="169"/>
        <v>#N/A</v>
      </c>
      <c r="K1494" t="e">
        <f t="shared" si="170"/>
        <v>#N/A</v>
      </c>
      <c r="T1494" t="str">
        <f t="shared" si="166"/>
        <v/>
      </c>
    </row>
    <row r="1495" spans="2:20" x14ac:dyDescent="0.55000000000000004">
      <c r="B1495" s="15" t="str">
        <f t="shared" si="164"/>
        <v>_2</v>
      </c>
      <c r="E1495">
        <v>2</v>
      </c>
      <c r="G1495" t="e">
        <f t="shared" si="165"/>
        <v>#N/A</v>
      </c>
      <c r="H1495" t="e">
        <f t="shared" si="167"/>
        <v>#N/A</v>
      </c>
      <c r="I1495" t="e">
        <f t="shared" si="168"/>
        <v>#N/A</v>
      </c>
      <c r="J1495" t="e">
        <f t="shared" si="169"/>
        <v>#N/A</v>
      </c>
      <c r="K1495" t="e">
        <f t="shared" si="170"/>
        <v>#N/A</v>
      </c>
      <c r="T1495" t="str">
        <f t="shared" si="166"/>
        <v/>
      </c>
    </row>
    <row r="1496" spans="2:20" x14ac:dyDescent="0.55000000000000004">
      <c r="B1496" s="15" t="str">
        <f t="shared" si="164"/>
        <v>_2</v>
      </c>
      <c r="E1496">
        <v>2</v>
      </c>
      <c r="G1496" t="e">
        <f t="shared" si="165"/>
        <v>#N/A</v>
      </c>
      <c r="H1496" t="e">
        <f t="shared" si="167"/>
        <v>#N/A</v>
      </c>
      <c r="I1496" t="e">
        <f t="shared" si="168"/>
        <v>#N/A</v>
      </c>
      <c r="J1496" t="e">
        <f t="shared" si="169"/>
        <v>#N/A</v>
      </c>
      <c r="K1496" t="e">
        <f t="shared" si="170"/>
        <v>#N/A</v>
      </c>
      <c r="T1496" t="str">
        <f t="shared" si="166"/>
        <v/>
      </c>
    </row>
    <row r="1497" spans="2:20" x14ac:dyDescent="0.55000000000000004">
      <c r="B1497" s="15" t="str">
        <f t="shared" si="164"/>
        <v>_2</v>
      </c>
      <c r="E1497">
        <v>2</v>
      </c>
      <c r="G1497" t="e">
        <f t="shared" si="165"/>
        <v>#N/A</v>
      </c>
      <c r="H1497" t="e">
        <f t="shared" si="167"/>
        <v>#N/A</v>
      </c>
      <c r="I1497" t="e">
        <f t="shared" si="168"/>
        <v>#N/A</v>
      </c>
      <c r="J1497" t="e">
        <f t="shared" si="169"/>
        <v>#N/A</v>
      </c>
      <c r="K1497" t="e">
        <f t="shared" si="170"/>
        <v>#N/A</v>
      </c>
      <c r="T1497" t="str">
        <f t="shared" si="166"/>
        <v/>
      </c>
    </row>
    <row r="1498" spans="2:20" x14ac:dyDescent="0.55000000000000004">
      <c r="B1498" s="15" t="str">
        <f t="shared" si="164"/>
        <v>_2</v>
      </c>
      <c r="E1498">
        <v>2</v>
      </c>
      <c r="G1498" t="e">
        <f t="shared" si="165"/>
        <v>#N/A</v>
      </c>
      <c r="H1498" t="e">
        <f t="shared" si="167"/>
        <v>#N/A</v>
      </c>
      <c r="I1498" t="e">
        <f t="shared" si="168"/>
        <v>#N/A</v>
      </c>
      <c r="J1498" t="e">
        <f t="shared" si="169"/>
        <v>#N/A</v>
      </c>
      <c r="K1498" t="e">
        <f t="shared" si="170"/>
        <v>#N/A</v>
      </c>
      <c r="T1498" t="str">
        <f t="shared" si="166"/>
        <v/>
      </c>
    </row>
    <row r="1499" spans="2:20" x14ac:dyDescent="0.55000000000000004">
      <c r="B1499" s="15" t="str">
        <f t="shared" si="164"/>
        <v>_2</v>
      </c>
      <c r="E1499">
        <v>2</v>
      </c>
      <c r="G1499" t="e">
        <f t="shared" si="165"/>
        <v>#N/A</v>
      </c>
      <c r="H1499" t="e">
        <f t="shared" si="167"/>
        <v>#N/A</v>
      </c>
      <c r="I1499" t="e">
        <f t="shared" si="168"/>
        <v>#N/A</v>
      </c>
      <c r="J1499" t="e">
        <f t="shared" si="169"/>
        <v>#N/A</v>
      </c>
      <c r="K1499" t="e">
        <f t="shared" si="170"/>
        <v>#N/A</v>
      </c>
      <c r="T1499" t="str">
        <f t="shared" si="166"/>
        <v/>
      </c>
    </row>
    <row r="1500" spans="2:20" x14ac:dyDescent="0.55000000000000004">
      <c r="B1500" s="15" t="str">
        <f t="shared" si="164"/>
        <v>_2</v>
      </c>
      <c r="E1500">
        <v>2</v>
      </c>
      <c r="G1500" t="e">
        <f t="shared" si="165"/>
        <v>#N/A</v>
      </c>
      <c r="H1500" t="e">
        <f t="shared" si="167"/>
        <v>#N/A</v>
      </c>
      <c r="I1500" t="e">
        <f t="shared" si="168"/>
        <v>#N/A</v>
      </c>
      <c r="J1500" t="e">
        <f t="shared" si="169"/>
        <v>#N/A</v>
      </c>
      <c r="K1500" t="e">
        <f t="shared" si="170"/>
        <v>#N/A</v>
      </c>
      <c r="T1500" t="str">
        <f t="shared" si="166"/>
        <v/>
      </c>
    </row>
  </sheetData>
  <phoneticPr fontId="3" type="noConversion"/>
  <dataValidations count="1">
    <dataValidation type="list" allowBlank="1" showInputMessage="1" showErrorMessage="1" sqref="F2:F1500" xr:uid="{71FB0743-C5A0-478D-B5DD-BC5A36F46CA4}">
      <formula1>$W$1:$W$9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7F82-FAF0-4366-9B7D-C30BA4FD3046}">
  <dimension ref="A1:P21"/>
  <sheetViews>
    <sheetView workbookViewId="0">
      <selection activeCell="B1" sqref="B1:B1048576"/>
    </sheetView>
  </sheetViews>
  <sheetFormatPr defaultRowHeight="14.4" x14ac:dyDescent="0.55000000000000004"/>
  <cols>
    <col min="1" max="1" width="6.7890625" bestFit="1" customWidth="1"/>
    <col min="2" max="2" width="12.578125" bestFit="1" customWidth="1"/>
    <col min="3" max="3" width="13.89453125" bestFit="1" customWidth="1"/>
  </cols>
  <sheetData>
    <row r="1" spans="1:16" x14ac:dyDescent="0.55000000000000004">
      <c r="A1" s="1" t="s">
        <v>9</v>
      </c>
      <c r="B1" s="1" t="s">
        <v>10</v>
      </c>
      <c r="C1" s="1" t="s">
        <v>28</v>
      </c>
      <c r="D1" s="1" t="s">
        <v>97</v>
      </c>
      <c r="E1" s="1" t="s">
        <v>99</v>
      </c>
      <c r="F1" s="1" t="s">
        <v>100</v>
      </c>
      <c r="G1" s="1" t="s">
        <v>103</v>
      </c>
      <c r="H1" s="1" t="s">
        <v>108</v>
      </c>
      <c r="I1" s="1"/>
      <c r="J1" s="1"/>
      <c r="K1" s="1"/>
      <c r="N1" s="30"/>
      <c r="O1" s="31"/>
      <c r="P1" s="30"/>
    </row>
    <row r="2" spans="1:16" x14ac:dyDescent="0.55000000000000004">
      <c r="A2">
        <v>4</v>
      </c>
      <c r="B2" s="15" t="s">
        <v>15</v>
      </c>
      <c r="C2" s="20">
        <v>45693.62638883102</v>
      </c>
      <c r="D2" t="s">
        <v>175</v>
      </c>
      <c r="E2" t="s">
        <v>178</v>
      </c>
      <c r="H2">
        <v>2</v>
      </c>
    </row>
    <row r="3" spans="1:16" x14ac:dyDescent="0.55000000000000004">
      <c r="A3">
        <v>5</v>
      </c>
      <c r="B3" s="15" t="s">
        <v>16</v>
      </c>
      <c r="C3" s="20">
        <v>45693.534722222219</v>
      </c>
      <c r="D3" t="s">
        <v>175</v>
      </c>
      <c r="E3" t="s">
        <v>178</v>
      </c>
      <c r="H3">
        <v>1</v>
      </c>
    </row>
    <row r="4" spans="1:16" x14ac:dyDescent="0.55000000000000004">
      <c r="A4">
        <v>6</v>
      </c>
      <c r="B4" s="15" t="s">
        <v>17</v>
      </c>
      <c r="C4" s="20">
        <v>45693.513888888891</v>
      </c>
      <c r="D4" t="s">
        <v>175</v>
      </c>
      <c r="E4" t="s">
        <v>178</v>
      </c>
      <c r="H4">
        <v>11</v>
      </c>
    </row>
    <row r="5" spans="1:16" x14ac:dyDescent="0.55000000000000004">
      <c r="A5">
        <v>6</v>
      </c>
      <c r="B5" s="15" t="s">
        <v>17</v>
      </c>
      <c r="C5" s="20">
        <v>45695.477083333331</v>
      </c>
      <c r="D5" t="s">
        <v>174</v>
      </c>
      <c r="E5" t="s">
        <v>178</v>
      </c>
      <c r="H5">
        <v>1</v>
      </c>
    </row>
    <row r="6" spans="1:16" x14ac:dyDescent="0.55000000000000004">
      <c r="A6">
        <v>9</v>
      </c>
      <c r="B6" s="15" t="s">
        <v>18</v>
      </c>
      <c r="C6" s="20">
        <v>45693.083333333336</v>
      </c>
      <c r="D6" t="s">
        <v>174</v>
      </c>
      <c r="E6" t="s">
        <v>178</v>
      </c>
      <c r="H6">
        <v>4</v>
      </c>
    </row>
    <row r="7" spans="1:16" x14ac:dyDescent="0.55000000000000004">
      <c r="A7">
        <v>9</v>
      </c>
      <c r="B7" s="15" t="s">
        <v>18</v>
      </c>
      <c r="C7" s="20">
        <v>45693.083333333336</v>
      </c>
      <c r="D7" t="s">
        <v>175</v>
      </c>
      <c r="E7" t="s">
        <v>178</v>
      </c>
      <c r="H7">
        <v>2</v>
      </c>
    </row>
    <row r="8" spans="1:16" x14ac:dyDescent="0.55000000000000004">
      <c r="A8">
        <v>9</v>
      </c>
      <c r="B8" s="15" t="s">
        <v>18</v>
      </c>
      <c r="C8" s="20">
        <v>45694.493055555555</v>
      </c>
      <c r="D8" t="s">
        <v>175</v>
      </c>
      <c r="E8" t="s">
        <v>178</v>
      </c>
      <c r="H8">
        <v>3</v>
      </c>
    </row>
    <row r="9" spans="1:16" x14ac:dyDescent="0.55000000000000004">
      <c r="A9">
        <v>10</v>
      </c>
      <c r="B9" s="15" t="s">
        <v>19</v>
      </c>
      <c r="C9" s="20">
        <v>45693.572916666664</v>
      </c>
      <c r="D9" t="s">
        <v>174</v>
      </c>
      <c r="E9" t="s">
        <v>178</v>
      </c>
      <c r="H9">
        <v>5</v>
      </c>
    </row>
    <row r="10" spans="1:16" x14ac:dyDescent="0.55000000000000004">
      <c r="A10">
        <v>10</v>
      </c>
      <c r="B10" s="15" t="s">
        <v>19</v>
      </c>
      <c r="C10" s="20">
        <v>45693.572916666664</v>
      </c>
      <c r="D10" t="s">
        <v>175</v>
      </c>
      <c r="E10" t="s">
        <v>178</v>
      </c>
      <c r="H10">
        <v>2</v>
      </c>
    </row>
    <row r="11" spans="1:16" x14ac:dyDescent="0.55000000000000004">
      <c r="A11">
        <v>10</v>
      </c>
      <c r="B11" s="15" t="s">
        <v>19</v>
      </c>
      <c r="C11" s="20">
        <v>45694.513888888891</v>
      </c>
      <c r="D11" t="s">
        <v>174</v>
      </c>
      <c r="E11" t="s">
        <v>178</v>
      </c>
      <c r="H11">
        <v>4</v>
      </c>
    </row>
    <row r="12" spans="1:16" x14ac:dyDescent="0.55000000000000004">
      <c r="A12">
        <v>11</v>
      </c>
      <c r="B12" s="15" t="s">
        <v>20</v>
      </c>
      <c r="C12" s="20">
        <v>45693.380555555559</v>
      </c>
      <c r="D12" t="s">
        <v>174</v>
      </c>
      <c r="E12" t="s">
        <v>178</v>
      </c>
      <c r="H12">
        <v>1</v>
      </c>
    </row>
    <row r="13" spans="1:16" x14ac:dyDescent="0.55000000000000004">
      <c r="A13">
        <v>11</v>
      </c>
      <c r="B13" s="15" t="s">
        <v>20</v>
      </c>
      <c r="C13" s="20">
        <v>45693.380555555559</v>
      </c>
      <c r="D13" t="s">
        <v>175</v>
      </c>
      <c r="E13" t="s">
        <v>178</v>
      </c>
      <c r="H13">
        <v>4</v>
      </c>
    </row>
    <row r="14" spans="1:16" x14ac:dyDescent="0.55000000000000004">
      <c r="A14">
        <v>12</v>
      </c>
      <c r="B14" s="15" t="s">
        <v>21</v>
      </c>
      <c r="C14" s="20">
        <v>45693.40902777778</v>
      </c>
      <c r="D14" t="s">
        <v>175</v>
      </c>
      <c r="E14" t="s">
        <v>178</v>
      </c>
      <c r="H14">
        <v>11</v>
      </c>
    </row>
    <row r="15" spans="1:16" x14ac:dyDescent="0.55000000000000004">
      <c r="A15">
        <v>14</v>
      </c>
      <c r="B15" s="15" t="s">
        <v>22</v>
      </c>
      <c r="C15" s="20">
        <v>45695.59375</v>
      </c>
      <c r="D15" t="s">
        <v>174</v>
      </c>
      <c r="E15" t="s">
        <v>180</v>
      </c>
      <c r="H15">
        <v>1</v>
      </c>
    </row>
    <row r="16" spans="1:16" x14ac:dyDescent="0.55000000000000004">
      <c r="A16">
        <v>16</v>
      </c>
      <c r="B16" s="15" t="s">
        <v>23</v>
      </c>
      <c r="C16" s="20">
        <v>45695.489583333336</v>
      </c>
      <c r="D16" t="s">
        <v>174</v>
      </c>
      <c r="E16" t="s">
        <v>178</v>
      </c>
      <c r="H16">
        <v>1</v>
      </c>
    </row>
    <row r="17" spans="1:8" x14ac:dyDescent="0.55000000000000004">
      <c r="A17">
        <v>17</v>
      </c>
      <c r="B17" s="15" t="s">
        <v>24</v>
      </c>
      <c r="C17" s="20">
        <v>45695.395833333336</v>
      </c>
      <c r="D17" t="s">
        <v>174</v>
      </c>
      <c r="E17" t="s">
        <v>178</v>
      </c>
      <c r="H17">
        <v>1</v>
      </c>
    </row>
    <row r="18" spans="1:8" x14ac:dyDescent="0.55000000000000004">
      <c r="A18">
        <v>18</v>
      </c>
      <c r="B18" s="15" t="s">
        <v>25</v>
      </c>
      <c r="C18" s="20">
        <v>45695.4375</v>
      </c>
      <c r="D18" t="s">
        <v>174</v>
      </c>
      <c r="E18" t="s">
        <v>178</v>
      </c>
      <c r="H18">
        <v>3</v>
      </c>
    </row>
    <row r="19" spans="1:8" x14ac:dyDescent="0.55000000000000004">
      <c r="A19">
        <v>22</v>
      </c>
      <c r="B19" s="15" t="s">
        <v>26</v>
      </c>
      <c r="C19" s="20">
        <v>45695.638888888891</v>
      </c>
      <c r="D19" t="s">
        <v>175</v>
      </c>
      <c r="E19" t="s">
        <v>178</v>
      </c>
      <c r="H19">
        <v>4</v>
      </c>
    </row>
    <row r="20" spans="1:8" x14ac:dyDescent="0.55000000000000004">
      <c r="A20">
        <v>5</v>
      </c>
      <c r="B20" s="15" t="str">
        <f t="shared" ref="B20" si="0">A20 &amp; "_1"</f>
        <v>5_1</v>
      </c>
      <c r="C20" s="20">
        <v>45806.55</v>
      </c>
      <c r="D20" t="s">
        <v>174</v>
      </c>
      <c r="E20" t="s">
        <v>178</v>
      </c>
      <c r="H20">
        <v>1</v>
      </c>
    </row>
    <row r="21" spans="1:8" x14ac:dyDescent="0.55000000000000004">
      <c r="A21">
        <v>20</v>
      </c>
      <c r="B21" s="15" t="str">
        <f>A21 &amp; "_1"</f>
        <v>20_1</v>
      </c>
      <c r="C21" s="20">
        <v>45778.583333333336</v>
      </c>
      <c r="D21" t="s">
        <v>175</v>
      </c>
      <c r="E21" t="s">
        <v>178</v>
      </c>
      <c r="H21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749C-8843-44FC-97D9-08F9B34A4EB7}">
  <dimension ref="A1:L9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I22" sqref="I22"/>
    </sheetView>
  </sheetViews>
  <sheetFormatPr defaultRowHeight="14.4" x14ac:dyDescent="0.55000000000000004"/>
  <cols>
    <col min="1" max="1" width="6.7890625" bestFit="1" customWidth="1"/>
    <col min="2" max="2" width="12.578125" bestFit="1" customWidth="1"/>
    <col min="3" max="3" width="10.47265625" bestFit="1" customWidth="1"/>
    <col min="4" max="4" width="10.83984375" bestFit="1" customWidth="1"/>
    <col min="5" max="5" width="14.26171875" bestFit="1" customWidth="1"/>
    <col min="6" max="6" width="12.41796875" bestFit="1" customWidth="1"/>
    <col min="7" max="7" width="16.26171875" bestFit="1" customWidth="1"/>
    <col min="9" max="9" width="9.9453125" bestFit="1" customWidth="1"/>
    <col min="10" max="10" width="31.89453125" bestFit="1" customWidth="1"/>
    <col min="11" max="11" width="28.734375" bestFit="1" customWidth="1"/>
    <col min="12" max="12" width="10.20703125" bestFit="1" customWidth="1"/>
  </cols>
  <sheetData>
    <row r="1" spans="1:12" x14ac:dyDescent="0.55000000000000004">
      <c r="A1" s="1" t="s">
        <v>9</v>
      </c>
      <c r="B1" s="1" t="s">
        <v>10</v>
      </c>
      <c r="C1" s="1" t="s">
        <v>213</v>
      </c>
      <c r="D1" s="1" t="s">
        <v>99</v>
      </c>
      <c r="E1" s="1" t="s">
        <v>100</v>
      </c>
      <c r="F1" s="1" t="s">
        <v>214</v>
      </c>
      <c r="G1" s="1" t="s">
        <v>215</v>
      </c>
    </row>
    <row r="2" spans="1:12" ht="14.7" thickBot="1" x14ac:dyDescent="0.6">
      <c r="A2">
        <v>3</v>
      </c>
      <c r="B2" t="str">
        <f t="shared" ref="B2:B43" si="0">A2 &amp; "_0"</f>
        <v>3_0</v>
      </c>
      <c r="C2" t="s">
        <v>216</v>
      </c>
      <c r="E2" t="e">
        <f t="shared" ref="E2:E18" si="1">VLOOKUP($D2, $J$2:$L$16, 2, FALSE)</f>
        <v>#N/A</v>
      </c>
      <c r="F2" t="e">
        <f>VLOOKUP($D2, $J$2:$L$16, 3, FALSE)</f>
        <v>#N/A</v>
      </c>
      <c r="G2">
        <v>0</v>
      </c>
    </row>
    <row r="3" spans="1:12" x14ac:dyDescent="0.55000000000000004">
      <c r="A3">
        <v>3</v>
      </c>
      <c r="B3" t="str">
        <f t="shared" si="0"/>
        <v>3_0</v>
      </c>
      <c r="C3" t="s">
        <v>217</v>
      </c>
      <c r="E3" t="e">
        <f t="shared" si="1"/>
        <v>#N/A</v>
      </c>
      <c r="F3" t="e">
        <f t="shared" ref="F3:F18" si="2">VLOOKUP($D3, $J$2:$L$16, 3, FALSE)</f>
        <v>#N/A</v>
      </c>
      <c r="G3">
        <v>0</v>
      </c>
      <c r="I3" s="36" t="s">
        <v>216</v>
      </c>
      <c r="J3" s="37" t="s">
        <v>218</v>
      </c>
      <c r="K3" s="37" t="s">
        <v>219</v>
      </c>
      <c r="L3" s="38" t="s">
        <v>118</v>
      </c>
    </row>
    <row r="4" spans="1:12" x14ac:dyDescent="0.55000000000000004">
      <c r="A4">
        <v>4</v>
      </c>
      <c r="B4" t="str">
        <f t="shared" si="0"/>
        <v>4_0</v>
      </c>
      <c r="C4" t="s">
        <v>216</v>
      </c>
      <c r="E4" t="e">
        <f t="shared" si="1"/>
        <v>#N/A</v>
      </c>
      <c r="F4" t="e">
        <f t="shared" si="2"/>
        <v>#N/A</v>
      </c>
      <c r="G4">
        <v>0</v>
      </c>
      <c r="I4" s="24" t="s">
        <v>216</v>
      </c>
      <c r="J4" t="s">
        <v>220</v>
      </c>
      <c r="K4" t="s">
        <v>221</v>
      </c>
      <c r="L4" s="25" t="s">
        <v>118</v>
      </c>
    </row>
    <row r="5" spans="1:12" x14ac:dyDescent="0.55000000000000004">
      <c r="A5">
        <v>4</v>
      </c>
      <c r="B5" t="str">
        <f t="shared" si="0"/>
        <v>4_0</v>
      </c>
      <c r="C5" t="s">
        <v>217</v>
      </c>
      <c r="E5" t="e">
        <f t="shared" si="1"/>
        <v>#N/A</v>
      </c>
      <c r="F5" t="e">
        <f t="shared" si="2"/>
        <v>#N/A</v>
      </c>
      <c r="G5">
        <v>0</v>
      </c>
      <c r="I5" s="24" t="s">
        <v>216</v>
      </c>
      <c r="J5" s="20" t="s">
        <v>222</v>
      </c>
      <c r="K5" t="s">
        <v>223</v>
      </c>
      <c r="L5" s="25" t="s">
        <v>118</v>
      </c>
    </row>
    <row r="6" spans="1:12" x14ac:dyDescent="0.55000000000000004">
      <c r="A6">
        <v>5</v>
      </c>
      <c r="B6" t="str">
        <f t="shared" si="0"/>
        <v>5_0</v>
      </c>
      <c r="C6" t="s">
        <v>216</v>
      </c>
      <c r="E6" t="e">
        <f t="shared" si="1"/>
        <v>#N/A</v>
      </c>
      <c r="F6" t="e">
        <f t="shared" si="2"/>
        <v>#N/A</v>
      </c>
      <c r="G6">
        <v>0</v>
      </c>
      <c r="I6" s="24" t="s">
        <v>216</v>
      </c>
      <c r="J6" t="s">
        <v>224</v>
      </c>
      <c r="K6" t="s">
        <v>225</v>
      </c>
      <c r="L6" s="25" t="s">
        <v>226</v>
      </c>
    </row>
    <row r="7" spans="1:12" x14ac:dyDescent="0.55000000000000004">
      <c r="A7">
        <v>5</v>
      </c>
      <c r="B7" t="str">
        <f t="shared" si="0"/>
        <v>5_0</v>
      </c>
      <c r="C7" t="s">
        <v>217</v>
      </c>
      <c r="E7" t="e">
        <f t="shared" si="1"/>
        <v>#N/A</v>
      </c>
      <c r="F7" t="e">
        <f t="shared" si="2"/>
        <v>#N/A</v>
      </c>
      <c r="G7">
        <v>0</v>
      </c>
      <c r="I7" s="24" t="s">
        <v>217</v>
      </c>
      <c r="J7" t="s">
        <v>227</v>
      </c>
      <c r="K7" t="s">
        <v>228</v>
      </c>
      <c r="L7" s="25" t="s">
        <v>118</v>
      </c>
    </row>
    <row r="8" spans="1:12" x14ac:dyDescent="0.55000000000000004">
      <c r="A8">
        <v>6</v>
      </c>
      <c r="B8" t="str">
        <f t="shared" si="0"/>
        <v>6_0</v>
      </c>
      <c r="C8" t="s">
        <v>216</v>
      </c>
      <c r="E8" t="e">
        <f t="shared" si="1"/>
        <v>#N/A</v>
      </c>
      <c r="F8" t="e">
        <f t="shared" si="2"/>
        <v>#N/A</v>
      </c>
      <c r="G8">
        <v>0</v>
      </c>
      <c r="I8" s="24" t="s">
        <v>217</v>
      </c>
      <c r="J8" t="s">
        <v>229</v>
      </c>
      <c r="K8" t="s">
        <v>230</v>
      </c>
      <c r="L8" s="25" t="s">
        <v>118</v>
      </c>
    </row>
    <row r="9" spans="1:12" x14ac:dyDescent="0.55000000000000004">
      <c r="A9">
        <v>6</v>
      </c>
      <c r="B9" t="str">
        <f t="shared" si="0"/>
        <v>6_0</v>
      </c>
      <c r="C9" t="s">
        <v>217</v>
      </c>
      <c r="E9" t="e">
        <f t="shared" si="1"/>
        <v>#N/A</v>
      </c>
      <c r="F9" t="e">
        <f t="shared" si="2"/>
        <v>#N/A</v>
      </c>
      <c r="G9">
        <v>0</v>
      </c>
      <c r="I9" s="24" t="s">
        <v>217</v>
      </c>
      <c r="J9" t="s">
        <v>170</v>
      </c>
      <c r="K9" t="s">
        <v>231</v>
      </c>
      <c r="L9" s="25" t="s">
        <v>226</v>
      </c>
    </row>
    <row r="10" spans="1:12" x14ac:dyDescent="0.55000000000000004">
      <c r="A10">
        <v>7</v>
      </c>
      <c r="B10" t="str">
        <f t="shared" si="0"/>
        <v>7_0</v>
      </c>
      <c r="C10" t="s">
        <v>216</v>
      </c>
      <c r="D10" t="s">
        <v>224</v>
      </c>
      <c r="E10" t="str">
        <f t="shared" si="1"/>
        <v>Nymphaea spp.</v>
      </c>
      <c r="F10" t="str">
        <f t="shared" si="2"/>
        <v>Non_Native</v>
      </c>
      <c r="G10">
        <v>30</v>
      </c>
      <c r="I10" s="24" t="s">
        <v>217</v>
      </c>
      <c r="J10" t="s">
        <v>232</v>
      </c>
      <c r="K10" t="s">
        <v>233</v>
      </c>
      <c r="L10" s="25" t="s">
        <v>226</v>
      </c>
    </row>
    <row r="11" spans="1:12" x14ac:dyDescent="0.55000000000000004">
      <c r="A11">
        <v>7</v>
      </c>
      <c r="B11" t="str">
        <f t="shared" si="0"/>
        <v>7_0</v>
      </c>
      <c r="C11" t="s">
        <v>217</v>
      </c>
      <c r="D11" t="s">
        <v>170</v>
      </c>
      <c r="E11" t="str">
        <f t="shared" si="1"/>
        <v>Ceratophyllum demersum</v>
      </c>
      <c r="F11" t="str">
        <f t="shared" si="2"/>
        <v>Non_Native</v>
      </c>
      <c r="G11">
        <v>10</v>
      </c>
      <c r="I11" s="24" t="s">
        <v>217</v>
      </c>
      <c r="J11" t="s">
        <v>235</v>
      </c>
      <c r="K11" t="s">
        <v>236</v>
      </c>
      <c r="L11" s="25" t="s">
        <v>226</v>
      </c>
    </row>
    <row r="12" spans="1:12" x14ac:dyDescent="0.55000000000000004">
      <c r="A12">
        <v>8</v>
      </c>
      <c r="B12" t="str">
        <f t="shared" si="0"/>
        <v>8_0</v>
      </c>
      <c r="C12" t="s">
        <v>216</v>
      </c>
      <c r="D12" t="s">
        <v>218</v>
      </c>
      <c r="E12" t="str">
        <f t="shared" si="1"/>
        <v>Typha orientalis</v>
      </c>
      <c r="F12" t="str">
        <f t="shared" si="2"/>
        <v>Native</v>
      </c>
      <c r="G12">
        <v>10</v>
      </c>
      <c r="I12" s="24" t="s">
        <v>217</v>
      </c>
      <c r="J12" t="s">
        <v>237</v>
      </c>
      <c r="K12" t="s">
        <v>238</v>
      </c>
      <c r="L12" s="25" t="s">
        <v>226</v>
      </c>
    </row>
    <row r="13" spans="1:12" x14ac:dyDescent="0.55000000000000004">
      <c r="A13">
        <v>8</v>
      </c>
      <c r="B13" t="str">
        <f t="shared" si="0"/>
        <v>8_0</v>
      </c>
      <c r="C13" t="s">
        <v>217</v>
      </c>
      <c r="E13" t="e">
        <f t="shared" si="1"/>
        <v>#N/A</v>
      </c>
      <c r="F13" t="e">
        <f t="shared" si="2"/>
        <v>#N/A</v>
      </c>
      <c r="G13">
        <v>0</v>
      </c>
      <c r="I13" s="24" t="s">
        <v>217</v>
      </c>
      <c r="J13" t="s">
        <v>239</v>
      </c>
      <c r="K13" t="s">
        <v>240</v>
      </c>
      <c r="L13" s="25" t="s">
        <v>226</v>
      </c>
    </row>
    <row r="14" spans="1:12" x14ac:dyDescent="0.55000000000000004">
      <c r="A14">
        <v>9</v>
      </c>
      <c r="B14" t="str">
        <f t="shared" si="0"/>
        <v>9_0</v>
      </c>
      <c r="C14" t="s">
        <v>216</v>
      </c>
      <c r="E14" t="e">
        <f t="shared" si="1"/>
        <v>#N/A</v>
      </c>
      <c r="F14" t="e">
        <f t="shared" si="2"/>
        <v>#N/A</v>
      </c>
      <c r="G14">
        <v>1</v>
      </c>
      <c r="I14" s="24" t="s">
        <v>217</v>
      </c>
      <c r="J14" t="s">
        <v>241</v>
      </c>
      <c r="K14" t="s">
        <v>242</v>
      </c>
      <c r="L14" s="25" t="s">
        <v>226</v>
      </c>
    </row>
    <row r="15" spans="1:12" x14ac:dyDescent="0.55000000000000004">
      <c r="A15">
        <v>9</v>
      </c>
      <c r="B15" t="str">
        <f t="shared" si="0"/>
        <v>9_0</v>
      </c>
      <c r="C15" t="s">
        <v>217</v>
      </c>
      <c r="D15" t="s">
        <v>243</v>
      </c>
      <c r="E15" t="str">
        <f>VLOOKUP($D15, $J$2:$L$16, 2, FALSE)</f>
        <v>Ludwigia repens</v>
      </c>
      <c r="F15" t="str">
        <f>VLOOKUP($D15, $J$2:$L$16, 3, FALSE)</f>
        <v>Non_Native</v>
      </c>
      <c r="G15">
        <v>5</v>
      </c>
      <c r="I15" s="24" t="s">
        <v>217</v>
      </c>
      <c r="J15" t="s">
        <v>243</v>
      </c>
      <c r="K15" t="s">
        <v>244</v>
      </c>
      <c r="L15" s="25" t="s">
        <v>226</v>
      </c>
    </row>
    <row r="16" spans="1:12" ht="14.7" thickBot="1" x14ac:dyDescent="0.6">
      <c r="A16">
        <v>10</v>
      </c>
      <c r="B16" t="str">
        <f t="shared" si="0"/>
        <v>10_0</v>
      </c>
      <c r="C16" t="s">
        <v>216</v>
      </c>
      <c r="E16" t="e">
        <f t="shared" si="1"/>
        <v>#N/A</v>
      </c>
      <c r="F16" t="e">
        <f t="shared" si="2"/>
        <v>#N/A</v>
      </c>
      <c r="G16">
        <v>0</v>
      </c>
      <c r="I16" s="27" t="s">
        <v>217</v>
      </c>
      <c r="J16" s="28" t="s">
        <v>234</v>
      </c>
      <c r="K16" s="28" t="s">
        <v>245</v>
      </c>
      <c r="L16" s="29" t="s">
        <v>118</v>
      </c>
    </row>
    <row r="17" spans="1:10" x14ac:dyDescent="0.55000000000000004">
      <c r="A17">
        <v>10</v>
      </c>
      <c r="B17" t="str">
        <f t="shared" si="0"/>
        <v>10_0</v>
      </c>
      <c r="C17" t="s">
        <v>217</v>
      </c>
      <c r="D17" t="s">
        <v>243</v>
      </c>
      <c r="E17" t="str">
        <f t="shared" si="1"/>
        <v>Ludwigia repens</v>
      </c>
      <c r="F17" t="str">
        <f t="shared" si="2"/>
        <v>Non_Native</v>
      </c>
      <c r="G17">
        <v>10</v>
      </c>
    </row>
    <row r="18" spans="1:10" x14ac:dyDescent="0.55000000000000004">
      <c r="A18">
        <v>11</v>
      </c>
      <c r="B18" t="str">
        <f t="shared" si="0"/>
        <v>11_0</v>
      </c>
      <c r="C18" t="s">
        <v>216</v>
      </c>
      <c r="E18" t="e">
        <f t="shared" si="1"/>
        <v>#N/A</v>
      </c>
      <c r="F18" t="e">
        <f t="shared" si="2"/>
        <v>#N/A</v>
      </c>
      <c r="G18">
        <v>0</v>
      </c>
    </row>
    <row r="19" spans="1:10" x14ac:dyDescent="0.55000000000000004">
      <c r="A19">
        <v>11</v>
      </c>
      <c r="B19" t="str">
        <f t="shared" si="0"/>
        <v>11_0</v>
      </c>
      <c r="C19" t="s">
        <v>217</v>
      </c>
      <c r="E19" t="e">
        <f t="shared" ref="E19:E43" si="3">VLOOKUP($D19, $J$2:$L$16, 2, FALSE)</f>
        <v>#N/A</v>
      </c>
      <c r="F19" t="e">
        <f t="shared" ref="F19:F43" si="4">VLOOKUP($D19, $J$2:$L$16, 3, FALSE)</f>
        <v>#N/A</v>
      </c>
      <c r="G19">
        <v>0</v>
      </c>
    </row>
    <row r="20" spans="1:10" x14ac:dyDescent="0.55000000000000004">
      <c r="A20">
        <v>12</v>
      </c>
      <c r="B20" t="str">
        <f t="shared" si="0"/>
        <v>12_0</v>
      </c>
      <c r="C20" t="s">
        <v>216</v>
      </c>
      <c r="E20" t="e">
        <f t="shared" si="3"/>
        <v>#N/A</v>
      </c>
      <c r="F20" t="e">
        <f t="shared" si="4"/>
        <v>#N/A</v>
      </c>
      <c r="G20">
        <v>0</v>
      </c>
      <c r="J20" s="15"/>
    </row>
    <row r="21" spans="1:10" x14ac:dyDescent="0.55000000000000004">
      <c r="A21">
        <v>12</v>
      </c>
      <c r="B21" t="str">
        <f t="shared" si="0"/>
        <v>12_0</v>
      </c>
      <c r="C21" t="s">
        <v>217</v>
      </c>
      <c r="E21" t="e">
        <f t="shared" si="3"/>
        <v>#N/A</v>
      </c>
      <c r="F21" t="e">
        <f t="shared" si="4"/>
        <v>#N/A</v>
      </c>
      <c r="G21">
        <v>0</v>
      </c>
      <c r="J21" s="15"/>
    </row>
    <row r="22" spans="1:10" x14ac:dyDescent="0.55000000000000004">
      <c r="A22">
        <v>13</v>
      </c>
      <c r="B22" t="str">
        <f t="shared" si="0"/>
        <v>13_0</v>
      </c>
      <c r="C22" t="s">
        <v>216</v>
      </c>
      <c r="E22" t="e">
        <f t="shared" si="3"/>
        <v>#N/A</v>
      </c>
      <c r="F22" t="e">
        <f t="shared" si="4"/>
        <v>#N/A</v>
      </c>
      <c r="G22">
        <v>0</v>
      </c>
      <c r="J22" s="15"/>
    </row>
    <row r="23" spans="1:10" x14ac:dyDescent="0.55000000000000004">
      <c r="A23">
        <v>13</v>
      </c>
      <c r="B23" t="str">
        <f t="shared" si="0"/>
        <v>13_0</v>
      </c>
      <c r="C23" t="s">
        <v>217</v>
      </c>
      <c r="E23" t="e">
        <f t="shared" si="3"/>
        <v>#N/A</v>
      </c>
      <c r="F23" t="e">
        <f t="shared" si="4"/>
        <v>#N/A</v>
      </c>
      <c r="G23">
        <v>0</v>
      </c>
      <c r="J23" s="15"/>
    </row>
    <row r="24" spans="1:10" x14ac:dyDescent="0.55000000000000004">
      <c r="A24">
        <v>14</v>
      </c>
      <c r="B24" t="str">
        <f t="shared" si="0"/>
        <v>14_0</v>
      </c>
      <c r="C24" t="s">
        <v>216</v>
      </c>
      <c r="E24" t="e">
        <f t="shared" si="3"/>
        <v>#N/A</v>
      </c>
      <c r="F24" t="e">
        <f t="shared" si="4"/>
        <v>#N/A</v>
      </c>
      <c r="G24">
        <v>0</v>
      </c>
      <c r="J24" s="15"/>
    </row>
    <row r="25" spans="1:10" x14ac:dyDescent="0.55000000000000004">
      <c r="A25">
        <v>14</v>
      </c>
      <c r="B25" t="str">
        <f t="shared" si="0"/>
        <v>14_0</v>
      </c>
      <c r="C25" t="s">
        <v>217</v>
      </c>
      <c r="E25" t="e">
        <f t="shared" si="3"/>
        <v>#N/A</v>
      </c>
      <c r="F25" t="e">
        <f t="shared" si="4"/>
        <v>#N/A</v>
      </c>
      <c r="G25">
        <v>0</v>
      </c>
      <c r="J25" s="15"/>
    </row>
    <row r="26" spans="1:10" x14ac:dyDescent="0.55000000000000004">
      <c r="A26">
        <v>15</v>
      </c>
      <c r="B26" t="str">
        <f t="shared" si="0"/>
        <v>15_0</v>
      </c>
      <c r="C26" t="s">
        <v>216</v>
      </c>
      <c r="E26" t="e">
        <f t="shared" si="3"/>
        <v>#N/A</v>
      </c>
      <c r="F26" t="e">
        <f t="shared" si="4"/>
        <v>#N/A</v>
      </c>
      <c r="G26">
        <v>0</v>
      </c>
      <c r="J26" s="15"/>
    </row>
    <row r="27" spans="1:10" x14ac:dyDescent="0.55000000000000004">
      <c r="A27">
        <v>15</v>
      </c>
      <c r="B27" t="str">
        <f t="shared" si="0"/>
        <v>15_0</v>
      </c>
      <c r="C27" t="s">
        <v>217</v>
      </c>
      <c r="E27" t="e">
        <f t="shared" si="3"/>
        <v>#N/A</v>
      </c>
      <c r="F27" t="e">
        <f t="shared" si="4"/>
        <v>#N/A</v>
      </c>
      <c r="G27">
        <v>0</v>
      </c>
      <c r="J27" s="15"/>
    </row>
    <row r="28" spans="1:10" x14ac:dyDescent="0.55000000000000004">
      <c r="A28">
        <v>16</v>
      </c>
      <c r="B28" t="str">
        <f t="shared" si="0"/>
        <v>16_0</v>
      </c>
      <c r="C28" t="s">
        <v>216</v>
      </c>
      <c r="E28" t="e">
        <f t="shared" si="3"/>
        <v>#N/A</v>
      </c>
      <c r="F28" t="e">
        <f t="shared" si="4"/>
        <v>#N/A</v>
      </c>
      <c r="G28">
        <v>0</v>
      </c>
      <c r="J28" s="15"/>
    </row>
    <row r="29" spans="1:10" x14ac:dyDescent="0.55000000000000004">
      <c r="A29">
        <v>16</v>
      </c>
      <c r="B29" t="str">
        <f t="shared" si="0"/>
        <v>16_0</v>
      </c>
      <c r="C29" t="s">
        <v>217</v>
      </c>
      <c r="E29" t="e">
        <f t="shared" si="3"/>
        <v>#N/A</v>
      </c>
      <c r="F29" t="e">
        <f t="shared" si="4"/>
        <v>#N/A</v>
      </c>
      <c r="G29">
        <v>0</v>
      </c>
      <c r="J29" s="15"/>
    </row>
    <row r="30" spans="1:10" x14ac:dyDescent="0.55000000000000004">
      <c r="A30">
        <v>17</v>
      </c>
      <c r="B30" t="str">
        <f t="shared" si="0"/>
        <v>17_0</v>
      </c>
      <c r="C30" t="s">
        <v>216</v>
      </c>
      <c r="E30" t="e">
        <f t="shared" si="3"/>
        <v>#N/A</v>
      </c>
      <c r="F30" t="e">
        <f t="shared" si="4"/>
        <v>#N/A</v>
      </c>
      <c r="G30">
        <v>0</v>
      </c>
      <c r="J30" s="15"/>
    </row>
    <row r="31" spans="1:10" x14ac:dyDescent="0.55000000000000004">
      <c r="A31">
        <v>17</v>
      </c>
      <c r="B31" t="str">
        <f t="shared" si="0"/>
        <v>17_0</v>
      </c>
      <c r="C31" t="s">
        <v>217</v>
      </c>
      <c r="E31" t="e">
        <f t="shared" si="3"/>
        <v>#N/A</v>
      </c>
      <c r="F31" t="e">
        <f t="shared" si="4"/>
        <v>#N/A</v>
      </c>
      <c r="G31">
        <v>0</v>
      </c>
      <c r="J31" s="15"/>
    </row>
    <row r="32" spans="1:10" x14ac:dyDescent="0.55000000000000004">
      <c r="A32">
        <v>18</v>
      </c>
      <c r="B32" t="str">
        <f t="shared" si="0"/>
        <v>18_0</v>
      </c>
      <c r="C32" t="s">
        <v>216</v>
      </c>
      <c r="E32" t="e">
        <f t="shared" si="3"/>
        <v>#N/A</v>
      </c>
      <c r="F32" t="e">
        <f t="shared" si="4"/>
        <v>#N/A</v>
      </c>
      <c r="G32">
        <v>0</v>
      </c>
      <c r="J32" s="15"/>
    </row>
    <row r="33" spans="1:10" x14ac:dyDescent="0.55000000000000004">
      <c r="A33">
        <v>18</v>
      </c>
      <c r="B33" t="str">
        <f t="shared" si="0"/>
        <v>18_0</v>
      </c>
      <c r="C33" t="s">
        <v>217</v>
      </c>
      <c r="E33" t="e">
        <f t="shared" si="3"/>
        <v>#N/A</v>
      </c>
      <c r="F33" t="e">
        <f t="shared" si="4"/>
        <v>#N/A</v>
      </c>
      <c r="G33">
        <v>0</v>
      </c>
      <c r="J33" s="15"/>
    </row>
    <row r="34" spans="1:10" x14ac:dyDescent="0.55000000000000004">
      <c r="A34">
        <v>19</v>
      </c>
      <c r="B34" t="str">
        <f t="shared" si="0"/>
        <v>19_0</v>
      </c>
      <c r="C34" t="s">
        <v>216</v>
      </c>
      <c r="E34" t="e">
        <f t="shared" si="3"/>
        <v>#N/A</v>
      </c>
      <c r="F34" t="e">
        <f t="shared" si="4"/>
        <v>#N/A</v>
      </c>
      <c r="G34">
        <v>0</v>
      </c>
      <c r="J34" s="15"/>
    </row>
    <row r="35" spans="1:10" x14ac:dyDescent="0.55000000000000004">
      <c r="A35">
        <v>19</v>
      </c>
      <c r="B35" t="str">
        <f t="shared" si="0"/>
        <v>19_0</v>
      </c>
      <c r="C35" t="s">
        <v>217</v>
      </c>
      <c r="E35" t="e">
        <f t="shared" si="3"/>
        <v>#N/A</v>
      </c>
      <c r="F35" t="e">
        <f t="shared" si="4"/>
        <v>#N/A</v>
      </c>
      <c r="G35">
        <v>0</v>
      </c>
      <c r="J35" s="15"/>
    </row>
    <row r="36" spans="1:10" x14ac:dyDescent="0.55000000000000004">
      <c r="A36">
        <v>20</v>
      </c>
      <c r="B36" t="str">
        <f t="shared" si="0"/>
        <v>20_0</v>
      </c>
      <c r="C36" t="s">
        <v>216</v>
      </c>
      <c r="E36" t="e">
        <f t="shared" si="3"/>
        <v>#N/A</v>
      </c>
      <c r="F36" t="e">
        <f t="shared" si="4"/>
        <v>#N/A</v>
      </c>
      <c r="G36">
        <v>0</v>
      </c>
      <c r="J36" s="15"/>
    </row>
    <row r="37" spans="1:10" x14ac:dyDescent="0.55000000000000004">
      <c r="A37">
        <v>20</v>
      </c>
      <c r="B37" t="str">
        <f t="shared" si="0"/>
        <v>20_0</v>
      </c>
      <c r="C37" t="s">
        <v>217</v>
      </c>
      <c r="E37" t="e">
        <f t="shared" si="3"/>
        <v>#N/A</v>
      </c>
      <c r="F37" t="e">
        <f t="shared" si="4"/>
        <v>#N/A</v>
      </c>
      <c r="G37">
        <v>0</v>
      </c>
      <c r="J37" s="15"/>
    </row>
    <row r="38" spans="1:10" x14ac:dyDescent="0.55000000000000004">
      <c r="A38">
        <v>21</v>
      </c>
      <c r="B38" t="str">
        <f t="shared" si="0"/>
        <v>21_0</v>
      </c>
      <c r="C38" t="s">
        <v>216</v>
      </c>
      <c r="E38" t="e">
        <f t="shared" si="3"/>
        <v>#N/A</v>
      </c>
      <c r="F38" t="e">
        <f t="shared" si="4"/>
        <v>#N/A</v>
      </c>
      <c r="G38">
        <v>0</v>
      </c>
      <c r="J38" s="15"/>
    </row>
    <row r="39" spans="1:10" x14ac:dyDescent="0.55000000000000004">
      <c r="A39">
        <v>21</v>
      </c>
      <c r="B39" t="str">
        <f t="shared" si="0"/>
        <v>21_0</v>
      </c>
      <c r="C39" t="s">
        <v>217</v>
      </c>
      <c r="E39" t="e">
        <f t="shared" si="3"/>
        <v>#N/A</v>
      </c>
      <c r="F39" t="e">
        <f t="shared" si="4"/>
        <v>#N/A</v>
      </c>
      <c r="G39">
        <v>0</v>
      </c>
      <c r="J39" s="15"/>
    </row>
    <row r="40" spans="1:10" x14ac:dyDescent="0.55000000000000004">
      <c r="A40">
        <v>22</v>
      </c>
      <c r="B40" t="str">
        <f t="shared" si="0"/>
        <v>22_0</v>
      </c>
      <c r="C40" t="s">
        <v>216</v>
      </c>
      <c r="E40" t="e">
        <f t="shared" si="3"/>
        <v>#N/A</v>
      </c>
      <c r="F40" t="e">
        <f t="shared" si="4"/>
        <v>#N/A</v>
      </c>
      <c r="G40">
        <v>0</v>
      </c>
      <c r="J40" s="15"/>
    </row>
    <row r="41" spans="1:10" x14ac:dyDescent="0.55000000000000004">
      <c r="A41">
        <v>22</v>
      </c>
      <c r="B41" t="str">
        <f t="shared" si="0"/>
        <v>22_0</v>
      </c>
      <c r="C41" t="s">
        <v>217</v>
      </c>
      <c r="E41" t="e">
        <f t="shared" si="3"/>
        <v>#N/A</v>
      </c>
      <c r="F41" t="e">
        <f t="shared" si="4"/>
        <v>#N/A</v>
      </c>
      <c r="G41">
        <v>0</v>
      </c>
      <c r="J41" s="15"/>
    </row>
    <row r="42" spans="1:10" x14ac:dyDescent="0.55000000000000004">
      <c r="A42">
        <v>8</v>
      </c>
      <c r="B42" t="str">
        <f t="shared" si="0"/>
        <v>8_0</v>
      </c>
      <c r="C42" t="s">
        <v>216</v>
      </c>
      <c r="D42" t="s">
        <v>218</v>
      </c>
      <c r="E42" t="str">
        <f t="shared" si="3"/>
        <v>Typha orientalis</v>
      </c>
      <c r="F42" t="str">
        <f t="shared" si="4"/>
        <v>Native</v>
      </c>
      <c r="G42">
        <v>10</v>
      </c>
      <c r="J42" s="15"/>
    </row>
    <row r="43" spans="1:10" x14ac:dyDescent="0.55000000000000004">
      <c r="A43">
        <v>8</v>
      </c>
      <c r="B43" t="str">
        <f t="shared" si="0"/>
        <v>8_0</v>
      </c>
      <c r="C43" t="s">
        <v>217</v>
      </c>
      <c r="D43" t="s">
        <v>170</v>
      </c>
      <c r="E43" t="str">
        <f t="shared" si="3"/>
        <v>Ceratophyllum demersum</v>
      </c>
      <c r="F43" t="str">
        <f t="shared" si="4"/>
        <v>Non_Native</v>
      </c>
      <c r="G43">
        <v>90</v>
      </c>
      <c r="J43" s="15"/>
    </row>
    <row r="44" spans="1:10" x14ac:dyDescent="0.55000000000000004">
      <c r="J44" s="15"/>
    </row>
    <row r="45" spans="1:10" x14ac:dyDescent="0.55000000000000004">
      <c r="J45" s="15"/>
    </row>
    <row r="46" spans="1:10" x14ac:dyDescent="0.55000000000000004">
      <c r="J46" s="15"/>
    </row>
    <row r="47" spans="1:10" x14ac:dyDescent="0.55000000000000004">
      <c r="J47" s="15"/>
    </row>
    <row r="48" spans="1:10" x14ac:dyDescent="0.55000000000000004">
      <c r="J48" s="15"/>
    </row>
    <row r="49" spans="10:10" x14ac:dyDescent="0.55000000000000004">
      <c r="J49" s="15"/>
    </row>
    <row r="50" spans="10:10" x14ac:dyDescent="0.55000000000000004">
      <c r="J50" s="15"/>
    </row>
    <row r="51" spans="10:10" x14ac:dyDescent="0.55000000000000004">
      <c r="J51" s="15"/>
    </row>
    <row r="52" spans="10:10" x14ac:dyDescent="0.55000000000000004">
      <c r="J52" s="15"/>
    </row>
    <row r="53" spans="10:10" x14ac:dyDescent="0.55000000000000004">
      <c r="J53" s="15"/>
    </row>
    <row r="54" spans="10:10" x14ac:dyDescent="0.55000000000000004">
      <c r="J54" s="15"/>
    </row>
    <row r="55" spans="10:10" x14ac:dyDescent="0.55000000000000004">
      <c r="J55" s="15"/>
    </row>
    <row r="56" spans="10:10" x14ac:dyDescent="0.55000000000000004">
      <c r="J56" s="15"/>
    </row>
    <row r="57" spans="10:10" x14ac:dyDescent="0.55000000000000004">
      <c r="J57" s="15"/>
    </row>
    <row r="58" spans="10:10" x14ac:dyDescent="0.55000000000000004">
      <c r="J58" s="15"/>
    </row>
    <row r="59" spans="10:10" x14ac:dyDescent="0.55000000000000004">
      <c r="J59" s="15"/>
    </row>
    <row r="60" spans="10:10" x14ac:dyDescent="0.55000000000000004">
      <c r="J60" s="15"/>
    </row>
    <row r="61" spans="10:10" x14ac:dyDescent="0.55000000000000004">
      <c r="J61" s="15"/>
    </row>
    <row r="62" spans="10:10" x14ac:dyDescent="0.55000000000000004">
      <c r="J62" s="15"/>
    </row>
    <row r="63" spans="10:10" x14ac:dyDescent="0.55000000000000004">
      <c r="J63" s="15"/>
    </row>
    <row r="64" spans="10:10" x14ac:dyDescent="0.55000000000000004">
      <c r="J64" s="15"/>
    </row>
    <row r="65" spans="10:10" x14ac:dyDescent="0.55000000000000004">
      <c r="J65" s="15"/>
    </row>
    <row r="66" spans="10:10" x14ac:dyDescent="0.55000000000000004">
      <c r="J66" s="15"/>
    </row>
    <row r="67" spans="10:10" x14ac:dyDescent="0.55000000000000004">
      <c r="J67" s="15"/>
    </row>
    <row r="68" spans="10:10" x14ac:dyDescent="0.55000000000000004">
      <c r="J68" s="15"/>
    </row>
    <row r="69" spans="10:10" x14ac:dyDescent="0.55000000000000004">
      <c r="J69" s="15"/>
    </row>
    <row r="70" spans="10:10" x14ac:dyDescent="0.55000000000000004">
      <c r="J70" s="15"/>
    </row>
    <row r="71" spans="10:10" x14ac:dyDescent="0.55000000000000004">
      <c r="J71" s="15"/>
    </row>
    <row r="72" spans="10:10" x14ac:dyDescent="0.55000000000000004">
      <c r="J72" s="15"/>
    </row>
    <row r="73" spans="10:10" x14ac:dyDescent="0.55000000000000004">
      <c r="J73" s="15"/>
    </row>
    <row r="74" spans="10:10" x14ac:dyDescent="0.55000000000000004">
      <c r="J74" s="15"/>
    </row>
    <row r="75" spans="10:10" x14ac:dyDescent="0.55000000000000004">
      <c r="J75" s="15"/>
    </row>
    <row r="76" spans="10:10" x14ac:dyDescent="0.55000000000000004">
      <c r="J76" s="15"/>
    </row>
    <row r="77" spans="10:10" x14ac:dyDescent="0.55000000000000004">
      <c r="J77" s="15"/>
    </row>
    <row r="78" spans="10:10" x14ac:dyDescent="0.55000000000000004">
      <c r="J78" s="15"/>
    </row>
    <row r="79" spans="10:10" x14ac:dyDescent="0.55000000000000004">
      <c r="J79" s="15"/>
    </row>
    <row r="80" spans="10:10" x14ac:dyDescent="0.55000000000000004">
      <c r="J80" s="15"/>
    </row>
    <row r="81" spans="10:10" x14ac:dyDescent="0.55000000000000004">
      <c r="J81" s="15"/>
    </row>
    <row r="82" spans="10:10" x14ac:dyDescent="0.55000000000000004">
      <c r="J82" s="15"/>
    </row>
    <row r="83" spans="10:10" x14ac:dyDescent="0.55000000000000004">
      <c r="J83" s="15"/>
    </row>
    <row r="84" spans="10:10" x14ac:dyDescent="0.55000000000000004">
      <c r="J84" s="15"/>
    </row>
    <row r="85" spans="10:10" x14ac:dyDescent="0.55000000000000004">
      <c r="J85" s="15"/>
    </row>
    <row r="86" spans="10:10" x14ac:dyDescent="0.55000000000000004">
      <c r="J86" s="15"/>
    </row>
    <row r="87" spans="10:10" x14ac:dyDescent="0.55000000000000004">
      <c r="J87" s="15"/>
    </row>
    <row r="88" spans="10:10" x14ac:dyDescent="0.55000000000000004">
      <c r="J88" s="15"/>
    </row>
    <row r="89" spans="10:10" x14ac:dyDescent="0.55000000000000004">
      <c r="J89" s="15"/>
    </row>
    <row r="90" spans="10:10" x14ac:dyDescent="0.55000000000000004">
      <c r="J90" s="15"/>
    </row>
    <row r="91" spans="10:10" x14ac:dyDescent="0.55000000000000004">
      <c r="J91" s="15"/>
    </row>
    <row r="92" spans="10:10" x14ac:dyDescent="0.55000000000000004">
      <c r="J92" s="15"/>
    </row>
    <row r="93" spans="10:10" x14ac:dyDescent="0.55000000000000004">
      <c r="J93" s="15"/>
    </row>
    <row r="94" spans="10:10" x14ac:dyDescent="0.55000000000000004">
      <c r="J94" s="15"/>
    </row>
    <row r="95" spans="10:10" x14ac:dyDescent="0.55000000000000004">
      <c r="J95" s="15"/>
    </row>
    <row r="96" spans="10:10" x14ac:dyDescent="0.55000000000000004">
      <c r="J96" s="15"/>
    </row>
    <row r="97" spans="10:10" x14ac:dyDescent="0.55000000000000004">
      <c r="J97" s="15"/>
    </row>
    <row r="98" spans="10:10" x14ac:dyDescent="0.55000000000000004">
      <c r="J98" s="15"/>
    </row>
    <row r="99" spans="10:10" x14ac:dyDescent="0.55000000000000004">
      <c r="J99" s="15"/>
    </row>
  </sheetData>
  <dataValidations count="1">
    <dataValidation type="list" allowBlank="1" showInputMessage="1" showErrorMessage="1" sqref="D2:D43" xr:uid="{9325BBC7-3C3D-41C2-BF9B-83CEAA8175E4}">
      <formula1>$J$2:$J$16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B666-3961-478E-BAE0-660D78A7E290}">
  <dimension ref="A1:R7"/>
  <sheetViews>
    <sheetView workbookViewId="0">
      <selection activeCell="Q4" sqref="Q4"/>
    </sheetView>
  </sheetViews>
  <sheetFormatPr defaultRowHeight="14.4" x14ac:dyDescent="0.55000000000000004"/>
  <cols>
    <col min="1" max="1" width="13.83984375" bestFit="1" customWidth="1"/>
    <col min="2" max="2" width="9.68359375" bestFit="1" customWidth="1"/>
    <col min="3" max="3" width="9.9453125" bestFit="1" customWidth="1"/>
    <col min="4" max="5" width="9.578125" bestFit="1" customWidth="1"/>
    <col min="6" max="6" width="9.26171875" bestFit="1" customWidth="1"/>
    <col min="7" max="7" width="7.734375" bestFit="1" customWidth="1"/>
    <col min="8" max="8" width="8.20703125" customWidth="1"/>
    <col min="9" max="10" width="7.734375" bestFit="1" customWidth="1"/>
    <col min="11" max="11" width="7.734375" customWidth="1"/>
    <col min="12" max="12" width="7.734375" bestFit="1" customWidth="1"/>
    <col min="13" max="13" width="17.68359375" customWidth="1"/>
  </cols>
  <sheetData>
    <row r="1" spans="1:18" s="1" customFormat="1" x14ac:dyDescent="0.55000000000000004">
      <c r="A1" s="1" t="s">
        <v>277</v>
      </c>
      <c r="B1" s="1" t="s">
        <v>278</v>
      </c>
      <c r="C1" s="1" t="s">
        <v>285</v>
      </c>
      <c r="D1" s="1" t="s">
        <v>286</v>
      </c>
      <c r="E1" s="1" t="s">
        <v>287</v>
      </c>
      <c r="F1" s="1" t="s">
        <v>305</v>
      </c>
      <c r="G1" s="1" t="s">
        <v>310</v>
      </c>
      <c r="H1" s="1" t="s">
        <v>307</v>
      </c>
      <c r="I1" s="1" t="s">
        <v>306</v>
      </c>
      <c r="J1" s="1" t="s">
        <v>311</v>
      </c>
      <c r="K1" s="1" t="s">
        <v>308</v>
      </c>
      <c r="L1" s="1" t="s">
        <v>309</v>
      </c>
      <c r="M1" s="1" t="s">
        <v>292</v>
      </c>
      <c r="N1" s="1" t="s">
        <v>268</v>
      </c>
      <c r="O1" s="1" t="s">
        <v>294</v>
      </c>
      <c r="P1" s="1" t="s">
        <v>115</v>
      </c>
      <c r="Q1" s="1" t="s">
        <v>293</v>
      </c>
      <c r="R1" s="1" t="s">
        <v>295</v>
      </c>
    </row>
    <row r="2" spans="1:18" x14ac:dyDescent="0.55000000000000004">
      <c r="A2" t="s">
        <v>279</v>
      </c>
      <c r="B2">
        <v>0</v>
      </c>
      <c r="C2" s="39">
        <v>45838</v>
      </c>
      <c r="D2" s="41">
        <v>0.75100694444444449</v>
      </c>
      <c r="E2" s="41">
        <v>0.75309027777777782</v>
      </c>
      <c r="F2" s="40">
        <f>E2-D2</f>
        <v>2.0833333333333259E-3</v>
      </c>
      <c r="G2" s="40">
        <v>0.7518055555555555</v>
      </c>
      <c r="H2" s="41">
        <v>0.75309027777777782</v>
      </c>
      <c r="I2" s="41">
        <f t="shared" ref="I2:I4" si="0">H2-G2</f>
        <v>1.284722222222312E-3</v>
      </c>
      <c r="J2" s="40"/>
      <c r="K2" s="40"/>
      <c r="L2" s="41">
        <f t="shared" ref="L2:L7" si="1">K2-J2</f>
        <v>0</v>
      </c>
      <c r="M2" s="40">
        <f t="shared" ref="M2:M3" si="2">F2-I2-L2</f>
        <v>7.986111111110139E-4</v>
      </c>
      <c r="N2">
        <v>1</v>
      </c>
      <c r="R2" t="s">
        <v>296</v>
      </c>
    </row>
    <row r="3" spans="1:18" x14ac:dyDescent="0.55000000000000004">
      <c r="A3" t="s">
        <v>280</v>
      </c>
      <c r="B3">
        <v>0</v>
      </c>
      <c r="C3" s="39">
        <v>45838</v>
      </c>
      <c r="D3" s="41">
        <v>0.75309027777777782</v>
      </c>
      <c r="E3" s="41">
        <v>0.75518518518518518</v>
      </c>
      <c r="F3" s="40">
        <f t="shared" ref="F3:F7" si="3">E3-D3</f>
        <v>2.0949074074073648E-3</v>
      </c>
      <c r="G3" s="41">
        <v>0.75309027777777782</v>
      </c>
      <c r="H3" s="41">
        <v>0.75518518518518518</v>
      </c>
      <c r="I3" s="41">
        <f t="shared" si="0"/>
        <v>2.0949074074073648E-3</v>
      </c>
      <c r="L3" s="41">
        <f t="shared" si="1"/>
        <v>0</v>
      </c>
      <c r="M3" s="40">
        <f t="shared" si="2"/>
        <v>0</v>
      </c>
      <c r="N3">
        <v>2</v>
      </c>
      <c r="R3" t="s">
        <v>297</v>
      </c>
    </row>
    <row r="4" spans="1:18" x14ac:dyDescent="0.55000000000000004">
      <c r="A4" t="s">
        <v>281</v>
      </c>
      <c r="B4">
        <v>0</v>
      </c>
      <c r="C4" s="39">
        <v>45838</v>
      </c>
      <c r="D4" s="41">
        <v>0.75518518518518518</v>
      </c>
      <c r="E4" s="41">
        <v>0.75726851851851851</v>
      </c>
      <c r="F4" s="40">
        <f t="shared" si="3"/>
        <v>2.0833333333333259E-3</v>
      </c>
      <c r="G4" s="40">
        <v>0.75518518518518518</v>
      </c>
      <c r="H4" s="40">
        <v>0.75543981481481481</v>
      </c>
      <c r="I4" s="41">
        <f t="shared" si="0"/>
        <v>2.5462962962963243E-4</v>
      </c>
      <c r="J4" s="40">
        <v>0.75671296296296298</v>
      </c>
      <c r="K4" s="40">
        <v>0.75700231481481484</v>
      </c>
      <c r="L4" s="41">
        <f>K4-J4</f>
        <v>2.8935185185186008E-4</v>
      </c>
      <c r="M4" s="40">
        <f>F4-I4-L4</f>
        <v>1.5393518518518334E-3</v>
      </c>
      <c r="N4">
        <v>3</v>
      </c>
      <c r="O4">
        <v>6</v>
      </c>
      <c r="P4">
        <v>1</v>
      </c>
      <c r="Q4" s="40">
        <v>0.75553240740740746</v>
      </c>
      <c r="R4" t="s">
        <v>298</v>
      </c>
    </row>
    <row r="5" spans="1:18" x14ac:dyDescent="0.55000000000000004">
      <c r="A5" t="s">
        <v>282</v>
      </c>
      <c r="B5">
        <v>0</v>
      </c>
      <c r="C5" s="39">
        <v>45838</v>
      </c>
      <c r="D5" s="41">
        <v>0.75726851851851851</v>
      </c>
      <c r="E5" s="41">
        <v>0.75936342592592587</v>
      </c>
      <c r="F5" s="40">
        <f t="shared" si="3"/>
        <v>2.0949074074073648E-3</v>
      </c>
      <c r="G5" s="41">
        <v>0.75846064814814818</v>
      </c>
      <c r="H5" s="41">
        <v>0.75884259259259257</v>
      </c>
      <c r="I5" s="41">
        <f>H5-G5</f>
        <v>3.8194444444439313E-4</v>
      </c>
      <c r="J5" s="41"/>
      <c r="K5" s="41"/>
      <c r="L5" s="41">
        <f t="shared" si="1"/>
        <v>0</v>
      </c>
      <c r="M5" s="40">
        <f>F5-I5-L5</f>
        <v>1.7129629629629717E-3</v>
      </c>
      <c r="N5">
        <v>3</v>
      </c>
      <c r="O5" s="42" t="s">
        <v>299</v>
      </c>
      <c r="R5" t="s">
        <v>300</v>
      </c>
    </row>
    <row r="6" spans="1:18" x14ac:dyDescent="0.55000000000000004">
      <c r="A6" t="s">
        <v>283</v>
      </c>
      <c r="B6">
        <v>0</v>
      </c>
      <c r="C6" s="39">
        <v>45838</v>
      </c>
      <c r="D6" s="41">
        <v>0.75936342592592587</v>
      </c>
      <c r="E6" s="41">
        <v>0.76144675925925931</v>
      </c>
      <c r="F6" s="40">
        <f t="shared" si="3"/>
        <v>2.083333333333437E-3</v>
      </c>
      <c r="G6" s="41">
        <v>0.75936342592592587</v>
      </c>
      <c r="H6" s="41">
        <v>0.7598611111111111</v>
      </c>
      <c r="I6" s="41">
        <f>H6-G6</f>
        <v>4.9768518518522598E-4</v>
      </c>
      <c r="J6" s="41"/>
      <c r="K6" s="41"/>
      <c r="L6" s="41">
        <f t="shared" si="1"/>
        <v>0</v>
      </c>
      <c r="M6" s="40">
        <f>F6-I6-L6</f>
        <v>1.585648148148211E-3</v>
      </c>
      <c r="N6">
        <v>3</v>
      </c>
      <c r="O6" t="s">
        <v>301</v>
      </c>
      <c r="P6">
        <v>1</v>
      </c>
      <c r="Q6" s="40">
        <v>0.76093750000000004</v>
      </c>
      <c r="R6" t="s">
        <v>302</v>
      </c>
    </row>
    <row r="7" spans="1:18" x14ac:dyDescent="0.55000000000000004">
      <c r="A7" t="s">
        <v>284</v>
      </c>
      <c r="B7">
        <v>0</v>
      </c>
      <c r="C7" s="39">
        <v>45838</v>
      </c>
      <c r="D7" s="41">
        <v>0.76144675925925931</v>
      </c>
      <c r="E7" s="41">
        <v>0.76290509259259254</v>
      </c>
      <c r="F7" s="40">
        <f t="shared" si="3"/>
        <v>1.4583333333332282E-3</v>
      </c>
      <c r="G7" s="41">
        <v>0.76168981481481479</v>
      </c>
      <c r="I7" s="41">
        <f>H7-G7</f>
        <v>-0.76168981481481479</v>
      </c>
      <c r="L7" s="41">
        <f t="shared" si="1"/>
        <v>0</v>
      </c>
      <c r="M7" s="41">
        <f>G7-D7</f>
        <v>2.4305555555548253E-4</v>
      </c>
      <c r="N7">
        <v>3</v>
      </c>
      <c r="O7" t="s">
        <v>303</v>
      </c>
      <c r="R7" t="s">
        <v>304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8EB7-A78E-4AA3-9A61-7F8EEB909E92}">
  <dimension ref="A1:C3"/>
  <sheetViews>
    <sheetView workbookViewId="0">
      <selection activeCell="A4" sqref="A4"/>
    </sheetView>
  </sheetViews>
  <sheetFormatPr defaultRowHeight="14.4" x14ac:dyDescent="0.55000000000000004"/>
  <cols>
    <col min="1" max="1" width="12.3125" bestFit="1" customWidth="1"/>
    <col min="2" max="2" width="10.47265625" bestFit="1" customWidth="1"/>
    <col min="3" max="3" width="14.7890625" bestFit="1" customWidth="1"/>
  </cols>
  <sheetData>
    <row r="1" spans="1:3" s="1" customFormat="1" x14ac:dyDescent="0.55000000000000004">
      <c r="A1" s="1" t="s">
        <v>10</v>
      </c>
      <c r="B1" s="1" t="s">
        <v>289</v>
      </c>
      <c r="C1" s="1" t="s">
        <v>290</v>
      </c>
    </row>
    <row r="2" spans="1:3" x14ac:dyDescent="0.55000000000000004">
      <c r="A2">
        <v>0</v>
      </c>
      <c r="B2" t="s">
        <v>288</v>
      </c>
      <c r="C2">
        <v>2</v>
      </c>
    </row>
    <row r="3" spans="1:3" x14ac:dyDescent="0.55000000000000004">
      <c r="A3">
        <v>0</v>
      </c>
      <c r="B3" t="s">
        <v>291</v>
      </c>
      <c r="C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C168-685C-4DF4-A600-FC108154920C}">
  <sheetPr>
    <pageSetUpPr fitToPage="1"/>
  </sheetPr>
  <dimension ref="A1:R108"/>
  <sheetViews>
    <sheetView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R15" sqref="R15"/>
    </sheetView>
  </sheetViews>
  <sheetFormatPr defaultRowHeight="14.4" x14ac:dyDescent="0.55000000000000004"/>
  <cols>
    <col min="2" max="2" width="8.20703125" bestFit="1" customWidth="1"/>
    <col min="3" max="3" width="8.47265625" bestFit="1" customWidth="1"/>
    <col min="4" max="4" width="11.68359375" bestFit="1" customWidth="1"/>
    <col min="5" max="5" width="11.68359375" customWidth="1"/>
    <col min="6" max="6" width="13.62890625" bestFit="1" customWidth="1"/>
    <col min="7" max="7" width="14.68359375" bestFit="1" customWidth="1"/>
    <col min="8" max="8" width="16.7890625" bestFit="1" customWidth="1"/>
    <col min="9" max="10" width="6.7890625" bestFit="1" customWidth="1"/>
    <col min="12" max="12" width="12.9453125" bestFit="1" customWidth="1"/>
    <col min="13" max="13" width="14.26171875" bestFit="1" customWidth="1"/>
    <col min="14" max="15" width="6.7890625" bestFit="1" customWidth="1"/>
    <col min="16" max="16" width="13.62890625" bestFit="1" customWidth="1"/>
    <col min="17" max="17" width="14.68359375" bestFit="1" customWidth="1"/>
    <col min="18" max="18" width="16.7890625" bestFit="1" customWidth="1"/>
  </cols>
  <sheetData>
    <row r="1" spans="1:18" s="2" customFormat="1" ht="15" thickTop="1" thickBot="1" x14ac:dyDescent="0.6">
      <c r="A1" s="14" t="s">
        <v>8</v>
      </c>
      <c r="B1" s="43" t="s">
        <v>181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s="7" customFormat="1" ht="15" thickTop="1" thickBot="1" x14ac:dyDescent="0.6">
      <c r="A2" s="3" t="s">
        <v>1</v>
      </c>
      <c r="B2" s="4" t="s">
        <v>188</v>
      </c>
      <c r="C2" s="5" t="s">
        <v>107</v>
      </c>
      <c r="D2" s="5" t="s">
        <v>189</v>
      </c>
      <c r="E2" s="5" t="s">
        <v>190</v>
      </c>
      <c r="F2" s="5" t="s">
        <v>2</v>
      </c>
      <c r="G2" s="5" t="s">
        <v>3</v>
      </c>
      <c r="H2" s="6" t="s">
        <v>4</v>
      </c>
      <c r="I2" s="4" t="s">
        <v>186</v>
      </c>
      <c r="J2" s="5" t="s">
        <v>185</v>
      </c>
      <c r="K2" s="5" t="s">
        <v>2</v>
      </c>
      <c r="L2" s="5" t="s">
        <v>3</v>
      </c>
      <c r="M2" s="6" t="s">
        <v>4</v>
      </c>
      <c r="N2" s="4" t="s">
        <v>186</v>
      </c>
      <c r="O2" s="5" t="s">
        <v>185</v>
      </c>
      <c r="P2" s="5" t="s">
        <v>2</v>
      </c>
      <c r="Q2" s="5" t="s">
        <v>3</v>
      </c>
      <c r="R2" s="6" t="s">
        <v>4</v>
      </c>
    </row>
    <row r="3" spans="1:18" ht="14.7" thickTop="1" x14ac:dyDescent="0.55000000000000004">
      <c r="A3" s="8" t="s">
        <v>5</v>
      </c>
      <c r="B3" s="32">
        <f>AVERAGE(B9:B108)</f>
        <v>172.99</v>
      </c>
      <c r="C3" s="18">
        <f>AVERAGE(C9:C108)</f>
        <v>2027.66</v>
      </c>
      <c r="D3" s="18">
        <f>AVERAGE(D9:D108)</f>
        <v>776.08695652173913</v>
      </c>
      <c r="E3" s="17">
        <f>AVERAGE(E9:E108)</f>
        <v>2.3163523520400635</v>
      </c>
      <c r="F3">
        <f t="shared" ref="F3:J3" si="0">AVERAGE(F9:F108)</f>
        <v>0</v>
      </c>
      <c r="G3">
        <f t="shared" si="0"/>
        <v>2.0000000000000014E-2</v>
      </c>
      <c r="H3" s="10">
        <f t="shared" si="0"/>
        <v>0</v>
      </c>
      <c r="I3" s="9" t="e">
        <f t="shared" si="0"/>
        <v>#DIV/0!</v>
      </c>
      <c r="J3" t="e">
        <f t="shared" si="0"/>
        <v>#DIV/0!</v>
      </c>
      <c r="K3" t="e">
        <f t="shared" ref="K3:R3" si="1">AVERAGE(K9:K108)</f>
        <v>#DIV/0!</v>
      </c>
      <c r="L3" t="e">
        <f t="shared" si="1"/>
        <v>#DIV/0!</v>
      </c>
      <c r="M3" s="10" t="e">
        <f t="shared" si="1"/>
        <v>#DIV/0!</v>
      </c>
      <c r="N3" s="9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s="10" t="e">
        <f t="shared" si="1"/>
        <v>#DIV/0!</v>
      </c>
    </row>
    <row r="4" spans="1:18" x14ac:dyDescent="0.55000000000000004">
      <c r="A4" s="8" t="s">
        <v>255</v>
      </c>
      <c r="B4" s="18">
        <f>MEDIAN(B9:B108)</f>
        <v>160</v>
      </c>
      <c r="C4" s="18">
        <f t="shared" ref="C4:H4" si="2">MEDIAN(C9:C108)</f>
        <v>1545</v>
      </c>
      <c r="D4" s="18">
        <f t="shared" si="2"/>
        <v>600</v>
      </c>
      <c r="E4" s="18">
        <f t="shared" si="2"/>
        <v>2.2841666666666667</v>
      </c>
      <c r="F4" s="18">
        <f t="shared" si="2"/>
        <v>0</v>
      </c>
      <c r="G4" s="18">
        <f t="shared" si="2"/>
        <v>0.02</v>
      </c>
      <c r="H4" s="18">
        <f t="shared" si="2"/>
        <v>0</v>
      </c>
      <c r="I4" s="9"/>
      <c r="M4" s="10"/>
      <c r="N4" s="9"/>
      <c r="R4" s="10"/>
    </row>
    <row r="5" spans="1:18" x14ac:dyDescent="0.55000000000000004">
      <c r="A5" s="8" t="s">
        <v>256</v>
      </c>
      <c r="B5" s="18">
        <f>_xlfn.QUARTILE.INC(B9:B108, 1)</f>
        <v>140</v>
      </c>
      <c r="C5" s="18">
        <f t="shared" ref="C5:H5" si="3">_xlfn.QUARTILE.INC(C9:C108, 1)</f>
        <v>912.75</v>
      </c>
      <c r="D5" s="18">
        <f t="shared" si="3"/>
        <v>350</v>
      </c>
      <c r="E5" s="18">
        <f t="shared" si="3"/>
        <v>2.1183806818181816</v>
      </c>
      <c r="F5" s="18">
        <f t="shared" si="3"/>
        <v>0</v>
      </c>
      <c r="G5" s="18">
        <f>_xlfn.QUARTILE.INC(G9:G108, 1)</f>
        <v>0.02</v>
      </c>
      <c r="H5" s="18">
        <f t="shared" si="3"/>
        <v>0</v>
      </c>
      <c r="I5" s="9"/>
      <c r="M5" s="10"/>
      <c r="N5" s="9"/>
      <c r="R5" s="10"/>
    </row>
    <row r="6" spans="1:18" x14ac:dyDescent="0.55000000000000004">
      <c r="A6" s="8" t="s">
        <v>257</v>
      </c>
      <c r="B6" s="18">
        <f>_xlfn.QUARTILE.INC(B9:B108, 3)</f>
        <v>206.25</v>
      </c>
      <c r="C6" s="18">
        <f t="shared" ref="C6:H6" si="4">_xlfn.QUARTILE.INC(C9:C108, 3)</f>
        <v>2640</v>
      </c>
      <c r="D6" s="18">
        <f t="shared" si="4"/>
        <v>1100</v>
      </c>
      <c r="E6" s="18">
        <f t="shared" si="4"/>
        <v>2.5076960784313727</v>
      </c>
      <c r="F6" s="18">
        <f t="shared" si="4"/>
        <v>0</v>
      </c>
      <c r="G6" s="18">
        <f t="shared" si="4"/>
        <v>0.02</v>
      </c>
      <c r="H6" s="18">
        <f t="shared" si="4"/>
        <v>0</v>
      </c>
      <c r="I6" s="9"/>
      <c r="M6" s="10"/>
      <c r="N6" s="9"/>
      <c r="R6" s="10"/>
    </row>
    <row r="7" spans="1:18" x14ac:dyDescent="0.55000000000000004">
      <c r="A7" s="8" t="s">
        <v>6</v>
      </c>
      <c r="B7" s="32">
        <f>MIN(B9:B108)</f>
        <v>85</v>
      </c>
      <c r="C7" s="18">
        <f t="shared" ref="C7:D7" si="5">MIN(C9:C108)</f>
        <v>184</v>
      </c>
      <c r="D7" s="18">
        <f t="shared" si="5"/>
        <v>100</v>
      </c>
      <c r="E7" s="17">
        <f t="shared" ref="E7" si="6">MIN(E9:E108)</f>
        <v>1.6</v>
      </c>
      <c r="F7">
        <f t="shared" ref="F7:O7" si="7">MIN(F9:F108)</f>
        <v>0</v>
      </c>
      <c r="G7">
        <f t="shared" si="7"/>
        <v>0.02</v>
      </c>
      <c r="H7" s="10">
        <f t="shared" si="7"/>
        <v>0</v>
      </c>
      <c r="I7" s="9">
        <f t="shared" si="7"/>
        <v>0</v>
      </c>
      <c r="J7">
        <f t="shared" si="7"/>
        <v>0</v>
      </c>
      <c r="K7">
        <f t="shared" ref="K7:N7" si="8">MIN(K9:K108)</f>
        <v>0</v>
      </c>
      <c r="L7">
        <f t="shared" si="8"/>
        <v>0</v>
      </c>
      <c r="M7" s="10">
        <f t="shared" si="8"/>
        <v>0</v>
      </c>
      <c r="N7" s="9">
        <f t="shared" si="8"/>
        <v>0</v>
      </c>
      <c r="O7">
        <f t="shared" si="7"/>
        <v>0</v>
      </c>
      <c r="P7">
        <f t="shared" ref="P7:R7" si="9">MIN(P9:P108)</f>
        <v>0</v>
      </c>
      <c r="Q7">
        <f t="shared" si="9"/>
        <v>0</v>
      </c>
      <c r="R7" s="10">
        <f t="shared" si="9"/>
        <v>0</v>
      </c>
    </row>
    <row r="8" spans="1:18" s="7" customFormat="1" ht="14.7" thickBot="1" x14ac:dyDescent="0.6">
      <c r="A8" s="11" t="s">
        <v>7</v>
      </c>
      <c r="B8" s="33">
        <f>MAX(B9:B108)</f>
        <v>315</v>
      </c>
      <c r="C8" s="34">
        <f t="shared" ref="C8:D8" si="10">MAX(C9:C108)</f>
        <v>10157</v>
      </c>
      <c r="D8" s="34">
        <f t="shared" si="10"/>
        <v>2600</v>
      </c>
      <c r="E8" s="35">
        <f>MAX(E9:E108)</f>
        <v>4.16</v>
      </c>
      <c r="F8" s="7">
        <f t="shared" ref="F8:O8" si="11">MAX(F9:F108)</f>
        <v>0</v>
      </c>
      <c r="G8" s="7">
        <f t="shared" si="11"/>
        <v>0.02</v>
      </c>
      <c r="H8" s="13">
        <f t="shared" si="11"/>
        <v>0</v>
      </c>
      <c r="I8" s="12">
        <f t="shared" si="11"/>
        <v>0</v>
      </c>
      <c r="J8" s="7">
        <f t="shared" si="11"/>
        <v>0</v>
      </c>
      <c r="K8" s="7">
        <f t="shared" ref="K8:N8" si="12">MAX(K9:K108)</f>
        <v>0</v>
      </c>
      <c r="L8" s="7">
        <f t="shared" si="12"/>
        <v>0</v>
      </c>
      <c r="M8" s="13">
        <f t="shared" si="12"/>
        <v>0</v>
      </c>
      <c r="N8" s="12">
        <f t="shared" si="12"/>
        <v>0</v>
      </c>
      <c r="O8" s="7">
        <f t="shared" si="11"/>
        <v>0</v>
      </c>
      <c r="P8" s="7">
        <f t="shared" ref="P8:R8" si="13">MAX(P9:P108)</f>
        <v>0</v>
      </c>
      <c r="Q8" s="7">
        <f t="shared" si="13"/>
        <v>0</v>
      </c>
      <c r="R8" s="13">
        <f t="shared" si="13"/>
        <v>0</v>
      </c>
    </row>
    <row r="9" spans="1:18" ht="14.7" thickTop="1" x14ac:dyDescent="0.55000000000000004">
      <c r="A9" s="8">
        <v>1</v>
      </c>
      <c r="B9" s="18">
        <v>160</v>
      </c>
      <c r="C9" s="18">
        <v>2396</v>
      </c>
      <c r="D9" s="18">
        <v>1100</v>
      </c>
      <c r="E9" s="17">
        <f>C9/D9</f>
        <v>2.1781818181818182</v>
      </c>
      <c r="F9">
        <v>0</v>
      </c>
      <c r="G9">
        <v>0.02</v>
      </c>
      <c r="H9">
        <v>0</v>
      </c>
    </row>
    <row r="10" spans="1:18" x14ac:dyDescent="0.55000000000000004">
      <c r="A10" s="8">
        <v>2</v>
      </c>
      <c r="B10" s="18">
        <v>215</v>
      </c>
      <c r="C10" s="18">
        <v>2806</v>
      </c>
      <c r="D10" s="18">
        <v>1100</v>
      </c>
      <c r="E10" s="17">
        <f t="shared" ref="E10" si="14">C10/D10</f>
        <v>2.5509090909090908</v>
      </c>
      <c r="F10">
        <v>0</v>
      </c>
      <c r="G10">
        <v>0.02</v>
      </c>
      <c r="H10">
        <v>0</v>
      </c>
    </row>
    <row r="11" spans="1:18" x14ac:dyDescent="0.55000000000000004">
      <c r="A11" s="8">
        <v>3</v>
      </c>
      <c r="B11" s="18">
        <v>230</v>
      </c>
      <c r="C11" s="18">
        <v>5781</v>
      </c>
      <c r="D11" s="18"/>
      <c r="E11" s="17"/>
      <c r="F11">
        <v>0</v>
      </c>
      <c r="G11">
        <v>0.02</v>
      </c>
      <c r="H11">
        <v>0</v>
      </c>
    </row>
    <row r="12" spans="1:18" x14ac:dyDescent="0.55000000000000004">
      <c r="A12" s="8">
        <v>4</v>
      </c>
      <c r="B12" s="18">
        <v>190</v>
      </c>
      <c r="C12" s="18">
        <v>2199</v>
      </c>
      <c r="D12" s="18">
        <v>1000</v>
      </c>
      <c r="E12" s="17">
        <f>C12/D12</f>
        <v>2.1989999999999998</v>
      </c>
      <c r="F12">
        <v>0</v>
      </c>
      <c r="G12">
        <v>0.02</v>
      </c>
      <c r="H12">
        <v>0</v>
      </c>
    </row>
    <row r="13" spans="1:18" x14ac:dyDescent="0.55000000000000004">
      <c r="A13" s="8">
        <v>5</v>
      </c>
      <c r="B13" s="18">
        <v>235</v>
      </c>
      <c r="C13" s="18">
        <v>1972</v>
      </c>
      <c r="D13" s="18"/>
      <c r="E13" s="17"/>
      <c r="F13">
        <v>0</v>
      </c>
      <c r="G13">
        <v>0.02</v>
      </c>
      <c r="H13">
        <v>0</v>
      </c>
    </row>
    <row r="14" spans="1:18" x14ac:dyDescent="0.55000000000000004">
      <c r="A14" s="8">
        <v>6</v>
      </c>
      <c r="B14" s="18">
        <v>240</v>
      </c>
      <c r="C14" s="18">
        <v>5053</v>
      </c>
      <c r="D14" s="18"/>
      <c r="E14" s="17"/>
      <c r="F14">
        <v>0</v>
      </c>
      <c r="G14">
        <v>0.02</v>
      </c>
      <c r="H14">
        <v>0</v>
      </c>
    </row>
    <row r="15" spans="1:18" x14ac:dyDescent="0.55000000000000004">
      <c r="A15" s="8">
        <v>7</v>
      </c>
      <c r="B15" s="18">
        <v>165</v>
      </c>
      <c r="C15" s="18">
        <v>1719</v>
      </c>
      <c r="D15" s="18">
        <v>900</v>
      </c>
      <c r="E15" s="17">
        <f t="shared" ref="E15:E76" si="15">C15/D15</f>
        <v>1.91</v>
      </c>
      <c r="F15">
        <v>0</v>
      </c>
      <c r="G15">
        <v>0.02</v>
      </c>
      <c r="H15">
        <v>0</v>
      </c>
    </row>
    <row r="16" spans="1:18" x14ac:dyDescent="0.55000000000000004">
      <c r="A16" s="8">
        <v>8</v>
      </c>
      <c r="B16" s="18">
        <v>139</v>
      </c>
      <c r="C16" s="18">
        <v>1211</v>
      </c>
      <c r="D16" s="18">
        <v>500</v>
      </c>
      <c r="E16" s="17">
        <f t="shared" si="15"/>
        <v>2.4220000000000002</v>
      </c>
      <c r="F16">
        <v>0</v>
      </c>
      <c r="G16">
        <v>0.02</v>
      </c>
      <c r="H16">
        <v>0</v>
      </c>
    </row>
    <row r="17" spans="1:8" x14ac:dyDescent="0.55000000000000004">
      <c r="A17" s="8">
        <v>9</v>
      </c>
      <c r="B17" s="18">
        <v>160</v>
      </c>
      <c r="C17" s="18">
        <v>1640</v>
      </c>
      <c r="D17" s="18">
        <v>600</v>
      </c>
      <c r="E17" s="17">
        <f t="shared" si="15"/>
        <v>2.7333333333333334</v>
      </c>
      <c r="F17">
        <v>0</v>
      </c>
      <c r="G17">
        <v>0.02</v>
      </c>
      <c r="H17">
        <v>0</v>
      </c>
    </row>
    <row r="18" spans="1:8" x14ac:dyDescent="0.55000000000000004">
      <c r="A18" s="8">
        <v>10</v>
      </c>
      <c r="B18" s="18">
        <v>265</v>
      </c>
      <c r="C18" s="18">
        <v>4691</v>
      </c>
      <c r="D18" s="18"/>
      <c r="E18" s="17"/>
      <c r="F18">
        <v>0</v>
      </c>
      <c r="G18">
        <v>0.02</v>
      </c>
      <c r="H18">
        <v>0</v>
      </c>
    </row>
    <row r="19" spans="1:8" x14ac:dyDescent="0.55000000000000004">
      <c r="A19" s="8">
        <v>11</v>
      </c>
      <c r="B19" s="18">
        <v>180</v>
      </c>
      <c r="C19" s="18">
        <v>1700</v>
      </c>
      <c r="D19" s="18">
        <v>700</v>
      </c>
      <c r="E19" s="17">
        <f t="shared" si="15"/>
        <v>2.4285714285714284</v>
      </c>
      <c r="F19">
        <v>0</v>
      </c>
      <c r="G19">
        <v>0.02</v>
      </c>
      <c r="H19">
        <v>0</v>
      </c>
    </row>
    <row r="20" spans="1:8" x14ac:dyDescent="0.55000000000000004">
      <c r="A20" s="8">
        <v>12</v>
      </c>
      <c r="B20" s="18">
        <v>195</v>
      </c>
      <c r="C20" s="18">
        <v>2329</v>
      </c>
      <c r="D20" s="18">
        <v>1100</v>
      </c>
      <c r="E20" s="17">
        <f t="shared" si="15"/>
        <v>2.1172727272727272</v>
      </c>
      <c r="F20">
        <v>0</v>
      </c>
      <c r="G20">
        <v>0.02</v>
      </c>
      <c r="H20">
        <v>0</v>
      </c>
    </row>
    <row r="21" spans="1:8" x14ac:dyDescent="0.55000000000000004">
      <c r="A21" s="8">
        <v>13</v>
      </c>
      <c r="B21" s="18">
        <v>130</v>
      </c>
      <c r="C21" s="18">
        <v>1057</v>
      </c>
      <c r="D21" s="18">
        <v>500</v>
      </c>
      <c r="E21" s="17">
        <f t="shared" si="15"/>
        <v>2.1139999999999999</v>
      </c>
      <c r="F21">
        <v>0</v>
      </c>
      <c r="G21">
        <v>0.02</v>
      </c>
      <c r="H21">
        <v>0</v>
      </c>
    </row>
    <row r="22" spans="1:8" x14ac:dyDescent="0.55000000000000004">
      <c r="A22" s="8">
        <v>14</v>
      </c>
      <c r="B22" s="18">
        <v>170</v>
      </c>
      <c r="C22" s="18">
        <v>1589</v>
      </c>
      <c r="D22" s="18">
        <v>700</v>
      </c>
      <c r="E22" s="17">
        <f t="shared" si="15"/>
        <v>2.27</v>
      </c>
      <c r="F22">
        <v>0</v>
      </c>
      <c r="G22">
        <v>0.02</v>
      </c>
      <c r="H22">
        <v>0</v>
      </c>
    </row>
    <row r="23" spans="1:8" x14ac:dyDescent="0.55000000000000004">
      <c r="A23" s="8">
        <v>15</v>
      </c>
      <c r="B23" s="18">
        <v>260</v>
      </c>
      <c r="C23" s="18">
        <v>2812</v>
      </c>
      <c r="D23" s="18">
        <v>1300</v>
      </c>
      <c r="E23" s="17">
        <f t="shared" si="15"/>
        <v>2.1630769230769231</v>
      </c>
      <c r="F23">
        <v>0</v>
      </c>
      <c r="G23">
        <v>0.02</v>
      </c>
      <c r="H23">
        <v>0</v>
      </c>
    </row>
    <row r="24" spans="1:8" x14ac:dyDescent="0.55000000000000004">
      <c r="A24" s="8">
        <v>16</v>
      </c>
      <c r="B24" s="18">
        <v>210</v>
      </c>
      <c r="C24" s="18">
        <v>3077</v>
      </c>
      <c r="D24" s="18">
        <v>1400</v>
      </c>
      <c r="E24" s="17">
        <f t="shared" si="15"/>
        <v>2.197857142857143</v>
      </c>
      <c r="F24">
        <v>0</v>
      </c>
      <c r="G24">
        <v>0.02</v>
      </c>
      <c r="H24">
        <v>0</v>
      </c>
    </row>
    <row r="25" spans="1:8" x14ac:dyDescent="0.55000000000000004">
      <c r="A25" s="8">
        <v>17</v>
      </c>
      <c r="B25" s="18">
        <v>150</v>
      </c>
      <c r="C25" s="18">
        <v>1695</v>
      </c>
      <c r="D25" s="18">
        <v>800</v>
      </c>
      <c r="E25" s="17">
        <f t="shared" si="15"/>
        <v>2.1187499999999999</v>
      </c>
      <c r="F25">
        <v>0</v>
      </c>
      <c r="G25">
        <v>0.02</v>
      </c>
      <c r="H25">
        <v>0</v>
      </c>
    </row>
    <row r="26" spans="1:8" x14ac:dyDescent="0.55000000000000004">
      <c r="A26" s="8">
        <v>18</v>
      </c>
      <c r="B26" s="18">
        <v>140</v>
      </c>
      <c r="C26" s="18">
        <v>640</v>
      </c>
      <c r="D26" s="18">
        <v>400</v>
      </c>
      <c r="E26" s="17">
        <f t="shared" si="15"/>
        <v>1.6</v>
      </c>
      <c r="F26">
        <v>0</v>
      </c>
      <c r="G26">
        <v>0.02</v>
      </c>
      <c r="H26">
        <v>0</v>
      </c>
    </row>
    <row r="27" spans="1:8" x14ac:dyDescent="0.55000000000000004">
      <c r="A27" s="8">
        <v>19</v>
      </c>
      <c r="B27" s="18">
        <v>145</v>
      </c>
      <c r="C27" s="18">
        <v>1466</v>
      </c>
      <c r="D27" s="18">
        <v>500</v>
      </c>
      <c r="E27" s="17">
        <f t="shared" si="15"/>
        <v>2.9319999999999999</v>
      </c>
      <c r="F27">
        <v>0</v>
      </c>
      <c r="G27">
        <v>0.02</v>
      </c>
      <c r="H27">
        <v>0</v>
      </c>
    </row>
    <row r="28" spans="1:8" x14ac:dyDescent="0.55000000000000004">
      <c r="A28" s="8">
        <v>20</v>
      </c>
      <c r="B28" s="18">
        <v>170</v>
      </c>
      <c r="C28" s="18">
        <v>1073</v>
      </c>
      <c r="D28" s="18">
        <v>400</v>
      </c>
      <c r="E28" s="17">
        <f t="shared" si="15"/>
        <v>2.6825000000000001</v>
      </c>
      <c r="F28">
        <v>0</v>
      </c>
      <c r="G28">
        <v>0.02</v>
      </c>
      <c r="H28">
        <v>0</v>
      </c>
    </row>
    <row r="29" spans="1:8" x14ac:dyDescent="0.55000000000000004">
      <c r="A29" s="8">
        <v>21</v>
      </c>
      <c r="B29" s="18">
        <v>160</v>
      </c>
      <c r="C29" s="18">
        <v>1788</v>
      </c>
      <c r="D29" s="18">
        <v>800</v>
      </c>
      <c r="E29" s="17">
        <f t="shared" si="15"/>
        <v>2.2349999999999999</v>
      </c>
      <c r="F29">
        <v>0</v>
      </c>
      <c r="G29">
        <v>0.02</v>
      </c>
      <c r="H29">
        <v>0</v>
      </c>
    </row>
    <row r="30" spans="1:8" x14ac:dyDescent="0.55000000000000004">
      <c r="A30" s="8">
        <v>22</v>
      </c>
      <c r="B30" s="18">
        <v>140</v>
      </c>
      <c r="C30" s="18">
        <v>805</v>
      </c>
      <c r="D30" s="18">
        <v>300</v>
      </c>
      <c r="E30" s="17">
        <f t="shared" si="15"/>
        <v>2.6833333333333331</v>
      </c>
      <c r="F30">
        <v>0</v>
      </c>
      <c r="G30">
        <v>0.02</v>
      </c>
      <c r="H30">
        <v>0</v>
      </c>
    </row>
    <row r="31" spans="1:8" x14ac:dyDescent="0.55000000000000004">
      <c r="A31" s="8">
        <v>23</v>
      </c>
      <c r="B31" s="18">
        <v>145</v>
      </c>
      <c r="C31" s="18">
        <v>1477</v>
      </c>
      <c r="D31" s="18">
        <v>800</v>
      </c>
      <c r="E31" s="17">
        <f t="shared" si="15"/>
        <v>1.8462499999999999</v>
      </c>
      <c r="F31">
        <v>0</v>
      </c>
      <c r="G31">
        <v>0.02</v>
      </c>
      <c r="H31">
        <v>0</v>
      </c>
    </row>
    <row r="32" spans="1:8" x14ac:dyDescent="0.55000000000000004">
      <c r="A32" s="8">
        <v>24</v>
      </c>
      <c r="B32" s="18">
        <v>170</v>
      </c>
      <c r="C32" s="18">
        <v>1719</v>
      </c>
      <c r="D32" s="18">
        <v>800</v>
      </c>
      <c r="E32" s="17">
        <f t="shared" si="15"/>
        <v>2.1487500000000002</v>
      </c>
      <c r="F32">
        <v>0</v>
      </c>
      <c r="G32">
        <v>0.02</v>
      </c>
      <c r="H32">
        <v>0</v>
      </c>
    </row>
    <row r="33" spans="1:8" x14ac:dyDescent="0.55000000000000004">
      <c r="A33" s="8">
        <v>25</v>
      </c>
      <c r="B33" s="18">
        <v>125</v>
      </c>
      <c r="C33" s="18">
        <v>517</v>
      </c>
      <c r="D33" s="18">
        <v>200</v>
      </c>
      <c r="E33" s="17">
        <f t="shared" si="15"/>
        <v>2.585</v>
      </c>
      <c r="F33">
        <v>0</v>
      </c>
      <c r="G33">
        <v>0.02</v>
      </c>
      <c r="H33">
        <v>0</v>
      </c>
    </row>
    <row r="34" spans="1:8" x14ac:dyDescent="0.55000000000000004">
      <c r="A34" s="8">
        <v>26</v>
      </c>
      <c r="B34" s="18">
        <v>150</v>
      </c>
      <c r="C34" s="18">
        <v>1397</v>
      </c>
      <c r="D34" s="18">
        <v>500</v>
      </c>
      <c r="E34" s="17">
        <f t="shared" si="15"/>
        <v>2.794</v>
      </c>
      <c r="F34">
        <v>0</v>
      </c>
      <c r="G34">
        <v>0.02</v>
      </c>
      <c r="H34">
        <v>0</v>
      </c>
    </row>
    <row r="35" spans="1:8" x14ac:dyDescent="0.55000000000000004">
      <c r="A35" s="8">
        <v>27</v>
      </c>
      <c r="B35" s="18">
        <v>140</v>
      </c>
      <c r="C35" s="18">
        <v>1235</v>
      </c>
      <c r="D35" s="18">
        <v>500</v>
      </c>
      <c r="E35" s="17">
        <f t="shared" si="15"/>
        <v>2.4700000000000002</v>
      </c>
      <c r="F35">
        <v>0</v>
      </c>
      <c r="G35">
        <v>0.02</v>
      </c>
      <c r="H35">
        <v>0</v>
      </c>
    </row>
    <row r="36" spans="1:8" x14ac:dyDescent="0.55000000000000004">
      <c r="A36" s="8">
        <v>28</v>
      </c>
      <c r="B36" s="18">
        <v>180</v>
      </c>
      <c r="C36" s="18">
        <v>3553</v>
      </c>
      <c r="D36" s="18">
        <v>1700</v>
      </c>
      <c r="E36" s="17">
        <f t="shared" si="15"/>
        <v>2.09</v>
      </c>
      <c r="F36">
        <v>0</v>
      </c>
      <c r="G36">
        <v>0.02</v>
      </c>
      <c r="H36">
        <v>0</v>
      </c>
    </row>
    <row r="37" spans="1:8" x14ac:dyDescent="0.55000000000000004">
      <c r="A37" s="8">
        <v>29</v>
      </c>
      <c r="B37" s="18">
        <v>230</v>
      </c>
      <c r="C37" s="18">
        <v>4258</v>
      </c>
      <c r="D37" s="18">
        <v>1700</v>
      </c>
      <c r="E37" s="17">
        <f t="shared" si="15"/>
        <v>2.5047058823529413</v>
      </c>
      <c r="F37">
        <v>0</v>
      </c>
      <c r="G37">
        <v>0.02</v>
      </c>
      <c r="H37">
        <v>0</v>
      </c>
    </row>
    <row r="38" spans="1:8" x14ac:dyDescent="0.55000000000000004">
      <c r="A38" s="8">
        <v>30</v>
      </c>
      <c r="B38" s="18">
        <v>250</v>
      </c>
      <c r="C38" s="18">
        <v>5376</v>
      </c>
      <c r="D38" s="18">
        <v>2200</v>
      </c>
      <c r="E38" s="17">
        <f t="shared" si="15"/>
        <v>2.4436363636363638</v>
      </c>
      <c r="F38">
        <v>0</v>
      </c>
      <c r="G38">
        <v>0.02</v>
      </c>
      <c r="H38">
        <v>0</v>
      </c>
    </row>
    <row r="39" spans="1:8" x14ac:dyDescent="0.55000000000000004">
      <c r="A39" s="8">
        <v>31</v>
      </c>
      <c r="B39" s="18">
        <v>130</v>
      </c>
      <c r="C39" s="18">
        <v>658</v>
      </c>
      <c r="D39" s="18">
        <v>300</v>
      </c>
      <c r="E39" s="17">
        <f t="shared" si="15"/>
        <v>2.1933333333333334</v>
      </c>
      <c r="F39">
        <v>0</v>
      </c>
      <c r="G39">
        <v>0.02</v>
      </c>
      <c r="H39">
        <v>0</v>
      </c>
    </row>
    <row r="40" spans="1:8" x14ac:dyDescent="0.55000000000000004">
      <c r="A40" s="8">
        <v>32</v>
      </c>
      <c r="B40" s="18">
        <v>200</v>
      </c>
      <c r="C40" s="18">
        <v>1961</v>
      </c>
      <c r="D40" s="18">
        <v>900</v>
      </c>
      <c r="E40" s="17">
        <f t="shared" si="15"/>
        <v>2.1788888888888889</v>
      </c>
      <c r="F40">
        <v>0</v>
      </c>
      <c r="G40">
        <v>0.02</v>
      </c>
      <c r="H40">
        <v>0</v>
      </c>
    </row>
    <row r="41" spans="1:8" x14ac:dyDescent="0.55000000000000004">
      <c r="A41" s="8">
        <v>33</v>
      </c>
      <c r="B41" s="18">
        <v>150</v>
      </c>
      <c r="C41" s="18">
        <v>1346</v>
      </c>
      <c r="D41" s="18">
        <v>600</v>
      </c>
      <c r="E41" s="17">
        <f t="shared" si="15"/>
        <v>2.2433333333333332</v>
      </c>
      <c r="F41">
        <v>0</v>
      </c>
      <c r="G41">
        <v>0.02</v>
      </c>
      <c r="H41">
        <v>0</v>
      </c>
    </row>
    <row r="42" spans="1:8" x14ac:dyDescent="0.55000000000000004">
      <c r="A42" s="8">
        <v>34</v>
      </c>
      <c r="B42" s="18">
        <v>150</v>
      </c>
      <c r="C42" s="18">
        <v>917</v>
      </c>
      <c r="D42" s="18">
        <v>500</v>
      </c>
      <c r="E42" s="17">
        <f t="shared" si="15"/>
        <v>1.8340000000000001</v>
      </c>
      <c r="F42">
        <v>0</v>
      </c>
      <c r="G42">
        <v>0.02</v>
      </c>
      <c r="H42">
        <v>0</v>
      </c>
    </row>
    <row r="43" spans="1:8" x14ac:dyDescent="0.55000000000000004">
      <c r="A43" s="8">
        <v>35</v>
      </c>
      <c r="B43" s="18">
        <v>165</v>
      </c>
      <c r="C43" s="18">
        <v>2602</v>
      </c>
      <c r="D43" s="18">
        <v>1100</v>
      </c>
      <c r="E43" s="17">
        <f t="shared" si="15"/>
        <v>2.3654545454545453</v>
      </c>
      <c r="F43">
        <v>0</v>
      </c>
      <c r="G43">
        <v>0.02</v>
      </c>
      <c r="H43">
        <v>0</v>
      </c>
    </row>
    <row r="44" spans="1:8" x14ac:dyDescent="0.55000000000000004">
      <c r="A44" s="8">
        <v>36</v>
      </c>
      <c r="B44" s="18">
        <v>160</v>
      </c>
      <c r="C44" s="18">
        <v>1843</v>
      </c>
      <c r="D44" s="18">
        <v>900</v>
      </c>
      <c r="E44" s="17">
        <f t="shared" si="15"/>
        <v>2.0477777777777777</v>
      </c>
      <c r="F44">
        <v>0</v>
      </c>
      <c r="G44">
        <v>0.02</v>
      </c>
      <c r="H44">
        <v>0</v>
      </c>
    </row>
    <row r="45" spans="1:8" x14ac:dyDescent="0.55000000000000004">
      <c r="A45" s="8">
        <v>37</v>
      </c>
      <c r="B45" s="18">
        <v>135</v>
      </c>
      <c r="C45" s="18">
        <v>682</v>
      </c>
      <c r="D45" s="18">
        <v>300</v>
      </c>
      <c r="E45" s="17">
        <f t="shared" si="15"/>
        <v>2.2733333333333334</v>
      </c>
      <c r="F45">
        <v>0</v>
      </c>
      <c r="G45">
        <v>0.02</v>
      </c>
      <c r="H45">
        <v>0</v>
      </c>
    </row>
    <row r="46" spans="1:8" x14ac:dyDescent="0.55000000000000004">
      <c r="A46" s="8">
        <v>38</v>
      </c>
      <c r="B46" s="18">
        <v>150</v>
      </c>
      <c r="C46" s="18">
        <v>1025</v>
      </c>
      <c r="D46" s="18">
        <v>400</v>
      </c>
      <c r="E46" s="17">
        <f t="shared" si="15"/>
        <v>2.5625</v>
      </c>
      <c r="F46">
        <v>0</v>
      </c>
      <c r="G46">
        <v>0.02</v>
      </c>
      <c r="H46">
        <v>0</v>
      </c>
    </row>
    <row r="47" spans="1:8" x14ac:dyDescent="0.55000000000000004">
      <c r="A47" s="8">
        <v>39</v>
      </c>
      <c r="B47" s="18">
        <v>200</v>
      </c>
      <c r="C47" s="18">
        <v>4481</v>
      </c>
      <c r="D47" s="18">
        <v>2000</v>
      </c>
      <c r="E47" s="17">
        <f t="shared" si="15"/>
        <v>2.2404999999999999</v>
      </c>
      <c r="F47">
        <v>0</v>
      </c>
      <c r="G47">
        <v>0.02</v>
      </c>
      <c r="H47">
        <v>0</v>
      </c>
    </row>
    <row r="48" spans="1:8" x14ac:dyDescent="0.55000000000000004">
      <c r="A48" s="8">
        <v>40</v>
      </c>
      <c r="B48" s="18">
        <v>270</v>
      </c>
      <c r="C48" s="18">
        <v>5996</v>
      </c>
      <c r="D48" s="18">
        <v>2600</v>
      </c>
      <c r="E48" s="17">
        <f t="shared" si="15"/>
        <v>2.3061538461538462</v>
      </c>
      <c r="F48">
        <v>0</v>
      </c>
      <c r="G48">
        <v>0.02</v>
      </c>
      <c r="H48">
        <v>0</v>
      </c>
    </row>
    <row r="49" spans="1:8" x14ac:dyDescent="0.55000000000000004">
      <c r="A49" s="8">
        <v>41</v>
      </c>
      <c r="B49" s="18">
        <v>210</v>
      </c>
      <c r="C49" s="18">
        <v>866</v>
      </c>
      <c r="D49" s="18">
        <v>300</v>
      </c>
      <c r="E49" s="17">
        <f t="shared" si="15"/>
        <v>2.8866666666666667</v>
      </c>
      <c r="F49">
        <v>0</v>
      </c>
      <c r="G49">
        <v>0.02</v>
      </c>
      <c r="H49">
        <v>0</v>
      </c>
    </row>
    <row r="50" spans="1:8" x14ac:dyDescent="0.55000000000000004">
      <c r="A50" s="8">
        <v>42</v>
      </c>
      <c r="B50" s="18">
        <v>210</v>
      </c>
      <c r="C50" s="18">
        <v>1528</v>
      </c>
      <c r="D50" s="18">
        <v>600</v>
      </c>
      <c r="E50" s="17">
        <f t="shared" si="15"/>
        <v>2.5466666666666669</v>
      </c>
      <c r="F50">
        <v>0</v>
      </c>
      <c r="G50">
        <v>0.02</v>
      </c>
      <c r="H50">
        <v>0</v>
      </c>
    </row>
    <row r="51" spans="1:8" x14ac:dyDescent="0.55000000000000004">
      <c r="A51" s="8">
        <v>43</v>
      </c>
      <c r="B51" s="18">
        <v>220</v>
      </c>
      <c r="C51" s="18">
        <v>2176</v>
      </c>
      <c r="D51" s="18">
        <v>1350</v>
      </c>
      <c r="E51" s="17">
        <f t="shared" si="15"/>
        <v>1.6118518518518519</v>
      </c>
      <c r="F51">
        <v>0</v>
      </c>
      <c r="G51">
        <v>0.02</v>
      </c>
      <c r="H51">
        <v>0</v>
      </c>
    </row>
    <row r="52" spans="1:8" x14ac:dyDescent="0.55000000000000004">
      <c r="A52" s="8">
        <v>44</v>
      </c>
      <c r="B52" s="18">
        <v>145</v>
      </c>
      <c r="C52" s="18">
        <v>891</v>
      </c>
      <c r="D52" s="18">
        <v>350</v>
      </c>
      <c r="E52" s="17">
        <f t="shared" si="15"/>
        <v>2.5457142857142858</v>
      </c>
      <c r="F52">
        <v>0</v>
      </c>
      <c r="G52">
        <v>0.02</v>
      </c>
      <c r="H52">
        <v>0</v>
      </c>
    </row>
    <row r="53" spans="1:8" x14ac:dyDescent="0.55000000000000004">
      <c r="A53" s="8">
        <v>45</v>
      </c>
      <c r="B53" s="18">
        <v>120</v>
      </c>
      <c r="C53" s="18">
        <v>1343</v>
      </c>
      <c r="D53" s="18">
        <v>600</v>
      </c>
      <c r="E53" s="17">
        <f t="shared" si="15"/>
        <v>2.2383333333333333</v>
      </c>
      <c r="F53">
        <v>0</v>
      </c>
      <c r="G53">
        <v>0.02</v>
      </c>
      <c r="H53">
        <v>0</v>
      </c>
    </row>
    <row r="54" spans="1:8" x14ac:dyDescent="0.55000000000000004">
      <c r="A54" s="8">
        <v>46</v>
      </c>
      <c r="B54" s="18">
        <v>100</v>
      </c>
      <c r="C54" s="18">
        <v>281</v>
      </c>
      <c r="D54" s="18">
        <v>100</v>
      </c>
      <c r="E54" s="17">
        <f t="shared" si="15"/>
        <v>2.81</v>
      </c>
      <c r="F54">
        <v>0</v>
      </c>
      <c r="G54">
        <v>0.02</v>
      </c>
      <c r="H54">
        <v>0</v>
      </c>
    </row>
    <row r="55" spans="1:8" x14ac:dyDescent="0.55000000000000004">
      <c r="A55" s="8">
        <v>47</v>
      </c>
      <c r="B55" s="18">
        <v>85</v>
      </c>
      <c r="C55" s="18">
        <v>184</v>
      </c>
      <c r="D55" s="18">
        <v>100</v>
      </c>
      <c r="E55" s="17">
        <f t="shared" si="15"/>
        <v>1.84</v>
      </c>
      <c r="F55">
        <v>0</v>
      </c>
      <c r="G55">
        <v>0.02</v>
      </c>
      <c r="H55">
        <v>0</v>
      </c>
    </row>
    <row r="56" spans="1:8" x14ac:dyDescent="0.55000000000000004">
      <c r="A56" s="8">
        <v>48</v>
      </c>
      <c r="B56" s="18">
        <v>210</v>
      </c>
      <c r="C56" s="18">
        <v>3348</v>
      </c>
      <c r="D56" s="18">
        <v>1600</v>
      </c>
      <c r="E56" s="17">
        <f t="shared" si="15"/>
        <v>2.0924999999999998</v>
      </c>
      <c r="F56">
        <v>0</v>
      </c>
      <c r="G56">
        <v>0.02</v>
      </c>
      <c r="H56">
        <v>0</v>
      </c>
    </row>
    <row r="57" spans="1:8" x14ac:dyDescent="0.55000000000000004">
      <c r="A57" s="8">
        <v>49</v>
      </c>
      <c r="B57" s="18">
        <v>210</v>
      </c>
      <c r="C57" s="18">
        <v>3252</v>
      </c>
      <c r="D57" s="18">
        <v>1800</v>
      </c>
      <c r="E57" s="17">
        <f t="shared" si="15"/>
        <v>1.8066666666666666</v>
      </c>
      <c r="F57">
        <v>0</v>
      </c>
      <c r="G57">
        <v>0.02</v>
      </c>
      <c r="H57">
        <v>0</v>
      </c>
    </row>
    <row r="58" spans="1:8" x14ac:dyDescent="0.55000000000000004">
      <c r="A58" s="8">
        <v>50</v>
      </c>
      <c r="B58" s="18">
        <v>315</v>
      </c>
      <c r="C58" s="18">
        <v>10157</v>
      </c>
      <c r="D58" s="18"/>
      <c r="E58" s="17"/>
      <c r="F58">
        <v>0</v>
      </c>
      <c r="G58">
        <v>0.02</v>
      </c>
      <c r="H58">
        <v>0</v>
      </c>
    </row>
    <row r="59" spans="1:8" x14ac:dyDescent="0.55000000000000004">
      <c r="A59" s="8">
        <v>51</v>
      </c>
      <c r="B59" s="18">
        <v>245</v>
      </c>
      <c r="C59" s="18">
        <v>5335</v>
      </c>
      <c r="D59" s="18"/>
      <c r="E59" s="17"/>
      <c r="F59">
        <v>0</v>
      </c>
      <c r="G59">
        <v>0.02</v>
      </c>
      <c r="H59">
        <v>0</v>
      </c>
    </row>
    <row r="60" spans="1:8" x14ac:dyDescent="0.55000000000000004">
      <c r="A60" s="8">
        <v>52</v>
      </c>
      <c r="B60" s="18">
        <v>270</v>
      </c>
      <c r="C60" s="18">
        <v>4843</v>
      </c>
      <c r="D60" s="18">
        <v>2500</v>
      </c>
      <c r="E60" s="17">
        <f t="shared" si="15"/>
        <v>1.9372</v>
      </c>
      <c r="F60">
        <v>0</v>
      </c>
      <c r="G60">
        <v>0.02</v>
      </c>
      <c r="H60">
        <v>0</v>
      </c>
    </row>
    <row r="61" spans="1:8" x14ac:dyDescent="0.55000000000000004">
      <c r="A61" s="8">
        <v>53</v>
      </c>
      <c r="B61" s="18">
        <v>140</v>
      </c>
      <c r="C61" s="18">
        <v>1314</v>
      </c>
      <c r="D61" s="18">
        <v>600</v>
      </c>
      <c r="E61" s="17">
        <f t="shared" si="15"/>
        <v>2.19</v>
      </c>
      <c r="F61">
        <v>0</v>
      </c>
      <c r="G61">
        <v>0.02</v>
      </c>
      <c r="H61">
        <v>0</v>
      </c>
    </row>
    <row r="62" spans="1:8" x14ac:dyDescent="0.55000000000000004">
      <c r="A62" s="8">
        <v>54</v>
      </c>
      <c r="B62" s="18">
        <v>200</v>
      </c>
      <c r="C62" s="18">
        <v>2353</v>
      </c>
      <c r="D62" s="18">
        <v>1000</v>
      </c>
      <c r="E62" s="17">
        <f t="shared" si="15"/>
        <v>2.3530000000000002</v>
      </c>
      <c r="F62">
        <v>0</v>
      </c>
      <c r="G62">
        <v>0.02</v>
      </c>
      <c r="H62">
        <v>0</v>
      </c>
    </row>
    <row r="63" spans="1:8" x14ac:dyDescent="0.55000000000000004">
      <c r="A63" s="8">
        <v>55</v>
      </c>
      <c r="B63" s="18">
        <v>150</v>
      </c>
      <c r="C63" s="18">
        <v>1212</v>
      </c>
      <c r="D63" s="18">
        <v>500</v>
      </c>
      <c r="E63" s="17">
        <f t="shared" si="15"/>
        <v>2.4239999999999999</v>
      </c>
      <c r="F63">
        <v>0</v>
      </c>
      <c r="G63">
        <v>0.02</v>
      </c>
      <c r="H63">
        <v>0</v>
      </c>
    </row>
    <row r="64" spans="1:8" x14ac:dyDescent="0.55000000000000004">
      <c r="A64" s="8">
        <v>56</v>
      </c>
      <c r="B64" s="18">
        <v>130</v>
      </c>
      <c r="C64" s="18">
        <v>949</v>
      </c>
      <c r="D64" s="18">
        <v>400</v>
      </c>
      <c r="E64" s="17">
        <f t="shared" si="15"/>
        <v>2.3725000000000001</v>
      </c>
      <c r="F64">
        <v>0</v>
      </c>
      <c r="G64">
        <v>0.02</v>
      </c>
      <c r="H64">
        <v>0</v>
      </c>
    </row>
    <row r="65" spans="1:8" x14ac:dyDescent="0.55000000000000004">
      <c r="A65" s="8">
        <v>57</v>
      </c>
      <c r="B65" s="18">
        <v>105</v>
      </c>
      <c r="C65" s="18">
        <v>651</v>
      </c>
      <c r="D65" s="18">
        <v>250</v>
      </c>
      <c r="E65" s="17">
        <f t="shared" si="15"/>
        <v>2.6040000000000001</v>
      </c>
      <c r="F65">
        <v>0</v>
      </c>
      <c r="G65">
        <v>0.02</v>
      </c>
      <c r="H65">
        <v>0</v>
      </c>
    </row>
    <row r="66" spans="1:8" x14ac:dyDescent="0.55000000000000004">
      <c r="A66" s="8">
        <v>58</v>
      </c>
      <c r="B66" s="18">
        <v>120</v>
      </c>
      <c r="C66" s="18">
        <v>500</v>
      </c>
      <c r="D66" s="18">
        <v>200</v>
      </c>
      <c r="E66" s="17">
        <f t="shared" si="15"/>
        <v>2.5</v>
      </c>
      <c r="F66">
        <v>0</v>
      </c>
      <c r="G66">
        <v>0.02</v>
      </c>
      <c r="H66">
        <v>0</v>
      </c>
    </row>
    <row r="67" spans="1:8" x14ac:dyDescent="0.55000000000000004">
      <c r="A67" s="8">
        <v>59</v>
      </c>
      <c r="B67" s="18">
        <v>205</v>
      </c>
      <c r="C67" s="18">
        <v>1245</v>
      </c>
      <c r="D67" s="18">
        <v>500</v>
      </c>
      <c r="E67" s="17">
        <f t="shared" si="15"/>
        <v>2.4900000000000002</v>
      </c>
      <c r="F67">
        <v>0</v>
      </c>
      <c r="G67">
        <v>0.02</v>
      </c>
      <c r="H67">
        <v>0</v>
      </c>
    </row>
    <row r="68" spans="1:8" x14ac:dyDescent="0.55000000000000004">
      <c r="A68" s="8">
        <v>60</v>
      </c>
      <c r="B68" s="18">
        <v>170</v>
      </c>
      <c r="C68" s="18">
        <v>1035</v>
      </c>
      <c r="D68" s="18">
        <v>400</v>
      </c>
      <c r="E68" s="17">
        <f t="shared" si="15"/>
        <v>2.5874999999999999</v>
      </c>
      <c r="F68">
        <v>0</v>
      </c>
      <c r="G68">
        <v>0.02</v>
      </c>
      <c r="H68">
        <v>0</v>
      </c>
    </row>
    <row r="69" spans="1:8" x14ac:dyDescent="0.55000000000000004">
      <c r="A69" s="8">
        <v>61</v>
      </c>
      <c r="B69" s="18">
        <v>165</v>
      </c>
      <c r="C69" s="18">
        <v>894</v>
      </c>
      <c r="D69" s="18">
        <v>350</v>
      </c>
      <c r="E69" s="17">
        <f t="shared" si="15"/>
        <v>2.5542857142857143</v>
      </c>
      <c r="F69">
        <v>0</v>
      </c>
      <c r="G69">
        <v>0.02</v>
      </c>
      <c r="H69">
        <v>0</v>
      </c>
    </row>
    <row r="70" spans="1:8" x14ac:dyDescent="0.55000000000000004">
      <c r="A70" s="8">
        <v>62</v>
      </c>
      <c r="B70" s="18">
        <v>155</v>
      </c>
      <c r="C70" s="18">
        <v>964</v>
      </c>
      <c r="D70" s="18">
        <v>350</v>
      </c>
      <c r="E70" s="17">
        <f t="shared" si="15"/>
        <v>2.7542857142857144</v>
      </c>
      <c r="F70">
        <v>0</v>
      </c>
      <c r="G70">
        <v>0.02</v>
      </c>
      <c r="H70">
        <v>0</v>
      </c>
    </row>
    <row r="71" spans="1:8" x14ac:dyDescent="0.55000000000000004">
      <c r="A71" s="8">
        <v>63</v>
      </c>
      <c r="B71" s="18">
        <v>145</v>
      </c>
      <c r="C71" s="18">
        <v>1577</v>
      </c>
      <c r="D71" s="18">
        <v>700</v>
      </c>
      <c r="E71" s="17">
        <f t="shared" si="15"/>
        <v>2.2528571428571427</v>
      </c>
      <c r="F71">
        <v>0</v>
      </c>
      <c r="G71">
        <v>0.02</v>
      </c>
      <c r="H71">
        <v>0</v>
      </c>
    </row>
    <row r="72" spans="1:8" x14ac:dyDescent="0.55000000000000004">
      <c r="A72" s="8">
        <v>64</v>
      </c>
      <c r="B72" s="18">
        <v>180</v>
      </c>
      <c r="C72" s="18">
        <v>1411</v>
      </c>
      <c r="D72" s="18">
        <v>600</v>
      </c>
      <c r="E72" s="17">
        <f t="shared" si="15"/>
        <v>2.3516666666666666</v>
      </c>
      <c r="F72">
        <v>0</v>
      </c>
      <c r="G72">
        <v>0.02</v>
      </c>
      <c r="H72">
        <v>0</v>
      </c>
    </row>
    <row r="73" spans="1:8" x14ac:dyDescent="0.55000000000000004">
      <c r="A73" s="8">
        <v>65</v>
      </c>
      <c r="B73" s="18">
        <v>145</v>
      </c>
      <c r="C73" s="18">
        <v>737</v>
      </c>
      <c r="D73" s="18">
        <v>300</v>
      </c>
      <c r="E73" s="17">
        <f t="shared" si="15"/>
        <v>2.4566666666666666</v>
      </c>
      <c r="F73">
        <v>0</v>
      </c>
      <c r="G73">
        <v>0.02</v>
      </c>
      <c r="H73">
        <v>0</v>
      </c>
    </row>
    <row r="74" spans="1:8" x14ac:dyDescent="0.55000000000000004">
      <c r="A74" s="8">
        <v>66</v>
      </c>
      <c r="B74" s="18">
        <v>150</v>
      </c>
      <c r="C74" s="18">
        <v>1100</v>
      </c>
      <c r="D74" s="18">
        <v>600</v>
      </c>
      <c r="E74" s="17">
        <f t="shared" si="15"/>
        <v>1.8333333333333333</v>
      </c>
      <c r="F74">
        <v>0</v>
      </c>
      <c r="G74">
        <v>0.02</v>
      </c>
      <c r="H74">
        <v>0</v>
      </c>
    </row>
    <row r="75" spans="1:8" x14ac:dyDescent="0.55000000000000004">
      <c r="A75" s="8">
        <v>67</v>
      </c>
      <c r="B75" s="18">
        <v>200</v>
      </c>
      <c r="C75" s="18">
        <v>3449</v>
      </c>
      <c r="D75" s="18">
        <v>1500</v>
      </c>
      <c r="E75" s="17">
        <f t="shared" si="15"/>
        <v>2.2993333333333332</v>
      </c>
      <c r="F75">
        <v>0</v>
      </c>
      <c r="G75">
        <v>0.02</v>
      </c>
      <c r="H75">
        <v>0</v>
      </c>
    </row>
    <row r="76" spans="1:8" x14ac:dyDescent="0.55000000000000004">
      <c r="A76" s="8">
        <v>68</v>
      </c>
      <c r="B76" s="18">
        <v>180</v>
      </c>
      <c r="C76" s="18">
        <v>2754</v>
      </c>
      <c r="D76" s="18">
        <v>1200</v>
      </c>
      <c r="E76" s="17">
        <f t="shared" si="15"/>
        <v>2.2949999999999999</v>
      </c>
      <c r="F76">
        <v>0</v>
      </c>
      <c r="G76">
        <v>0.02</v>
      </c>
      <c r="H76">
        <v>0</v>
      </c>
    </row>
    <row r="77" spans="1:8" x14ac:dyDescent="0.55000000000000004">
      <c r="A77" s="8">
        <v>69</v>
      </c>
      <c r="B77" s="18">
        <v>150</v>
      </c>
      <c r="C77" s="18">
        <v>2085</v>
      </c>
      <c r="D77" s="18">
        <v>1000</v>
      </c>
      <c r="E77" s="17">
        <f t="shared" ref="E77:E108" si="16">C77/D77</f>
        <v>2.085</v>
      </c>
      <c r="F77">
        <v>0</v>
      </c>
      <c r="G77">
        <v>0.02</v>
      </c>
      <c r="H77">
        <v>0</v>
      </c>
    </row>
    <row r="78" spans="1:8" x14ac:dyDescent="0.55000000000000004">
      <c r="A78" s="8">
        <v>70</v>
      </c>
      <c r="B78" s="18">
        <v>250</v>
      </c>
      <c r="C78" s="18">
        <v>5585</v>
      </c>
      <c r="D78" s="18"/>
      <c r="E78" s="17"/>
      <c r="F78">
        <v>0</v>
      </c>
      <c r="G78">
        <v>0.02</v>
      </c>
      <c r="H78">
        <v>0</v>
      </c>
    </row>
    <row r="79" spans="1:8" x14ac:dyDescent="0.55000000000000004">
      <c r="A79" s="8">
        <v>71</v>
      </c>
      <c r="B79" s="18">
        <v>140</v>
      </c>
      <c r="C79" s="18">
        <v>1626</v>
      </c>
      <c r="D79" s="18">
        <v>600</v>
      </c>
      <c r="E79" s="17">
        <f t="shared" si="16"/>
        <v>2.71</v>
      </c>
      <c r="F79">
        <v>0</v>
      </c>
      <c r="G79">
        <v>0.02</v>
      </c>
      <c r="H79">
        <v>0</v>
      </c>
    </row>
    <row r="80" spans="1:8" x14ac:dyDescent="0.55000000000000004">
      <c r="A80" s="8">
        <v>72</v>
      </c>
      <c r="B80" s="18">
        <v>180</v>
      </c>
      <c r="C80" s="18">
        <v>2308</v>
      </c>
      <c r="D80" s="18">
        <v>1200</v>
      </c>
      <c r="E80" s="17">
        <f t="shared" si="16"/>
        <v>1.9233333333333333</v>
      </c>
      <c r="F80">
        <v>0</v>
      </c>
      <c r="G80">
        <v>0.02</v>
      </c>
      <c r="H80">
        <v>0</v>
      </c>
    </row>
    <row r="81" spans="1:8" x14ac:dyDescent="0.55000000000000004">
      <c r="A81" s="8">
        <v>73</v>
      </c>
      <c r="B81" s="18">
        <v>100</v>
      </c>
      <c r="C81" s="18">
        <v>560</v>
      </c>
      <c r="D81" s="18">
        <v>250</v>
      </c>
      <c r="E81" s="17">
        <f t="shared" si="16"/>
        <v>2.2400000000000002</v>
      </c>
      <c r="F81">
        <v>0</v>
      </c>
      <c r="G81">
        <v>0.02</v>
      </c>
      <c r="H81">
        <v>0</v>
      </c>
    </row>
    <row r="82" spans="1:8" x14ac:dyDescent="0.55000000000000004">
      <c r="A82" s="8">
        <v>74</v>
      </c>
      <c r="B82" s="18">
        <v>100</v>
      </c>
      <c r="C82" s="18">
        <v>270</v>
      </c>
      <c r="D82" s="18">
        <v>100</v>
      </c>
      <c r="E82" s="17">
        <f t="shared" si="16"/>
        <v>2.7</v>
      </c>
      <c r="F82">
        <v>0</v>
      </c>
      <c r="G82">
        <v>0.02</v>
      </c>
      <c r="H82">
        <v>0</v>
      </c>
    </row>
    <row r="83" spans="1:8" x14ac:dyDescent="0.55000000000000004">
      <c r="A83" s="8">
        <v>75</v>
      </c>
      <c r="B83" s="18">
        <v>150</v>
      </c>
      <c r="C83" s="18">
        <v>416</v>
      </c>
      <c r="D83" s="18">
        <v>100</v>
      </c>
      <c r="E83" s="17">
        <f t="shared" si="16"/>
        <v>4.16</v>
      </c>
      <c r="F83">
        <v>0</v>
      </c>
      <c r="G83">
        <v>0.02</v>
      </c>
      <c r="H83">
        <v>0</v>
      </c>
    </row>
    <row r="84" spans="1:8" x14ac:dyDescent="0.55000000000000004">
      <c r="A84" s="8">
        <v>76</v>
      </c>
      <c r="B84" s="18">
        <v>150</v>
      </c>
      <c r="C84" s="18">
        <v>1380</v>
      </c>
      <c r="D84" s="18">
        <v>650</v>
      </c>
      <c r="E84" s="17">
        <f t="shared" si="16"/>
        <v>2.1230769230769231</v>
      </c>
      <c r="F84">
        <v>0</v>
      </c>
      <c r="G84">
        <v>0.02</v>
      </c>
      <c r="H84">
        <v>0</v>
      </c>
    </row>
    <row r="85" spans="1:8" x14ac:dyDescent="0.55000000000000004">
      <c r="A85" s="8">
        <v>77</v>
      </c>
      <c r="B85" s="18">
        <v>190</v>
      </c>
      <c r="C85" s="18">
        <v>1007</v>
      </c>
      <c r="D85" s="18">
        <v>400</v>
      </c>
      <c r="E85" s="17">
        <f t="shared" si="16"/>
        <v>2.5175000000000001</v>
      </c>
      <c r="F85">
        <v>0</v>
      </c>
      <c r="G85">
        <v>0.02</v>
      </c>
      <c r="H85">
        <v>0</v>
      </c>
    </row>
    <row r="86" spans="1:8" x14ac:dyDescent="0.55000000000000004">
      <c r="A86" s="8">
        <v>78</v>
      </c>
      <c r="B86" s="18">
        <v>140</v>
      </c>
      <c r="C86" s="18">
        <v>1039</v>
      </c>
      <c r="D86" s="18">
        <v>450</v>
      </c>
      <c r="E86" s="17">
        <f t="shared" si="16"/>
        <v>2.3088888888888888</v>
      </c>
      <c r="F86">
        <v>0</v>
      </c>
      <c r="G86">
        <v>0.02</v>
      </c>
      <c r="H86">
        <v>0</v>
      </c>
    </row>
    <row r="87" spans="1:8" x14ac:dyDescent="0.55000000000000004">
      <c r="A87" s="8">
        <v>79</v>
      </c>
      <c r="B87" s="18">
        <v>115</v>
      </c>
      <c r="C87" s="18">
        <v>555</v>
      </c>
      <c r="D87" s="18">
        <v>250</v>
      </c>
      <c r="E87" s="17">
        <f t="shared" si="16"/>
        <v>2.2200000000000002</v>
      </c>
      <c r="F87">
        <v>0</v>
      </c>
      <c r="G87">
        <v>0.02</v>
      </c>
      <c r="H87">
        <v>0</v>
      </c>
    </row>
    <row r="88" spans="1:8" x14ac:dyDescent="0.55000000000000004">
      <c r="A88" s="8">
        <v>80</v>
      </c>
      <c r="B88" s="18">
        <v>100</v>
      </c>
      <c r="C88" s="18">
        <v>647</v>
      </c>
      <c r="D88" s="18">
        <v>300</v>
      </c>
      <c r="E88" s="17">
        <f t="shared" si="16"/>
        <v>2.1566666666666667</v>
      </c>
      <c r="F88">
        <v>0</v>
      </c>
      <c r="G88">
        <v>0.02</v>
      </c>
      <c r="H88">
        <v>0</v>
      </c>
    </row>
    <row r="89" spans="1:8" x14ac:dyDescent="0.55000000000000004">
      <c r="A89" s="8">
        <v>81</v>
      </c>
      <c r="B89" s="18">
        <v>295</v>
      </c>
      <c r="C89" s="18">
        <v>3942</v>
      </c>
      <c r="D89" s="18"/>
      <c r="E89" s="17"/>
      <c r="F89">
        <v>0</v>
      </c>
      <c r="G89">
        <v>0.02</v>
      </c>
      <c r="H89">
        <v>0</v>
      </c>
    </row>
    <row r="90" spans="1:8" x14ac:dyDescent="0.55000000000000004">
      <c r="A90" s="8">
        <v>82</v>
      </c>
      <c r="B90" s="18">
        <v>235</v>
      </c>
      <c r="C90" s="18">
        <v>2926</v>
      </c>
      <c r="D90" s="18">
        <v>1200</v>
      </c>
      <c r="E90" s="17">
        <f t="shared" si="16"/>
        <v>2.4383333333333335</v>
      </c>
      <c r="F90">
        <v>0</v>
      </c>
      <c r="G90">
        <v>0.02</v>
      </c>
      <c r="H90">
        <v>0</v>
      </c>
    </row>
    <row r="91" spans="1:8" x14ac:dyDescent="0.55000000000000004">
      <c r="A91" s="8">
        <v>83</v>
      </c>
      <c r="B91" s="18">
        <v>105</v>
      </c>
      <c r="C91" s="18">
        <v>557</v>
      </c>
      <c r="D91" s="18">
        <v>300</v>
      </c>
      <c r="E91" s="17">
        <f t="shared" si="16"/>
        <v>1.8566666666666667</v>
      </c>
      <c r="F91">
        <v>0</v>
      </c>
      <c r="G91">
        <v>0.02</v>
      </c>
      <c r="H91">
        <v>0</v>
      </c>
    </row>
    <row r="92" spans="1:8" x14ac:dyDescent="0.55000000000000004">
      <c r="A92" s="8">
        <v>84</v>
      </c>
      <c r="B92" s="18">
        <v>160</v>
      </c>
      <c r="C92" s="18">
        <v>874</v>
      </c>
      <c r="D92" s="18">
        <v>350</v>
      </c>
      <c r="E92" s="17">
        <f t="shared" si="16"/>
        <v>2.4971428571428573</v>
      </c>
      <c r="F92">
        <v>0</v>
      </c>
      <c r="G92">
        <v>0.02</v>
      </c>
      <c r="H92">
        <v>0</v>
      </c>
    </row>
    <row r="93" spans="1:8" x14ac:dyDescent="0.55000000000000004">
      <c r="A93" s="8">
        <v>85</v>
      </c>
      <c r="B93" s="18">
        <v>210</v>
      </c>
      <c r="C93" s="18">
        <v>2477</v>
      </c>
      <c r="D93" s="18">
        <v>1300</v>
      </c>
      <c r="E93" s="17">
        <f t="shared" si="16"/>
        <v>1.9053846153846155</v>
      </c>
      <c r="F93">
        <v>0</v>
      </c>
      <c r="G93">
        <v>0.02</v>
      </c>
      <c r="H93">
        <v>0</v>
      </c>
    </row>
    <row r="94" spans="1:8" x14ac:dyDescent="0.55000000000000004">
      <c r="A94" s="8">
        <v>86</v>
      </c>
      <c r="B94" s="18">
        <v>160</v>
      </c>
      <c r="C94" s="18">
        <v>2081</v>
      </c>
      <c r="D94" s="18">
        <v>800</v>
      </c>
      <c r="E94" s="17">
        <f t="shared" si="16"/>
        <v>2.6012499999999998</v>
      </c>
      <c r="F94">
        <v>0</v>
      </c>
      <c r="G94">
        <v>0.02</v>
      </c>
      <c r="H94">
        <v>0</v>
      </c>
    </row>
    <row r="95" spans="1:8" x14ac:dyDescent="0.55000000000000004">
      <c r="A95" s="8">
        <v>87</v>
      </c>
      <c r="B95" s="18">
        <v>110</v>
      </c>
      <c r="C95" s="18">
        <v>636</v>
      </c>
      <c r="D95" s="18">
        <v>350</v>
      </c>
      <c r="E95" s="17">
        <f t="shared" si="16"/>
        <v>1.8171428571428572</v>
      </c>
      <c r="F95">
        <v>0</v>
      </c>
      <c r="G95">
        <v>0.02</v>
      </c>
      <c r="H95">
        <v>0</v>
      </c>
    </row>
    <row r="96" spans="1:8" x14ac:dyDescent="0.55000000000000004">
      <c r="A96" s="8">
        <v>88</v>
      </c>
      <c r="B96" s="18">
        <v>180</v>
      </c>
      <c r="C96" s="18">
        <v>2095</v>
      </c>
      <c r="D96" s="18">
        <v>800</v>
      </c>
      <c r="E96" s="17">
        <f t="shared" si="16"/>
        <v>2.6187499999999999</v>
      </c>
      <c r="F96">
        <v>0</v>
      </c>
      <c r="G96">
        <v>0.02</v>
      </c>
      <c r="H96">
        <v>0</v>
      </c>
    </row>
    <row r="97" spans="1:8" x14ac:dyDescent="0.55000000000000004">
      <c r="A97" s="8">
        <v>89</v>
      </c>
      <c r="B97" s="18">
        <v>130</v>
      </c>
      <c r="C97" s="18">
        <v>900</v>
      </c>
      <c r="D97" s="18">
        <v>400</v>
      </c>
      <c r="E97" s="17">
        <f t="shared" si="16"/>
        <v>2.25</v>
      </c>
      <c r="F97">
        <v>0</v>
      </c>
      <c r="G97">
        <v>0.02</v>
      </c>
      <c r="H97">
        <v>0</v>
      </c>
    </row>
    <row r="98" spans="1:8" x14ac:dyDescent="0.55000000000000004">
      <c r="A98" s="8">
        <v>90</v>
      </c>
      <c r="B98" s="18">
        <v>90</v>
      </c>
      <c r="C98" s="18">
        <v>203</v>
      </c>
      <c r="D98" s="18">
        <v>100</v>
      </c>
      <c r="E98" s="17">
        <f t="shared" si="16"/>
        <v>2.0299999999999998</v>
      </c>
      <c r="F98">
        <v>0</v>
      </c>
      <c r="G98">
        <v>0.02</v>
      </c>
      <c r="H98">
        <v>0</v>
      </c>
    </row>
    <row r="99" spans="1:8" x14ac:dyDescent="0.55000000000000004">
      <c r="A99" s="8">
        <v>91</v>
      </c>
      <c r="B99" s="18">
        <v>210</v>
      </c>
      <c r="C99" s="18">
        <v>5072</v>
      </c>
      <c r="D99" s="18">
        <v>2250</v>
      </c>
      <c r="E99" s="17">
        <f t="shared" si="16"/>
        <v>2.2542222222222223</v>
      </c>
      <c r="F99">
        <v>0</v>
      </c>
      <c r="G99">
        <v>0.02</v>
      </c>
      <c r="H99">
        <v>0</v>
      </c>
    </row>
    <row r="100" spans="1:8" x14ac:dyDescent="0.55000000000000004">
      <c r="A100" s="8">
        <v>92</v>
      </c>
      <c r="B100" s="18">
        <v>220</v>
      </c>
      <c r="C100" s="18">
        <v>3020</v>
      </c>
      <c r="D100" s="18">
        <v>1200</v>
      </c>
      <c r="E100" s="17">
        <f t="shared" si="16"/>
        <v>2.5166666666666666</v>
      </c>
      <c r="F100">
        <v>0</v>
      </c>
      <c r="G100">
        <v>0.02</v>
      </c>
      <c r="H100">
        <v>0</v>
      </c>
    </row>
    <row r="101" spans="1:8" x14ac:dyDescent="0.55000000000000004">
      <c r="A101" s="8">
        <v>93</v>
      </c>
      <c r="B101" s="18">
        <v>195</v>
      </c>
      <c r="C101" s="18">
        <v>1562</v>
      </c>
      <c r="D101" s="18">
        <v>700</v>
      </c>
      <c r="E101" s="17">
        <f t="shared" si="16"/>
        <v>2.2314285714285713</v>
      </c>
      <c r="F101">
        <v>0</v>
      </c>
      <c r="G101">
        <v>0.02</v>
      </c>
      <c r="H101">
        <v>0</v>
      </c>
    </row>
    <row r="102" spans="1:8" x14ac:dyDescent="0.55000000000000004">
      <c r="A102" s="8">
        <v>94</v>
      </c>
      <c r="B102" s="18">
        <v>150</v>
      </c>
      <c r="C102" s="18">
        <v>1415</v>
      </c>
      <c r="D102" s="18">
        <v>700</v>
      </c>
      <c r="E102" s="17">
        <f t="shared" si="16"/>
        <v>2.0214285714285714</v>
      </c>
      <c r="F102">
        <v>0</v>
      </c>
      <c r="G102">
        <v>0.02</v>
      </c>
      <c r="H102">
        <v>0</v>
      </c>
    </row>
    <row r="103" spans="1:8" x14ac:dyDescent="0.55000000000000004">
      <c r="A103" s="8">
        <v>95</v>
      </c>
      <c r="B103" s="18">
        <v>140</v>
      </c>
      <c r="C103" s="18">
        <v>1153</v>
      </c>
      <c r="D103" s="18">
        <v>500</v>
      </c>
      <c r="E103" s="17">
        <f t="shared" si="16"/>
        <v>2.306</v>
      </c>
      <c r="F103">
        <v>0</v>
      </c>
      <c r="G103">
        <v>0.02</v>
      </c>
      <c r="H103">
        <v>0</v>
      </c>
    </row>
    <row r="104" spans="1:8" x14ac:dyDescent="0.55000000000000004">
      <c r="A104" s="8">
        <v>96</v>
      </c>
      <c r="B104" s="18">
        <v>155</v>
      </c>
      <c r="C104" s="18">
        <v>712</v>
      </c>
      <c r="D104" s="18">
        <v>300</v>
      </c>
      <c r="E104" s="17">
        <f t="shared" si="16"/>
        <v>2.3733333333333335</v>
      </c>
      <c r="F104">
        <v>0</v>
      </c>
      <c r="G104">
        <v>0.02</v>
      </c>
      <c r="H104">
        <v>0</v>
      </c>
    </row>
    <row r="105" spans="1:8" x14ac:dyDescent="0.55000000000000004">
      <c r="A105" s="8">
        <v>97</v>
      </c>
      <c r="B105" s="18">
        <v>200</v>
      </c>
      <c r="C105" s="18">
        <v>3185</v>
      </c>
      <c r="D105" s="18">
        <v>1300</v>
      </c>
      <c r="E105" s="17">
        <f t="shared" si="16"/>
        <v>2.4500000000000002</v>
      </c>
      <c r="F105">
        <v>0</v>
      </c>
      <c r="G105">
        <v>0.02</v>
      </c>
      <c r="H105">
        <v>0</v>
      </c>
    </row>
    <row r="106" spans="1:8" x14ac:dyDescent="0.55000000000000004">
      <c r="A106" s="8">
        <v>98</v>
      </c>
      <c r="B106" s="18">
        <v>115</v>
      </c>
      <c r="C106" s="18">
        <v>360</v>
      </c>
      <c r="D106" s="18">
        <v>150</v>
      </c>
      <c r="E106" s="17">
        <f t="shared" si="16"/>
        <v>2.4</v>
      </c>
      <c r="F106">
        <v>0</v>
      </c>
      <c r="G106">
        <v>0.02</v>
      </c>
      <c r="H106">
        <v>0</v>
      </c>
    </row>
    <row r="107" spans="1:8" x14ac:dyDescent="0.55000000000000004">
      <c r="A107" s="8">
        <v>99</v>
      </c>
      <c r="B107" s="18">
        <v>190</v>
      </c>
      <c r="C107" s="18">
        <v>1936</v>
      </c>
      <c r="D107" s="18">
        <v>950</v>
      </c>
      <c r="E107" s="17">
        <f t="shared" si="16"/>
        <v>2.0378947368421052</v>
      </c>
      <c r="F107">
        <v>0</v>
      </c>
      <c r="G107">
        <v>0.02</v>
      </c>
      <c r="H107">
        <v>0</v>
      </c>
    </row>
    <row r="108" spans="1:8" x14ac:dyDescent="0.55000000000000004">
      <c r="A108" s="8">
        <v>100</v>
      </c>
      <c r="B108" s="18">
        <v>255</v>
      </c>
      <c r="C108" s="18">
        <v>3291</v>
      </c>
      <c r="D108" s="18">
        <v>1600</v>
      </c>
      <c r="E108" s="17">
        <f t="shared" si="16"/>
        <v>2.0568749999999998</v>
      </c>
      <c r="F108">
        <v>0</v>
      </c>
      <c r="G108">
        <v>0.02</v>
      </c>
      <c r="H108">
        <v>0</v>
      </c>
    </row>
  </sheetData>
  <mergeCells count="3">
    <mergeCell ref="B1:H1"/>
    <mergeCell ref="I1:M1"/>
    <mergeCell ref="N1:R1"/>
  </mergeCells>
  <phoneticPr fontId="3" type="noConversion"/>
  <pageMargins left="0.25" right="0.25" top="0.75" bottom="0.75" header="0.3" footer="0.3"/>
  <pageSetup paperSize="9" scale="46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Site_info</vt:lpstr>
      <vt:lpstr>Monitoring_data</vt:lpstr>
      <vt:lpstr>Reef_data</vt:lpstr>
      <vt:lpstr>Fish_data</vt:lpstr>
      <vt:lpstr>Macroinvertebrates</vt:lpstr>
      <vt:lpstr>Weed_data</vt:lpstr>
      <vt:lpstr>Deep_reefs_vid</vt:lpstr>
      <vt:lpstr>Deep_reefs_data</vt:lpstr>
      <vt:lpstr>Rock_sizes_Periphyton_biomass</vt:lpstr>
      <vt:lpstr>Sediment_traps</vt:lpstr>
      <vt:lpstr>Building_reefs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Raven, Olivier (Student)</dc:creator>
  <cp:lastModifiedBy>Raven, Olivier (Student)</cp:lastModifiedBy>
  <cp:lastPrinted>2025-02-23T22:25:38Z</cp:lastPrinted>
  <dcterms:created xsi:type="dcterms:W3CDTF">2024-07-17T21:41:58Z</dcterms:created>
  <dcterms:modified xsi:type="dcterms:W3CDTF">2025-07-21T00:38:19Z</dcterms:modified>
</cp:coreProperties>
</file>